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drawings/drawing3.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pivotTables/pivotTable1.xml" ContentType="application/vnd.openxmlformats-officedocument.spreadsheetml.pivotTable+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426"/>
  <workbookPr codeName="ThisWorkbook" hidePivotFieldList="1" defaultThemeVersion="124226"/>
  <mc:AlternateContent xmlns:mc="http://schemas.openxmlformats.org/markup-compatibility/2006">
    <mc:Choice Requires="x15">
      <x15ac:absPath xmlns:x15ac="http://schemas.microsoft.com/office/spreadsheetml/2010/11/ac" url="C:\Users\KRYNOCKM\Desktop\DS files without images\converted\"/>
    </mc:Choice>
  </mc:AlternateContent>
  <bookViews>
    <workbookView xWindow="-15" yWindow="-15" windowWidth="15975" windowHeight="12675" tabRatio="764"/>
  </bookViews>
  <sheets>
    <sheet name="Info" sheetId="1" r:id="rId1"/>
    <sheet name="Data Summary" sheetId="2" r:id="rId2"/>
    <sheet name="Reference Source Info" sheetId="4" r:id="rId3"/>
    <sheet name="DQI" sheetId="5" r:id="rId4"/>
    <sheet name="Species Data" sheetId="33" r:id="rId5"/>
    <sheet name="VOC" sheetId="43" r:id="rId6"/>
    <sheet name="Emission Rates" sheetId="40" r:id="rId7"/>
    <sheet name="Utilization" sheetId="41" r:id="rId8"/>
    <sheet name="Water_emissions" sheetId="45" r:id="rId9"/>
    <sheet name="Water_emissions_raw" sheetId="44" r:id="rId10"/>
    <sheet name="Water throughput" sheetId="46" r:id="rId11"/>
    <sheet name="Conversions" sheetId="39" r:id="rId12"/>
    <sheet name="Assumptions" sheetId="8" r:id="rId13"/>
    <sheet name="Chart" sheetId="28" r:id="rId14"/>
  </sheets>
  <definedNames>
    <definedName name="_AtRisk_SimSetting_AutomaticallyGenerateReports" hidden="1">FALSE</definedName>
    <definedName name="_AtRisk_SimSetting_AutomaticResultsDisplayMode" hidden="1">1</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MacroRecalculationBehavior"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16</definedName>
    <definedName name="_AtRisk_SimSetting_ReportOptionReportsFileType" hidden="1">1</definedName>
    <definedName name="_AtRisk_SimSetting_ReportOptionSelectiveQR" hidden="1">FALSE</definedName>
    <definedName name="_AtRisk_SimSetting_ReportsList" hidden="1">16</definedName>
    <definedName name="_AtRisk_SimSetting_ShowSimulationProgressWindow" hidden="1">TRUE</definedName>
    <definedName name="_AtRisk_SimSetting_SimNameCount" hidden="1">0</definedName>
    <definedName name="_AtRisk_SimSetting_SmartSensitivityAnalysisEnabled" hidden="1">FALSE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6" hidden="1">'Emission Rates'!$A$5:$AO$162</definedName>
    <definedName name="_xlnm._FilterDatabase" localSheetId="5" hidden="1">VOC!$I$1:$I$699</definedName>
    <definedName name="lstSourceType">#REF!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50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TRUE</definedName>
    <definedName name="RiskUseMultipleCPUs" hidden="1">TRUE</definedName>
  </definedNames>
  <calcPr calcId="171027" calcMode="manual"/>
  <pivotCaches>
    <pivotCache cacheId="15" r:id="rId15"/>
  </pivotCaches>
</workbook>
</file>

<file path=xl/calcChain.xml><?xml version="1.0" encoding="utf-8"?>
<calcChain xmlns="http://schemas.openxmlformats.org/spreadsheetml/2006/main">
  <c r="H86" i="46" l="1"/>
  <c r="H87" i="46"/>
  <c r="H88" i="46"/>
  <c r="H89" i="46"/>
  <c r="H85" i="46"/>
  <c r="K3" i="46"/>
  <c r="K4" i="46"/>
  <c r="K5" i="46"/>
  <c r="K6" i="46"/>
  <c r="K7" i="46"/>
  <c r="K8" i="46"/>
  <c r="K9" i="46"/>
  <c r="K10" i="46"/>
  <c r="K11" i="46"/>
  <c r="K12" i="46"/>
  <c r="K13" i="46"/>
  <c r="K14" i="46"/>
  <c r="K15" i="46"/>
  <c r="K16" i="46"/>
  <c r="K17" i="46"/>
  <c r="K18" i="46"/>
  <c r="K19" i="46"/>
  <c r="K20" i="46"/>
  <c r="K21" i="46"/>
  <c r="K22" i="46"/>
  <c r="K23" i="46"/>
  <c r="K24" i="46"/>
  <c r="K25" i="46"/>
  <c r="K26" i="46"/>
  <c r="K27" i="46"/>
  <c r="K28" i="46"/>
  <c r="K29" i="46"/>
  <c r="K30" i="46"/>
  <c r="K31" i="46"/>
  <c r="K32" i="46"/>
  <c r="K33" i="46"/>
  <c r="K34" i="46"/>
  <c r="K35" i="46"/>
  <c r="K36" i="46"/>
  <c r="K37" i="46"/>
  <c r="K38" i="46"/>
  <c r="K39" i="46"/>
  <c r="K40" i="46"/>
  <c r="K41" i="46"/>
  <c r="K42" i="46"/>
  <c r="K43" i="46"/>
  <c r="K44" i="46"/>
  <c r="K45" i="46"/>
  <c r="K46" i="46"/>
  <c r="K47" i="46"/>
  <c r="K48" i="46"/>
  <c r="K49" i="46"/>
  <c r="K50" i="46"/>
  <c r="K51" i="46"/>
  <c r="K52" i="46"/>
  <c r="K53" i="46"/>
  <c r="K54" i="46"/>
  <c r="K55" i="46"/>
  <c r="K56" i="46"/>
  <c r="K57" i="46"/>
  <c r="K58" i="46"/>
  <c r="K59" i="46"/>
  <c r="K60" i="46"/>
  <c r="K61" i="46"/>
  <c r="K62" i="46"/>
  <c r="K63" i="46"/>
  <c r="K64" i="46"/>
  <c r="K65" i="46"/>
  <c r="K66" i="46"/>
  <c r="K67" i="46"/>
  <c r="K68" i="46"/>
  <c r="K69" i="46"/>
  <c r="K70" i="46"/>
  <c r="K71" i="46"/>
  <c r="K72" i="46"/>
  <c r="K2" i="46"/>
  <c r="D6" i="39"/>
  <c r="H3" i="46"/>
  <c r="H74" i="46" s="1"/>
  <c r="H75" i="46" s="1"/>
  <c r="E791" i="2" s="1"/>
  <c r="H4" i="46"/>
  <c r="H5" i="46"/>
  <c r="H6" i="46"/>
  <c r="H7" i="46"/>
  <c r="H8" i="46"/>
  <c r="H9" i="46"/>
  <c r="H10" i="46"/>
  <c r="H11" i="46"/>
  <c r="H12" i="46"/>
  <c r="H13" i="46"/>
  <c r="H14" i="46"/>
  <c r="H15" i="46"/>
  <c r="H16" i="46"/>
  <c r="H17" i="46"/>
  <c r="H18" i="46"/>
  <c r="H19" i="46"/>
  <c r="H20" i="46"/>
  <c r="H21" i="46"/>
  <c r="H22" i="46"/>
  <c r="H23" i="46"/>
  <c r="H24" i="46"/>
  <c r="H25" i="46"/>
  <c r="H26" i="46"/>
  <c r="H27" i="46"/>
  <c r="H28" i="46"/>
  <c r="H29" i="46"/>
  <c r="H30" i="46"/>
  <c r="H31" i="46"/>
  <c r="H32" i="46"/>
  <c r="H33" i="46"/>
  <c r="H34" i="46"/>
  <c r="H35" i="46"/>
  <c r="H36" i="46"/>
  <c r="H37" i="46"/>
  <c r="H38" i="46"/>
  <c r="H39" i="46"/>
  <c r="H40" i="46"/>
  <c r="H41" i="46"/>
  <c r="H42" i="46"/>
  <c r="H43" i="46"/>
  <c r="H44" i="46"/>
  <c r="H45" i="46"/>
  <c r="H46" i="46"/>
  <c r="H47" i="46"/>
  <c r="H48" i="46"/>
  <c r="H49" i="46"/>
  <c r="H50" i="46"/>
  <c r="H51" i="46"/>
  <c r="H52" i="46"/>
  <c r="H53" i="46"/>
  <c r="H54" i="46"/>
  <c r="H55" i="46"/>
  <c r="H56" i="46"/>
  <c r="H57" i="46"/>
  <c r="H58" i="46"/>
  <c r="H59" i="46"/>
  <c r="H60" i="46"/>
  <c r="H61" i="46"/>
  <c r="H62" i="46"/>
  <c r="H63" i="46"/>
  <c r="H64" i="46"/>
  <c r="H65" i="46"/>
  <c r="H66" i="46"/>
  <c r="H67" i="46"/>
  <c r="H68" i="46"/>
  <c r="H69" i="46"/>
  <c r="H70" i="46"/>
  <c r="H71" i="46"/>
  <c r="H72" i="46"/>
  <c r="H2" i="46"/>
  <c r="H83" i="46" s="1"/>
  <c r="H80" i="46" l="1"/>
  <c r="H79" i="46"/>
  <c r="H82" i="46"/>
  <c r="H81" i="46"/>
  <c r="J10" i="5"/>
  <c r="K10" i="5"/>
  <c r="I10" i="5"/>
  <c r="BZ16" i="45"/>
  <c r="C820" i="2"/>
  <c r="C882" i="2"/>
  <c r="D882" i="2" s="1"/>
  <c r="C883" i="2"/>
  <c r="D883" i="2" s="1"/>
  <c r="C884" i="2"/>
  <c r="D884" i="2" s="1"/>
  <c r="C885" i="2"/>
  <c r="D885" i="2" s="1"/>
  <c r="C886" i="2"/>
  <c r="D886" i="2" s="1"/>
  <c r="C887" i="2"/>
  <c r="D887" i="2" s="1"/>
  <c r="C888" i="2"/>
  <c r="D888" i="2" s="1"/>
  <c r="C889" i="2"/>
  <c r="D889" i="2" s="1"/>
  <c r="C890" i="2"/>
  <c r="D890" i="2" s="1"/>
  <c r="C891" i="2"/>
  <c r="D891" i="2" s="1"/>
  <c r="C892" i="2"/>
  <c r="D892" i="2" s="1"/>
  <c r="C893" i="2"/>
  <c r="D893" i="2" s="1"/>
  <c r="C894" i="2"/>
  <c r="D894" i="2" s="1"/>
  <c r="C895" i="2"/>
  <c r="D895" i="2" s="1"/>
  <c r="C896" i="2"/>
  <c r="D896" i="2" s="1"/>
  <c r="C897" i="2"/>
  <c r="D897" i="2" s="1"/>
  <c r="C898" i="2"/>
  <c r="D898" i="2" s="1"/>
  <c r="C899" i="2"/>
  <c r="D899" i="2" s="1"/>
  <c r="C900" i="2"/>
  <c r="D900" i="2" s="1"/>
  <c r="C901" i="2"/>
  <c r="D901" i="2" s="1"/>
  <c r="C902" i="2"/>
  <c r="D902" i="2" s="1"/>
  <c r="C903" i="2"/>
  <c r="D903" i="2" s="1"/>
  <c r="C904" i="2"/>
  <c r="D904" i="2" s="1"/>
  <c r="C905" i="2"/>
  <c r="D905" i="2" s="1"/>
  <c r="C906" i="2"/>
  <c r="D906" i="2" s="1"/>
  <c r="C907" i="2"/>
  <c r="D907" i="2" s="1"/>
  <c r="C908" i="2"/>
  <c r="D908" i="2" s="1"/>
  <c r="C909" i="2"/>
  <c r="D909" i="2" s="1"/>
  <c r="C910" i="2"/>
  <c r="D910" i="2" s="1"/>
  <c r="C911" i="2"/>
  <c r="D911" i="2" s="1"/>
  <c r="C912" i="2"/>
  <c r="D912" i="2" s="1"/>
  <c r="C913" i="2"/>
  <c r="D913" i="2" s="1"/>
  <c r="C914" i="2"/>
  <c r="D914" i="2" s="1"/>
  <c r="C915" i="2"/>
  <c r="D915" i="2" s="1"/>
  <c r="C916" i="2"/>
  <c r="D916" i="2" s="1"/>
  <c r="C917" i="2"/>
  <c r="D917" i="2" s="1"/>
  <c r="C918" i="2"/>
  <c r="D918" i="2" s="1"/>
  <c r="C919" i="2"/>
  <c r="D919" i="2" s="1"/>
  <c r="C920" i="2"/>
  <c r="D920" i="2" s="1"/>
  <c r="C921" i="2"/>
  <c r="D921" i="2" s="1"/>
  <c r="C922" i="2"/>
  <c r="D922" i="2" s="1"/>
  <c r="C923" i="2"/>
  <c r="D923" i="2" s="1"/>
  <c r="C924" i="2"/>
  <c r="D924" i="2" s="1"/>
  <c r="C925" i="2"/>
  <c r="D925" i="2" s="1"/>
  <c r="C926" i="2"/>
  <c r="D926" i="2" s="1"/>
  <c r="C927" i="2"/>
  <c r="D927" i="2" s="1"/>
  <c r="C928" i="2"/>
  <c r="D928" i="2" s="1"/>
  <c r="C929" i="2"/>
  <c r="D929" i="2" s="1"/>
  <c r="C930" i="2"/>
  <c r="D930" i="2" s="1"/>
  <c r="C931" i="2"/>
  <c r="D931" i="2" s="1"/>
  <c r="C932" i="2"/>
  <c r="D932" i="2" s="1"/>
  <c r="C933" i="2"/>
  <c r="D933" i="2" s="1"/>
  <c r="C934" i="2"/>
  <c r="D934" i="2" s="1"/>
  <c r="C935" i="2"/>
  <c r="D935" i="2" s="1"/>
  <c r="C936" i="2"/>
  <c r="D936" i="2" s="1"/>
  <c r="C937" i="2"/>
  <c r="D937" i="2" s="1"/>
  <c r="C938" i="2"/>
  <c r="D938" i="2" s="1"/>
  <c r="C939" i="2"/>
  <c r="D939" i="2" s="1"/>
  <c r="C940" i="2"/>
  <c r="D940" i="2" s="1"/>
  <c r="C941" i="2"/>
  <c r="D941" i="2" s="1"/>
  <c r="C942" i="2"/>
  <c r="D942" i="2" s="1"/>
  <c r="C943" i="2"/>
  <c r="D943" i="2" s="1"/>
  <c r="C944" i="2"/>
  <c r="D944" i="2" s="1"/>
  <c r="C945" i="2"/>
  <c r="D945" i="2" s="1"/>
  <c r="C946" i="2"/>
  <c r="D946" i="2" s="1"/>
  <c r="C947" i="2"/>
  <c r="D947" i="2" s="1"/>
  <c r="C948" i="2"/>
  <c r="D948" i="2" s="1"/>
  <c r="C949" i="2"/>
  <c r="D949" i="2" s="1"/>
  <c r="C950" i="2"/>
  <c r="D950" i="2" s="1"/>
  <c r="C951" i="2"/>
  <c r="D951" i="2" s="1"/>
  <c r="C952" i="2"/>
  <c r="D952" i="2" s="1"/>
  <c r="C953" i="2"/>
  <c r="D953" i="2" s="1"/>
  <c r="C954" i="2"/>
  <c r="D954" i="2" s="1"/>
  <c r="C955" i="2"/>
  <c r="D955" i="2" s="1"/>
  <c r="C956" i="2"/>
  <c r="D956" i="2" s="1"/>
  <c r="C957" i="2"/>
  <c r="D957" i="2" s="1"/>
  <c r="C958" i="2"/>
  <c r="D958" i="2" s="1"/>
  <c r="C959" i="2"/>
  <c r="D959" i="2" s="1"/>
  <c r="C960" i="2"/>
  <c r="D960" i="2" s="1"/>
  <c r="C961" i="2"/>
  <c r="D961" i="2" s="1"/>
  <c r="C962" i="2"/>
  <c r="D962" i="2" s="1"/>
  <c r="C963" i="2"/>
  <c r="D963" i="2" s="1"/>
  <c r="C964" i="2"/>
  <c r="D964" i="2" s="1"/>
  <c r="C965" i="2"/>
  <c r="D965" i="2" s="1"/>
  <c r="C966" i="2"/>
  <c r="D966" i="2" s="1"/>
  <c r="C881" i="2"/>
  <c r="D881" i="2" s="1"/>
  <c r="CQ16" i="45"/>
  <c r="CP16" i="45"/>
  <c r="CO16" i="45"/>
  <c r="CN16" i="45"/>
  <c r="CM16" i="45"/>
  <c r="CL16" i="45"/>
  <c r="CH16" i="45"/>
  <c r="CG16" i="45"/>
  <c r="CF16" i="45"/>
  <c r="CE16" i="45"/>
  <c r="CD16" i="45"/>
  <c r="CC16" i="45"/>
  <c r="CB16" i="45"/>
  <c r="CA16" i="45"/>
  <c r="BY16" i="45"/>
  <c r="F16" i="45"/>
  <c r="G16" i="45"/>
  <c r="H16" i="45"/>
  <c r="I16" i="45"/>
  <c r="J16" i="45"/>
  <c r="K16" i="45"/>
  <c r="L16" i="45"/>
  <c r="M16" i="45"/>
  <c r="N16" i="45"/>
  <c r="O16" i="45"/>
  <c r="P16" i="45"/>
  <c r="Q16" i="45"/>
  <c r="R16" i="45"/>
  <c r="S16" i="45"/>
  <c r="T16" i="45"/>
  <c r="U16" i="45"/>
  <c r="V16" i="45"/>
  <c r="W16" i="45"/>
  <c r="X16" i="45"/>
  <c r="Y16" i="45"/>
  <c r="Z16" i="45"/>
  <c r="AA16" i="45"/>
  <c r="AB16" i="45"/>
  <c r="AC16" i="45"/>
  <c r="AD16" i="45"/>
  <c r="AE16" i="45"/>
  <c r="AF16" i="45"/>
  <c r="AG16" i="45"/>
  <c r="AH16" i="45"/>
  <c r="AI16" i="45"/>
  <c r="AJ16" i="45"/>
  <c r="AK16" i="45"/>
  <c r="AL16" i="45"/>
  <c r="AM16" i="45"/>
  <c r="AN16" i="45"/>
  <c r="AO16" i="45"/>
  <c r="AP16" i="45"/>
  <c r="AQ16" i="45"/>
  <c r="AR16" i="45"/>
  <c r="AS16" i="45"/>
  <c r="AT16" i="45"/>
  <c r="AU16" i="45"/>
  <c r="AV16" i="45"/>
  <c r="AW16" i="45"/>
  <c r="AX16" i="45"/>
  <c r="AY16" i="45"/>
  <c r="AZ16" i="45"/>
  <c r="BA16" i="45"/>
  <c r="BB16" i="45"/>
  <c r="BC16" i="45"/>
  <c r="BD16" i="45"/>
  <c r="BE16" i="45"/>
  <c r="BF16" i="45"/>
  <c r="BG16" i="45"/>
  <c r="BH16" i="45"/>
  <c r="BI16" i="45"/>
  <c r="BJ16" i="45"/>
  <c r="BK16" i="45"/>
  <c r="BL16" i="45"/>
  <c r="BM16" i="45"/>
  <c r="BN16" i="45"/>
  <c r="BO16" i="45"/>
  <c r="BP16" i="45"/>
  <c r="BQ16" i="45"/>
  <c r="BR16" i="45"/>
  <c r="BS16" i="45"/>
  <c r="BT16" i="45"/>
  <c r="BU16" i="45"/>
  <c r="BV16" i="45"/>
  <c r="E16" i="45"/>
  <c r="CU561" i="45"/>
  <c r="CV561" i="45"/>
  <c r="CW92" i="45"/>
  <c r="C351" i="2" s="1"/>
  <c r="B351" i="2" s="1"/>
  <c r="CW324" i="45"/>
  <c r="C583" i="2" s="1"/>
  <c r="CY19" i="45"/>
  <c r="J278" i="2" s="1"/>
  <c r="CU559" i="45"/>
  <c r="CV559" i="45"/>
  <c r="CU560" i="45"/>
  <c r="CW560" i="45" s="1"/>
  <c r="C789" i="2" s="1"/>
  <c r="B789" i="2" s="1"/>
  <c r="CV560" i="45"/>
  <c r="CV17" i="45"/>
  <c r="CV18" i="45"/>
  <c r="CV19" i="45"/>
  <c r="CV20" i="45"/>
  <c r="CV21" i="45"/>
  <c r="CV22" i="45"/>
  <c r="CV23" i="45"/>
  <c r="CV24" i="45"/>
  <c r="CV25" i="45"/>
  <c r="CV26" i="45"/>
  <c r="CV27" i="45"/>
  <c r="CV28" i="45"/>
  <c r="CV29" i="45"/>
  <c r="CV30" i="45"/>
  <c r="CV31" i="45"/>
  <c r="CV32" i="45"/>
  <c r="CV33" i="45"/>
  <c r="CV34" i="45"/>
  <c r="CV35" i="45"/>
  <c r="CV36" i="45"/>
  <c r="CV37" i="45"/>
  <c r="CV38" i="45"/>
  <c r="CV39" i="45"/>
  <c r="CV40" i="45"/>
  <c r="CW40" i="45" s="1"/>
  <c r="C299" i="2" s="1"/>
  <c r="CV41" i="45"/>
  <c r="CV42" i="45"/>
  <c r="CV43" i="45"/>
  <c r="CV44" i="45"/>
  <c r="CV45" i="45"/>
  <c r="CV46" i="45"/>
  <c r="CV47" i="45"/>
  <c r="CV48" i="45"/>
  <c r="CW48" i="45" s="1"/>
  <c r="C307" i="2" s="1"/>
  <c r="B307" i="2" s="1"/>
  <c r="CV49" i="45"/>
  <c r="CV50" i="45"/>
  <c r="CV51" i="45"/>
  <c r="CV52" i="45"/>
  <c r="CV53" i="45"/>
  <c r="CV54" i="45"/>
  <c r="CV55" i="45"/>
  <c r="CV56" i="45"/>
  <c r="CV57" i="45"/>
  <c r="CV58" i="45"/>
  <c r="CV59" i="45"/>
  <c r="CV60" i="45"/>
  <c r="CV61" i="45"/>
  <c r="CV62" i="45"/>
  <c r="CV63" i="45"/>
  <c r="CV64" i="45"/>
  <c r="CV65" i="45"/>
  <c r="CV66" i="45"/>
  <c r="CV67" i="45"/>
  <c r="CV68" i="45"/>
  <c r="CV69" i="45"/>
  <c r="CV70" i="45"/>
  <c r="CV71" i="45"/>
  <c r="CV72" i="45"/>
  <c r="CV73" i="45"/>
  <c r="CV74" i="45"/>
  <c r="CV75" i="45"/>
  <c r="CV76" i="45"/>
  <c r="CV77" i="45"/>
  <c r="CV78" i="45"/>
  <c r="CV79" i="45"/>
  <c r="CV80" i="45"/>
  <c r="CW80" i="45" s="1"/>
  <c r="C339" i="2" s="1"/>
  <c r="B339" i="2" s="1"/>
  <c r="CV81" i="45"/>
  <c r="CV82" i="45"/>
  <c r="CY82" i="45" s="1"/>
  <c r="J341" i="2" s="1"/>
  <c r="CV83" i="45"/>
  <c r="CV84" i="45"/>
  <c r="CV85" i="45"/>
  <c r="CV86" i="45"/>
  <c r="CV87" i="45"/>
  <c r="CV88" i="45"/>
  <c r="CV89" i="45"/>
  <c r="CV90" i="45"/>
  <c r="CV91" i="45"/>
  <c r="CV92" i="45"/>
  <c r="CV93" i="45"/>
  <c r="CV94" i="45"/>
  <c r="CV95" i="45"/>
  <c r="CV96" i="45"/>
  <c r="CV97" i="45"/>
  <c r="CV98" i="45"/>
  <c r="CV99" i="45"/>
  <c r="CV100" i="45"/>
  <c r="CV101" i="45"/>
  <c r="CV102" i="45"/>
  <c r="CV103" i="45"/>
  <c r="CV104" i="45"/>
  <c r="CV105" i="45"/>
  <c r="CV106" i="45"/>
  <c r="CV107" i="45"/>
  <c r="CV108" i="45"/>
  <c r="CV109" i="45"/>
  <c r="CV110" i="45"/>
  <c r="CV111" i="45"/>
  <c r="CV112" i="45"/>
  <c r="CV113" i="45"/>
  <c r="CV114" i="45"/>
  <c r="CV115" i="45"/>
  <c r="CV116" i="45"/>
  <c r="CV117" i="45"/>
  <c r="CV118" i="45"/>
  <c r="CV119" i="45"/>
  <c r="CV120" i="45"/>
  <c r="CV121" i="45"/>
  <c r="CV122" i="45"/>
  <c r="CV123" i="45"/>
  <c r="CV124" i="45"/>
  <c r="CV125" i="45"/>
  <c r="CV126" i="45"/>
  <c r="CV127" i="45"/>
  <c r="CV128" i="45"/>
  <c r="CV129" i="45"/>
  <c r="CV130" i="45"/>
  <c r="CV131" i="45"/>
  <c r="CV132" i="45"/>
  <c r="CV133" i="45"/>
  <c r="CV134" i="45"/>
  <c r="CV135" i="45"/>
  <c r="CV136" i="45"/>
  <c r="CV137" i="45"/>
  <c r="CV138" i="45"/>
  <c r="CV139" i="45"/>
  <c r="CV140" i="45"/>
  <c r="CV141" i="45"/>
  <c r="CV142" i="45"/>
  <c r="CV143" i="45"/>
  <c r="CV144" i="45"/>
  <c r="CV145" i="45"/>
  <c r="CV146" i="45"/>
  <c r="CY146" i="45" s="1"/>
  <c r="J405" i="2" s="1"/>
  <c r="CV147" i="45"/>
  <c r="CV148" i="45"/>
  <c r="CV149" i="45"/>
  <c r="CV150" i="45"/>
  <c r="CV151" i="45"/>
  <c r="CV152" i="45"/>
  <c r="CY152" i="45" s="1"/>
  <c r="J411" i="2" s="1"/>
  <c r="CV153" i="45"/>
  <c r="CV154" i="45"/>
  <c r="CV155" i="45"/>
  <c r="CV156" i="45"/>
  <c r="CV157" i="45"/>
  <c r="CV158" i="45"/>
  <c r="CV159" i="45"/>
  <c r="CV160" i="45"/>
  <c r="CV161" i="45"/>
  <c r="CV162" i="45"/>
  <c r="CV163" i="45"/>
  <c r="CV164" i="45"/>
  <c r="CV165" i="45"/>
  <c r="CV166" i="45"/>
  <c r="CV167" i="45"/>
  <c r="CV168" i="45"/>
  <c r="CV169" i="45"/>
  <c r="CV170" i="45"/>
  <c r="CV171" i="45"/>
  <c r="CV172" i="45"/>
  <c r="CV173" i="45"/>
  <c r="CV174" i="45"/>
  <c r="CV175" i="45"/>
  <c r="CV176" i="45"/>
  <c r="CV177" i="45"/>
  <c r="CV178" i="45"/>
  <c r="CV179" i="45"/>
  <c r="CV180" i="45"/>
  <c r="CV181" i="45"/>
  <c r="CV182" i="45"/>
  <c r="CV183" i="45"/>
  <c r="CV184" i="45"/>
  <c r="CV185" i="45"/>
  <c r="CV186" i="45"/>
  <c r="CV187" i="45"/>
  <c r="CV188" i="45"/>
  <c r="CV189" i="45"/>
  <c r="CV190" i="45"/>
  <c r="CV191" i="45"/>
  <c r="CV192" i="45"/>
  <c r="CW192" i="45" s="1"/>
  <c r="C451" i="2" s="1"/>
  <c r="B451" i="2" s="1"/>
  <c r="CV193" i="45"/>
  <c r="CV194" i="45"/>
  <c r="CV195" i="45"/>
  <c r="CV196" i="45"/>
  <c r="CV197" i="45"/>
  <c r="CV198" i="45"/>
  <c r="CV199" i="45"/>
  <c r="CV200" i="45"/>
  <c r="CV201" i="45"/>
  <c r="CV202" i="45"/>
  <c r="CV203" i="45"/>
  <c r="CV204" i="45"/>
  <c r="CV205" i="45"/>
  <c r="CV206" i="45"/>
  <c r="CV207" i="45"/>
  <c r="CV208" i="45"/>
  <c r="CV209" i="45"/>
  <c r="CV210" i="45"/>
  <c r="CV211" i="45"/>
  <c r="CV212" i="45"/>
  <c r="CV213" i="45"/>
  <c r="CV214" i="45"/>
  <c r="CV215" i="45"/>
  <c r="CV216" i="45"/>
  <c r="CV217" i="45"/>
  <c r="CV218" i="45"/>
  <c r="CV219" i="45"/>
  <c r="CV220" i="45"/>
  <c r="CV221" i="45"/>
  <c r="CV222" i="45"/>
  <c r="CV223" i="45"/>
  <c r="CV224" i="45"/>
  <c r="CV225" i="45"/>
  <c r="CV226" i="45"/>
  <c r="CV227" i="45"/>
  <c r="CV228" i="45"/>
  <c r="CV229" i="45"/>
  <c r="CV230" i="45"/>
  <c r="CV231" i="45"/>
  <c r="CV232" i="45"/>
  <c r="CW232" i="45" s="1"/>
  <c r="C491" i="2" s="1"/>
  <c r="B491" i="2" s="1"/>
  <c r="CV233" i="45"/>
  <c r="CV234" i="45"/>
  <c r="CV235" i="45"/>
  <c r="CV236" i="45"/>
  <c r="CV237" i="45"/>
  <c r="CV238" i="45"/>
  <c r="CV239" i="45"/>
  <c r="CV240" i="45"/>
  <c r="CV241" i="45"/>
  <c r="CV242" i="45"/>
  <c r="CV243" i="45"/>
  <c r="CV244" i="45"/>
  <c r="CV245" i="45"/>
  <c r="CV246" i="45"/>
  <c r="CV247" i="45"/>
  <c r="CV248" i="45"/>
  <c r="CY248" i="45" s="1"/>
  <c r="J507" i="2" s="1"/>
  <c r="CV249" i="45"/>
  <c r="CV250" i="45"/>
  <c r="CV251" i="45"/>
  <c r="CV252" i="45"/>
  <c r="CV253" i="45"/>
  <c r="CV254" i="45"/>
  <c r="CV255" i="45"/>
  <c r="CV256" i="45"/>
  <c r="CW256" i="45" s="1"/>
  <c r="C515" i="2" s="1"/>
  <c r="CV257" i="45"/>
  <c r="CV258" i="45"/>
  <c r="CV259" i="45"/>
  <c r="CV260" i="45"/>
  <c r="CV261" i="45"/>
  <c r="CV262" i="45"/>
  <c r="CV263" i="45"/>
  <c r="CV264" i="45"/>
  <c r="CW264" i="45" s="1"/>
  <c r="C523" i="2" s="1"/>
  <c r="B523" i="2" s="1"/>
  <c r="CV265" i="45"/>
  <c r="CV266" i="45"/>
  <c r="CV267" i="45"/>
  <c r="CV268" i="45"/>
  <c r="CV269" i="45"/>
  <c r="CV270" i="45"/>
  <c r="CV271" i="45"/>
  <c r="CV272" i="45"/>
  <c r="CW272" i="45" s="1"/>
  <c r="C531" i="2" s="1"/>
  <c r="B531" i="2" s="1"/>
  <c r="CV273" i="45"/>
  <c r="CV274" i="45"/>
  <c r="CV275" i="45"/>
  <c r="CV276" i="45"/>
  <c r="CV277" i="45"/>
  <c r="CV278" i="45"/>
  <c r="CV279" i="45"/>
  <c r="CV280" i="45"/>
  <c r="CV281" i="45"/>
  <c r="CV282" i="45"/>
  <c r="CV283" i="45"/>
  <c r="CV284" i="45"/>
  <c r="CV285" i="45"/>
  <c r="CV286" i="45"/>
  <c r="CV287" i="45"/>
  <c r="CV288" i="45"/>
  <c r="CV289" i="45"/>
  <c r="CV290" i="45"/>
  <c r="CV291" i="45"/>
  <c r="CV292" i="45"/>
  <c r="CV293" i="45"/>
  <c r="CV294" i="45"/>
  <c r="CV295" i="45"/>
  <c r="CV296" i="45"/>
  <c r="CW296" i="45" s="1"/>
  <c r="C555" i="2" s="1"/>
  <c r="B555" i="2" s="1"/>
  <c r="CV297" i="45"/>
  <c r="CV298" i="45"/>
  <c r="CV299" i="45"/>
  <c r="CV300" i="45"/>
  <c r="CV301" i="45"/>
  <c r="CV302" i="45"/>
  <c r="CV303" i="45"/>
  <c r="CV304" i="45"/>
  <c r="CW304" i="45" s="1"/>
  <c r="C563" i="2" s="1"/>
  <c r="CV305" i="45"/>
  <c r="CV306" i="45"/>
  <c r="CV307" i="45"/>
  <c r="CV308" i="45"/>
  <c r="CV309" i="45"/>
  <c r="CV310" i="45"/>
  <c r="CV311" i="45"/>
  <c r="CV312" i="45"/>
  <c r="CV313" i="45"/>
  <c r="CV314" i="45"/>
  <c r="CV315" i="45"/>
  <c r="CV316" i="45"/>
  <c r="CV317" i="45"/>
  <c r="CV318" i="45"/>
  <c r="CV319" i="45"/>
  <c r="CV320" i="45"/>
  <c r="CV321" i="45"/>
  <c r="CV322" i="45"/>
  <c r="CV323" i="45"/>
  <c r="CV324" i="45"/>
  <c r="CV325" i="45"/>
  <c r="CV326" i="45"/>
  <c r="CV327" i="45"/>
  <c r="CV328" i="45"/>
  <c r="CV329" i="45"/>
  <c r="CV330" i="45"/>
  <c r="CY330" i="45" s="1"/>
  <c r="J589" i="2" s="1"/>
  <c r="CV331" i="45"/>
  <c r="CV332" i="45"/>
  <c r="CV333" i="45"/>
  <c r="CV334" i="45"/>
  <c r="CV335" i="45"/>
  <c r="CV336" i="45"/>
  <c r="CW336" i="45" s="1"/>
  <c r="C595" i="2" s="1"/>
  <c r="B595" i="2" s="1"/>
  <c r="CV337" i="45"/>
  <c r="CV338" i="45"/>
  <c r="CV339" i="45"/>
  <c r="CV340" i="45"/>
  <c r="CV341" i="45"/>
  <c r="CV342" i="45"/>
  <c r="CV343" i="45"/>
  <c r="CV344" i="45"/>
  <c r="CV345" i="45"/>
  <c r="CV346" i="45"/>
  <c r="CV347" i="45"/>
  <c r="CV348" i="45"/>
  <c r="CV349" i="45"/>
  <c r="CV350" i="45"/>
  <c r="CV351" i="45"/>
  <c r="CV352" i="45"/>
  <c r="CV353" i="45"/>
  <c r="CV354" i="45"/>
  <c r="CV355" i="45"/>
  <c r="CV356" i="45"/>
  <c r="CV357" i="45"/>
  <c r="CV358" i="45"/>
  <c r="CV359" i="45"/>
  <c r="CV360" i="45"/>
  <c r="CV361" i="45"/>
  <c r="CV362" i="45"/>
  <c r="CV363" i="45"/>
  <c r="CV364" i="45"/>
  <c r="CV365" i="45"/>
  <c r="CV366" i="45"/>
  <c r="CV367" i="45"/>
  <c r="CV368" i="45"/>
  <c r="CV369" i="45"/>
  <c r="CV370" i="45"/>
  <c r="CV371" i="45"/>
  <c r="CV372" i="45"/>
  <c r="CV373" i="45"/>
  <c r="CV374" i="45"/>
  <c r="CV375" i="45"/>
  <c r="CV376" i="45"/>
  <c r="CV377" i="45"/>
  <c r="CV378" i="45"/>
  <c r="CV379" i="45"/>
  <c r="CV380" i="45"/>
  <c r="CV381" i="45"/>
  <c r="CV382" i="45"/>
  <c r="CV383" i="45"/>
  <c r="CV384" i="45"/>
  <c r="CY384" i="45" s="1"/>
  <c r="J643" i="2" s="1"/>
  <c r="CV385" i="45"/>
  <c r="CV386" i="45"/>
  <c r="CV387" i="45"/>
  <c r="CV388" i="45"/>
  <c r="CV389" i="45"/>
  <c r="CV390" i="45"/>
  <c r="CV391" i="45"/>
  <c r="CV392" i="45"/>
  <c r="CV393" i="45"/>
  <c r="CV394" i="45"/>
  <c r="CV395" i="45"/>
  <c r="CV396" i="45"/>
  <c r="CV397" i="45"/>
  <c r="CV398" i="45"/>
  <c r="CV399" i="45"/>
  <c r="CV400" i="45"/>
  <c r="CV401" i="45"/>
  <c r="CV402" i="45"/>
  <c r="CV403" i="45"/>
  <c r="CV404" i="45"/>
  <c r="CV405" i="45"/>
  <c r="CV406" i="45"/>
  <c r="CV407" i="45"/>
  <c r="CV408" i="45"/>
  <c r="CV409" i="45"/>
  <c r="CV410" i="45"/>
  <c r="CV411" i="45"/>
  <c r="CV412" i="45"/>
  <c r="CV413" i="45"/>
  <c r="CV414" i="45"/>
  <c r="CV415" i="45"/>
  <c r="CV416" i="45"/>
  <c r="CV417" i="45"/>
  <c r="CV418" i="45"/>
  <c r="CV419" i="45"/>
  <c r="CV420" i="45"/>
  <c r="CV421" i="45"/>
  <c r="CV422" i="45"/>
  <c r="CV423" i="45"/>
  <c r="CV424" i="45"/>
  <c r="CV425" i="45"/>
  <c r="CV426" i="45"/>
  <c r="CV427" i="45"/>
  <c r="CV428" i="45"/>
  <c r="CV429" i="45"/>
  <c r="CV430" i="45"/>
  <c r="CV431" i="45"/>
  <c r="CV432" i="45"/>
  <c r="CV433" i="45"/>
  <c r="CV434" i="45"/>
  <c r="CV435" i="45"/>
  <c r="CV436" i="45"/>
  <c r="CV437" i="45"/>
  <c r="CV438" i="45"/>
  <c r="CV439" i="45"/>
  <c r="CV440" i="45"/>
  <c r="CV441" i="45"/>
  <c r="CV442" i="45"/>
  <c r="CV443" i="45"/>
  <c r="CV444" i="45"/>
  <c r="CV445" i="45"/>
  <c r="CV446" i="45"/>
  <c r="CV447" i="45"/>
  <c r="CV448" i="45"/>
  <c r="CV449" i="45"/>
  <c r="CV450" i="45"/>
  <c r="CV451" i="45"/>
  <c r="CV452" i="45"/>
  <c r="CV453" i="45"/>
  <c r="CV454" i="45"/>
  <c r="CV455" i="45"/>
  <c r="CV456" i="45"/>
  <c r="CV457" i="45"/>
  <c r="CY457" i="45" s="1"/>
  <c r="CV458" i="45"/>
  <c r="CV459" i="45"/>
  <c r="CV460" i="45"/>
  <c r="CV461" i="45"/>
  <c r="CV462" i="45"/>
  <c r="CV463" i="45"/>
  <c r="CV464" i="45"/>
  <c r="CV465" i="45"/>
  <c r="CV466" i="45"/>
  <c r="CV467" i="45"/>
  <c r="CV468" i="45"/>
  <c r="CV469" i="45"/>
  <c r="CV470" i="45"/>
  <c r="CV471" i="45"/>
  <c r="CV472" i="45"/>
  <c r="CV473" i="45"/>
  <c r="CV474" i="45"/>
  <c r="CV475" i="45"/>
  <c r="CV476" i="45"/>
  <c r="CV477" i="45"/>
  <c r="CV478" i="45"/>
  <c r="CV479" i="45"/>
  <c r="CV480" i="45"/>
  <c r="CV481" i="45"/>
  <c r="CV482" i="45"/>
  <c r="CV483" i="45"/>
  <c r="CV484" i="45"/>
  <c r="CV485" i="45"/>
  <c r="CV486" i="45"/>
  <c r="CV487" i="45"/>
  <c r="CV488" i="45"/>
  <c r="CV489" i="45"/>
  <c r="CV490" i="45"/>
  <c r="CV491" i="45"/>
  <c r="CV492" i="45"/>
  <c r="CV493" i="45"/>
  <c r="CV494" i="45"/>
  <c r="CV495" i="45"/>
  <c r="CV496" i="45"/>
  <c r="CV497" i="45"/>
  <c r="CV498" i="45"/>
  <c r="CV499" i="45"/>
  <c r="CV500" i="45"/>
  <c r="CV501" i="45"/>
  <c r="CV502" i="45"/>
  <c r="CV503" i="45"/>
  <c r="CV504" i="45"/>
  <c r="CV505" i="45"/>
  <c r="CV506" i="45"/>
  <c r="CV507" i="45"/>
  <c r="CV508" i="45"/>
  <c r="CV509" i="45"/>
  <c r="CV510" i="45"/>
  <c r="CV511" i="45"/>
  <c r="CV512" i="45"/>
  <c r="CV513" i="45"/>
  <c r="CV514" i="45"/>
  <c r="CV515" i="45"/>
  <c r="CV516" i="45"/>
  <c r="CV517" i="45"/>
  <c r="CV518" i="45"/>
  <c r="CV519" i="45"/>
  <c r="CV520" i="45"/>
  <c r="CV521" i="45"/>
  <c r="CV522" i="45"/>
  <c r="CV523" i="45"/>
  <c r="CV524" i="45"/>
  <c r="CV525" i="45"/>
  <c r="CV526" i="45"/>
  <c r="CV527" i="45"/>
  <c r="CV528" i="45"/>
  <c r="CV529" i="45"/>
  <c r="CV530" i="45"/>
  <c r="CV531" i="45"/>
  <c r="CV532" i="45"/>
  <c r="CV533" i="45"/>
  <c r="CV534" i="45"/>
  <c r="CV535" i="45"/>
  <c r="CV536" i="45"/>
  <c r="CV537" i="45"/>
  <c r="CV538" i="45"/>
  <c r="CV539" i="45"/>
  <c r="CV540" i="45"/>
  <c r="CV541" i="45"/>
  <c r="CV542" i="45"/>
  <c r="CV543" i="45"/>
  <c r="CV544" i="45"/>
  <c r="CV545" i="45"/>
  <c r="CV546" i="45"/>
  <c r="CV547" i="45"/>
  <c r="CV548" i="45"/>
  <c r="CV549" i="45"/>
  <c r="CV550" i="45"/>
  <c r="CV551" i="45"/>
  <c r="CV552" i="45"/>
  <c r="CV553" i="45"/>
  <c r="CV554" i="45"/>
  <c r="CV555" i="45"/>
  <c r="CV556" i="45"/>
  <c r="CV557" i="45"/>
  <c r="CV558" i="45"/>
  <c r="CU17" i="45"/>
  <c r="CU18" i="45"/>
  <c r="CW18" i="45" s="1"/>
  <c r="C277" i="2" s="1"/>
  <c r="B277" i="2" s="1"/>
  <c r="CU19" i="45"/>
  <c r="CW19" i="45" s="1"/>
  <c r="C278" i="2" s="1"/>
  <c r="B278" i="2" s="1"/>
  <c r="CU20" i="45"/>
  <c r="CU21" i="45"/>
  <c r="CU22" i="45"/>
  <c r="CU23" i="45"/>
  <c r="CW23" i="45" s="1"/>
  <c r="C282" i="2" s="1"/>
  <c r="B282" i="2" s="1"/>
  <c r="CU24" i="45"/>
  <c r="CU25" i="45"/>
  <c r="CU26" i="45"/>
  <c r="CW26" i="45" s="1"/>
  <c r="C285" i="2" s="1"/>
  <c r="B285" i="2" s="1"/>
  <c r="CU27" i="45"/>
  <c r="CW27" i="45" s="1"/>
  <c r="C286" i="2" s="1"/>
  <c r="B286" i="2" s="1"/>
  <c r="CU28" i="45"/>
  <c r="CW28" i="45" s="1"/>
  <c r="C287" i="2" s="1"/>
  <c r="CU29" i="45"/>
  <c r="CU30" i="45"/>
  <c r="CU31" i="45"/>
  <c r="CU32" i="45"/>
  <c r="CU33" i="45"/>
  <c r="CU34" i="45"/>
  <c r="CW34" i="45" s="1"/>
  <c r="C293" i="2" s="1"/>
  <c r="B293" i="2" s="1"/>
  <c r="CU35" i="45"/>
  <c r="CW35" i="45" s="1"/>
  <c r="C294" i="2" s="1"/>
  <c r="B294" i="2" s="1"/>
  <c r="CU36" i="45"/>
  <c r="CW36" i="45" s="1"/>
  <c r="C295" i="2" s="1"/>
  <c r="CU37" i="45"/>
  <c r="CU38" i="45"/>
  <c r="CU39" i="45"/>
  <c r="CW39" i="45" s="1"/>
  <c r="C298" i="2" s="1"/>
  <c r="CU40" i="45"/>
  <c r="CU41" i="45"/>
  <c r="CU42" i="45"/>
  <c r="CW42" i="45" s="1"/>
  <c r="C301" i="2" s="1"/>
  <c r="B301" i="2" s="1"/>
  <c r="CU43" i="45"/>
  <c r="CW43" i="45" s="1"/>
  <c r="C302" i="2" s="1"/>
  <c r="B302" i="2" s="1"/>
  <c r="CU44" i="45"/>
  <c r="CW44" i="45" s="1"/>
  <c r="C303" i="2" s="1"/>
  <c r="CU45" i="45"/>
  <c r="CU46" i="45"/>
  <c r="CU47" i="45"/>
  <c r="CW47" i="45" s="1"/>
  <c r="C306" i="2" s="1"/>
  <c r="B306" i="2" s="1"/>
  <c r="CU48" i="45"/>
  <c r="CU49" i="45"/>
  <c r="CU50" i="45"/>
  <c r="CW50" i="45" s="1"/>
  <c r="C309" i="2" s="1"/>
  <c r="B309" i="2" s="1"/>
  <c r="CU51" i="45"/>
  <c r="CW51" i="45" s="1"/>
  <c r="C310" i="2" s="1"/>
  <c r="CU52" i="45"/>
  <c r="CW52" i="45" s="1"/>
  <c r="C311" i="2" s="1"/>
  <c r="CU53" i="45"/>
  <c r="CU54" i="45"/>
  <c r="CU55" i="45"/>
  <c r="CW55" i="45" s="1"/>
  <c r="C314" i="2" s="1"/>
  <c r="B314" i="2" s="1"/>
  <c r="CU56" i="45"/>
  <c r="CU57" i="45"/>
  <c r="CU58" i="45"/>
  <c r="CW58" i="45" s="1"/>
  <c r="C317" i="2" s="1"/>
  <c r="B317" i="2" s="1"/>
  <c r="CU59" i="45"/>
  <c r="CW59" i="45" s="1"/>
  <c r="C318" i="2" s="1"/>
  <c r="B318" i="2" s="1"/>
  <c r="CU60" i="45"/>
  <c r="CW60" i="45" s="1"/>
  <c r="C319" i="2" s="1"/>
  <c r="CU61" i="45"/>
  <c r="CU62" i="45"/>
  <c r="CW62" i="45" s="1"/>
  <c r="C321" i="2" s="1"/>
  <c r="B321" i="2" s="1"/>
  <c r="CU63" i="45"/>
  <c r="CW63" i="45" s="1"/>
  <c r="C322" i="2" s="1"/>
  <c r="B322" i="2" s="1"/>
  <c r="CU64" i="45"/>
  <c r="CU65" i="45"/>
  <c r="CU66" i="45"/>
  <c r="CW66" i="45" s="1"/>
  <c r="C325" i="2" s="1"/>
  <c r="B325" i="2" s="1"/>
  <c r="CU67" i="45"/>
  <c r="CW67" i="45" s="1"/>
  <c r="C326" i="2" s="1"/>
  <c r="B326" i="2" s="1"/>
  <c r="CU68" i="45"/>
  <c r="CW68" i="45" s="1"/>
  <c r="C327" i="2" s="1"/>
  <c r="B327" i="2" s="1"/>
  <c r="CU69" i="45"/>
  <c r="CU70" i="45"/>
  <c r="CW70" i="45" s="1"/>
  <c r="C329" i="2" s="1"/>
  <c r="CU71" i="45"/>
  <c r="CW71" i="45" s="1"/>
  <c r="C330" i="2" s="1"/>
  <c r="B330" i="2" s="1"/>
  <c r="CU72" i="45"/>
  <c r="CW72" i="45" s="1"/>
  <c r="C331" i="2" s="1"/>
  <c r="B331" i="2" s="1"/>
  <c r="CU73" i="45"/>
  <c r="CU74" i="45"/>
  <c r="CW74" i="45" s="1"/>
  <c r="C333" i="2" s="1"/>
  <c r="B333" i="2" s="1"/>
  <c r="CU75" i="45"/>
  <c r="CW75" i="45" s="1"/>
  <c r="C334" i="2" s="1"/>
  <c r="CU76" i="45"/>
  <c r="CW76" i="45" s="1"/>
  <c r="C335" i="2" s="1"/>
  <c r="CU77" i="45"/>
  <c r="CU78" i="45"/>
  <c r="CW78" i="45" s="1"/>
  <c r="C337" i="2" s="1"/>
  <c r="B337" i="2" s="1"/>
  <c r="CU79" i="45"/>
  <c r="CW79" i="45" s="1"/>
  <c r="C338" i="2" s="1"/>
  <c r="B338" i="2" s="1"/>
  <c r="CU80" i="45"/>
  <c r="CU81" i="45"/>
  <c r="CU82" i="45"/>
  <c r="CW82" i="45" s="1"/>
  <c r="C341" i="2" s="1"/>
  <c r="B341" i="2" s="1"/>
  <c r="CU83" i="45"/>
  <c r="CW83" i="45" s="1"/>
  <c r="C342" i="2" s="1"/>
  <c r="B342" i="2" s="1"/>
  <c r="CU84" i="45"/>
  <c r="CW84" i="45" s="1"/>
  <c r="C343" i="2" s="1"/>
  <c r="CU85" i="45"/>
  <c r="CU86" i="45"/>
  <c r="CW86" i="45" s="1"/>
  <c r="C345" i="2" s="1"/>
  <c r="B345" i="2" s="1"/>
  <c r="CU87" i="45"/>
  <c r="CW87" i="45" s="1"/>
  <c r="C346" i="2" s="1"/>
  <c r="CU88" i="45"/>
  <c r="CU89" i="45"/>
  <c r="CU90" i="45"/>
  <c r="CW90" i="45" s="1"/>
  <c r="C349" i="2" s="1"/>
  <c r="B349" i="2" s="1"/>
  <c r="CU91" i="45"/>
  <c r="CW91" i="45" s="1"/>
  <c r="C350" i="2" s="1"/>
  <c r="B350" i="2" s="1"/>
  <c r="CU92" i="45"/>
  <c r="CU93" i="45"/>
  <c r="CU94" i="45"/>
  <c r="CW94" i="45" s="1"/>
  <c r="C353" i="2" s="1"/>
  <c r="B353" i="2" s="1"/>
  <c r="CU95" i="45"/>
  <c r="CW95" i="45" s="1"/>
  <c r="C354" i="2" s="1"/>
  <c r="B354" i="2" s="1"/>
  <c r="CU96" i="45"/>
  <c r="CU97" i="45"/>
  <c r="CU98" i="45"/>
  <c r="CW98" i="45" s="1"/>
  <c r="C357" i="2" s="1"/>
  <c r="B357" i="2" s="1"/>
  <c r="CU99" i="45"/>
  <c r="CW99" i="45" s="1"/>
  <c r="C358" i="2" s="1"/>
  <c r="CU100" i="45"/>
  <c r="CW100" i="45" s="1"/>
  <c r="C359" i="2" s="1"/>
  <c r="CU101" i="45"/>
  <c r="CU102" i="45"/>
  <c r="CW102" i="45" s="1"/>
  <c r="C361" i="2" s="1"/>
  <c r="B361" i="2" s="1"/>
  <c r="CU103" i="45"/>
  <c r="CW103" i="45" s="1"/>
  <c r="C362" i="2" s="1"/>
  <c r="B362" i="2" s="1"/>
  <c r="CU104" i="45"/>
  <c r="CU105" i="45"/>
  <c r="CU106" i="45"/>
  <c r="CW106" i="45" s="1"/>
  <c r="C365" i="2" s="1"/>
  <c r="B365" i="2" s="1"/>
  <c r="CU107" i="45"/>
  <c r="CW107" i="45" s="1"/>
  <c r="C366" i="2" s="1"/>
  <c r="B366" i="2" s="1"/>
  <c r="CU108" i="45"/>
  <c r="CW108" i="45" s="1"/>
  <c r="C367" i="2" s="1"/>
  <c r="B367" i="2" s="1"/>
  <c r="CU109" i="45"/>
  <c r="CU110" i="45"/>
  <c r="CW110" i="45" s="1"/>
  <c r="C369" i="2" s="1"/>
  <c r="B369" i="2" s="1"/>
  <c r="CU111" i="45"/>
  <c r="CW111" i="45" s="1"/>
  <c r="C370" i="2" s="1"/>
  <c r="CU112" i="45"/>
  <c r="CW112" i="45" s="1"/>
  <c r="C371" i="2" s="1"/>
  <c r="B371" i="2" s="1"/>
  <c r="CU113" i="45"/>
  <c r="CU114" i="45"/>
  <c r="CW114" i="45" s="1"/>
  <c r="C373" i="2" s="1"/>
  <c r="B373" i="2" s="1"/>
  <c r="CU115" i="45"/>
  <c r="CW115" i="45" s="1"/>
  <c r="C374" i="2" s="1"/>
  <c r="B374" i="2" s="1"/>
  <c r="CU116" i="45"/>
  <c r="CW116" i="45" s="1"/>
  <c r="C375" i="2" s="1"/>
  <c r="B375" i="2" s="1"/>
  <c r="CU117" i="45"/>
  <c r="CU118" i="45"/>
  <c r="CW118" i="45" s="1"/>
  <c r="C377" i="2" s="1"/>
  <c r="B377" i="2" s="1"/>
  <c r="CU119" i="45"/>
  <c r="CW119" i="45" s="1"/>
  <c r="C378" i="2" s="1"/>
  <c r="CU120" i="45"/>
  <c r="CU121" i="45"/>
  <c r="CU122" i="45"/>
  <c r="CW122" i="45" s="1"/>
  <c r="C381" i="2" s="1"/>
  <c r="B381" i="2" s="1"/>
  <c r="CU123" i="45"/>
  <c r="CW123" i="45" s="1"/>
  <c r="C382" i="2" s="1"/>
  <c r="B382" i="2" s="1"/>
  <c r="CU124" i="45"/>
  <c r="CW124" i="45" s="1"/>
  <c r="C383" i="2" s="1"/>
  <c r="CU125" i="45"/>
  <c r="CU126" i="45"/>
  <c r="CW126" i="45" s="1"/>
  <c r="C385" i="2" s="1"/>
  <c r="B385" i="2" s="1"/>
  <c r="CU127" i="45"/>
  <c r="CW127" i="45" s="1"/>
  <c r="C386" i="2" s="1"/>
  <c r="B386" i="2" s="1"/>
  <c r="CU128" i="45"/>
  <c r="CW128" i="45" s="1"/>
  <c r="C387" i="2" s="1"/>
  <c r="B387" i="2" s="1"/>
  <c r="CU129" i="45"/>
  <c r="CU130" i="45"/>
  <c r="CW130" i="45" s="1"/>
  <c r="C389" i="2" s="1"/>
  <c r="B389" i="2" s="1"/>
  <c r="CU131" i="45"/>
  <c r="CW131" i="45" s="1"/>
  <c r="C390" i="2" s="1"/>
  <c r="B390" i="2" s="1"/>
  <c r="CU132" i="45"/>
  <c r="CW132" i="45" s="1"/>
  <c r="C391" i="2" s="1"/>
  <c r="CU133" i="45"/>
  <c r="CU134" i="45"/>
  <c r="CW134" i="45" s="1"/>
  <c r="C393" i="2" s="1"/>
  <c r="B393" i="2" s="1"/>
  <c r="CU135" i="45"/>
  <c r="CW135" i="45" s="1"/>
  <c r="C394" i="2" s="1"/>
  <c r="CU136" i="45"/>
  <c r="CU137" i="45"/>
  <c r="CU138" i="45"/>
  <c r="CW138" i="45" s="1"/>
  <c r="C397" i="2" s="1"/>
  <c r="B397" i="2" s="1"/>
  <c r="CU139" i="45"/>
  <c r="CW139" i="45" s="1"/>
  <c r="C398" i="2" s="1"/>
  <c r="B398" i="2" s="1"/>
  <c r="CU140" i="45"/>
  <c r="CW140" i="45" s="1"/>
  <c r="C399" i="2" s="1"/>
  <c r="CU141" i="45"/>
  <c r="CU142" i="45"/>
  <c r="CW142" i="45" s="1"/>
  <c r="C401" i="2" s="1"/>
  <c r="B401" i="2" s="1"/>
  <c r="CU143" i="45"/>
  <c r="CW143" i="45" s="1"/>
  <c r="C402" i="2" s="1"/>
  <c r="B402" i="2" s="1"/>
  <c r="CU144" i="45"/>
  <c r="CU145" i="45"/>
  <c r="CU146" i="45"/>
  <c r="CW146" i="45" s="1"/>
  <c r="C405" i="2" s="1"/>
  <c r="B405" i="2" s="1"/>
  <c r="CU147" i="45"/>
  <c r="CW147" i="45" s="1"/>
  <c r="C406" i="2" s="1"/>
  <c r="B406" i="2" s="1"/>
  <c r="CU148" i="45"/>
  <c r="CW148" i="45" s="1"/>
  <c r="C407" i="2" s="1"/>
  <c r="CU149" i="45"/>
  <c r="CU150" i="45"/>
  <c r="CW150" i="45" s="1"/>
  <c r="C409" i="2" s="1"/>
  <c r="B409" i="2" s="1"/>
  <c r="CU151" i="45"/>
  <c r="CW151" i="45" s="1"/>
  <c r="C410" i="2" s="1"/>
  <c r="B410" i="2" s="1"/>
  <c r="CU152" i="45"/>
  <c r="CU153" i="45"/>
  <c r="CU154" i="45"/>
  <c r="CW154" i="45" s="1"/>
  <c r="C413" i="2" s="1"/>
  <c r="B413" i="2" s="1"/>
  <c r="CU155" i="45"/>
  <c r="CW155" i="45" s="1"/>
  <c r="C414" i="2" s="1"/>
  <c r="B414" i="2" s="1"/>
  <c r="CU156" i="45"/>
  <c r="CW156" i="45" s="1"/>
  <c r="C415" i="2" s="1"/>
  <c r="CU157" i="45"/>
  <c r="CU158" i="45"/>
  <c r="CW158" i="45" s="1"/>
  <c r="C417" i="2" s="1"/>
  <c r="B417" i="2" s="1"/>
  <c r="CU159" i="45"/>
  <c r="CW159" i="45" s="1"/>
  <c r="C418" i="2" s="1"/>
  <c r="CU160" i="45"/>
  <c r="CU161" i="45"/>
  <c r="CU162" i="45"/>
  <c r="CW162" i="45" s="1"/>
  <c r="C421" i="2" s="1"/>
  <c r="B421" i="2" s="1"/>
  <c r="CU163" i="45"/>
  <c r="CW163" i="45" s="1"/>
  <c r="C422" i="2" s="1"/>
  <c r="B422" i="2" s="1"/>
  <c r="CU164" i="45"/>
  <c r="CW164" i="45" s="1"/>
  <c r="C423" i="2" s="1"/>
  <c r="B423" i="2" s="1"/>
  <c r="CU165" i="45"/>
  <c r="CU166" i="45"/>
  <c r="CW166" i="45" s="1"/>
  <c r="C425" i="2" s="1"/>
  <c r="CU167" i="45"/>
  <c r="CW167" i="45" s="1"/>
  <c r="C426" i="2" s="1"/>
  <c r="B426" i="2" s="1"/>
  <c r="CU168" i="45"/>
  <c r="CW168" i="45" s="1"/>
  <c r="C427" i="2" s="1"/>
  <c r="B427" i="2" s="1"/>
  <c r="CU169" i="45"/>
  <c r="CU170" i="45"/>
  <c r="CW170" i="45" s="1"/>
  <c r="C429" i="2" s="1"/>
  <c r="B429" i="2" s="1"/>
  <c r="CU171" i="45"/>
  <c r="CW171" i="45" s="1"/>
  <c r="C430" i="2" s="1"/>
  <c r="CU172" i="45"/>
  <c r="CW172" i="45" s="1"/>
  <c r="C431" i="2" s="1"/>
  <c r="CU173" i="45"/>
  <c r="CU174" i="45"/>
  <c r="CW174" i="45" s="1"/>
  <c r="C433" i="2" s="1"/>
  <c r="B433" i="2" s="1"/>
  <c r="CU175" i="45"/>
  <c r="CW175" i="45" s="1"/>
  <c r="C434" i="2" s="1"/>
  <c r="B434" i="2" s="1"/>
  <c r="CU176" i="45"/>
  <c r="CU177" i="45"/>
  <c r="CU178" i="45"/>
  <c r="CW178" i="45" s="1"/>
  <c r="C437" i="2" s="1"/>
  <c r="B437" i="2" s="1"/>
  <c r="CU179" i="45"/>
  <c r="CW179" i="45" s="1"/>
  <c r="C438" i="2" s="1"/>
  <c r="B438" i="2" s="1"/>
  <c r="CU180" i="45"/>
  <c r="CW180" i="45" s="1"/>
  <c r="C439" i="2" s="1"/>
  <c r="CU181" i="45"/>
  <c r="CU182" i="45"/>
  <c r="CW182" i="45" s="1"/>
  <c r="C441" i="2" s="1"/>
  <c r="B441" i="2" s="1"/>
  <c r="CU183" i="45"/>
  <c r="CW183" i="45" s="1"/>
  <c r="C442" i="2" s="1"/>
  <c r="CU184" i="45"/>
  <c r="CU185" i="45"/>
  <c r="CU186" i="45"/>
  <c r="CW186" i="45" s="1"/>
  <c r="C445" i="2" s="1"/>
  <c r="B445" i="2" s="1"/>
  <c r="CU187" i="45"/>
  <c r="CW187" i="45" s="1"/>
  <c r="C446" i="2" s="1"/>
  <c r="B446" i="2" s="1"/>
  <c r="CU188" i="45"/>
  <c r="CW188" i="45" s="1"/>
  <c r="C447" i="2" s="1"/>
  <c r="B447" i="2" s="1"/>
  <c r="CU189" i="45"/>
  <c r="CU190" i="45"/>
  <c r="CW190" i="45" s="1"/>
  <c r="C449" i="2" s="1"/>
  <c r="B449" i="2" s="1"/>
  <c r="CU191" i="45"/>
  <c r="CW191" i="45" s="1"/>
  <c r="C450" i="2" s="1"/>
  <c r="B450" i="2" s="1"/>
  <c r="CU192" i="45"/>
  <c r="CU193" i="45"/>
  <c r="CU194" i="45"/>
  <c r="CW194" i="45" s="1"/>
  <c r="C453" i="2" s="1"/>
  <c r="B453" i="2" s="1"/>
  <c r="CU195" i="45"/>
  <c r="CW195" i="45" s="1"/>
  <c r="C454" i="2" s="1"/>
  <c r="CU196" i="45"/>
  <c r="CW196" i="45" s="1"/>
  <c r="C455" i="2" s="1"/>
  <c r="CU197" i="45"/>
  <c r="CU198" i="45"/>
  <c r="CW198" i="45" s="1"/>
  <c r="C457" i="2" s="1"/>
  <c r="B457" i="2" s="1"/>
  <c r="CU199" i="45"/>
  <c r="CW199" i="45" s="1"/>
  <c r="C458" i="2" s="1"/>
  <c r="B458" i="2" s="1"/>
  <c r="CU200" i="45"/>
  <c r="CU201" i="45"/>
  <c r="CU202" i="45"/>
  <c r="CW202" i="45" s="1"/>
  <c r="C461" i="2" s="1"/>
  <c r="B461" i="2" s="1"/>
  <c r="CU203" i="45"/>
  <c r="CW203" i="45" s="1"/>
  <c r="C462" i="2" s="1"/>
  <c r="B462" i="2" s="1"/>
  <c r="CU204" i="45"/>
  <c r="CW204" i="45" s="1"/>
  <c r="C463" i="2" s="1"/>
  <c r="CU205" i="45"/>
  <c r="CU206" i="45"/>
  <c r="CW206" i="45" s="1"/>
  <c r="C465" i="2" s="1"/>
  <c r="B465" i="2" s="1"/>
  <c r="CU207" i="45"/>
  <c r="CW207" i="45" s="1"/>
  <c r="C466" i="2" s="1"/>
  <c r="CU208" i="45"/>
  <c r="CW208" i="45" s="1"/>
  <c r="C467" i="2" s="1"/>
  <c r="CU209" i="45"/>
  <c r="CU210" i="45"/>
  <c r="CW210" i="45" s="1"/>
  <c r="C469" i="2" s="1"/>
  <c r="B469" i="2" s="1"/>
  <c r="CU211" i="45"/>
  <c r="CW211" i="45" s="1"/>
  <c r="C470" i="2" s="1"/>
  <c r="B470" i="2" s="1"/>
  <c r="CU212" i="45"/>
  <c r="CW212" i="45" s="1"/>
  <c r="C471" i="2" s="1"/>
  <c r="B471" i="2" s="1"/>
  <c r="CU213" i="45"/>
  <c r="CU214" i="45"/>
  <c r="CW214" i="45" s="1"/>
  <c r="C473" i="2" s="1"/>
  <c r="CU215" i="45"/>
  <c r="CW215" i="45" s="1"/>
  <c r="C474" i="2" s="1"/>
  <c r="B474" i="2" s="1"/>
  <c r="CU216" i="45"/>
  <c r="CU217" i="45"/>
  <c r="CU218" i="45"/>
  <c r="CW218" i="45" s="1"/>
  <c r="C477" i="2" s="1"/>
  <c r="B477" i="2" s="1"/>
  <c r="CU219" i="45"/>
  <c r="CW219" i="45" s="1"/>
  <c r="C478" i="2" s="1"/>
  <c r="B478" i="2" s="1"/>
  <c r="CU220" i="45"/>
  <c r="CU221" i="45"/>
  <c r="CU222" i="45"/>
  <c r="CW222" i="45" s="1"/>
  <c r="C481" i="2" s="1"/>
  <c r="B481" i="2" s="1"/>
  <c r="CU223" i="45"/>
  <c r="CW223" i="45" s="1"/>
  <c r="C482" i="2" s="1"/>
  <c r="B482" i="2" s="1"/>
  <c r="CU224" i="45"/>
  <c r="CU225" i="45"/>
  <c r="CU226" i="45"/>
  <c r="CW226" i="45" s="1"/>
  <c r="C485" i="2" s="1"/>
  <c r="B485" i="2" s="1"/>
  <c r="CU227" i="45"/>
  <c r="CW227" i="45" s="1"/>
  <c r="C486" i="2" s="1"/>
  <c r="B486" i="2" s="1"/>
  <c r="CU228" i="45"/>
  <c r="CW228" i="45" s="1"/>
  <c r="C487" i="2" s="1"/>
  <c r="B487" i="2" s="1"/>
  <c r="CU229" i="45"/>
  <c r="CU230" i="45"/>
  <c r="CW230" i="45" s="1"/>
  <c r="C489" i="2" s="1"/>
  <c r="B489" i="2" s="1"/>
  <c r="CU231" i="45"/>
  <c r="CW231" i="45" s="1"/>
  <c r="C490" i="2" s="1"/>
  <c r="CU232" i="45"/>
  <c r="CU233" i="45"/>
  <c r="CU234" i="45"/>
  <c r="CW234" i="45" s="1"/>
  <c r="C493" i="2" s="1"/>
  <c r="B493" i="2" s="1"/>
  <c r="CU235" i="45"/>
  <c r="CW235" i="45" s="1"/>
  <c r="C494" i="2" s="1"/>
  <c r="B494" i="2" s="1"/>
  <c r="CU236" i="45"/>
  <c r="CW236" i="45" s="1"/>
  <c r="C495" i="2" s="1"/>
  <c r="B495" i="2" s="1"/>
  <c r="CU237" i="45"/>
  <c r="CU238" i="45"/>
  <c r="CW238" i="45" s="1"/>
  <c r="C497" i="2" s="1"/>
  <c r="CU239" i="45"/>
  <c r="CW239" i="45" s="1"/>
  <c r="C498" i="2" s="1"/>
  <c r="B498" i="2" s="1"/>
  <c r="CU240" i="45"/>
  <c r="CU241" i="45"/>
  <c r="CU242" i="45"/>
  <c r="CW242" i="45" s="1"/>
  <c r="C501" i="2" s="1"/>
  <c r="B501" i="2" s="1"/>
  <c r="CU243" i="45"/>
  <c r="CU244" i="45"/>
  <c r="CW244" i="45" s="1"/>
  <c r="C503" i="2" s="1"/>
  <c r="CU245" i="45"/>
  <c r="CU246" i="45"/>
  <c r="CW246" i="45" s="1"/>
  <c r="C505" i="2" s="1"/>
  <c r="B505" i="2" s="1"/>
  <c r="CU247" i="45"/>
  <c r="CW247" i="45" s="1"/>
  <c r="C506" i="2" s="1"/>
  <c r="B506" i="2" s="1"/>
  <c r="CU248" i="45"/>
  <c r="CU249" i="45"/>
  <c r="CU250" i="45"/>
  <c r="CW250" i="45" s="1"/>
  <c r="C509" i="2" s="1"/>
  <c r="CU251" i="45"/>
  <c r="CW251" i="45" s="1"/>
  <c r="C510" i="2" s="1"/>
  <c r="B510" i="2" s="1"/>
  <c r="CU252" i="45"/>
  <c r="CW252" i="45" s="1"/>
  <c r="C511" i="2" s="1"/>
  <c r="B511" i="2" s="1"/>
  <c r="CU253" i="45"/>
  <c r="CU254" i="45"/>
  <c r="CW254" i="45" s="1"/>
  <c r="C513" i="2" s="1"/>
  <c r="B513" i="2" s="1"/>
  <c r="CU255" i="45"/>
  <c r="CW255" i="45" s="1"/>
  <c r="C514" i="2" s="1"/>
  <c r="CU256" i="45"/>
  <c r="CU257" i="45"/>
  <c r="CU258" i="45"/>
  <c r="CW258" i="45" s="1"/>
  <c r="C517" i="2" s="1"/>
  <c r="B517" i="2" s="1"/>
  <c r="CU259" i="45"/>
  <c r="CW259" i="45" s="1"/>
  <c r="C518" i="2" s="1"/>
  <c r="B518" i="2" s="1"/>
  <c r="CU260" i="45"/>
  <c r="CW260" i="45" s="1"/>
  <c r="C519" i="2" s="1"/>
  <c r="B519" i="2" s="1"/>
  <c r="CU261" i="45"/>
  <c r="CU262" i="45"/>
  <c r="CW262" i="45" s="1"/>
  <c r="C521" i="2" s="1"/>
  <c r="CU263" i="45"/>
  <c r="CW263" i="45" s="1"/>
  <c r="C522" i="2" s="1"/>
  <c r="B522" i="2" s="1"/>
  <c r="CU264" i="45"/>
  <c r="CU265" i="45"/>
  <c r="CU266" i="45"/>
  <c r="CW266" i="45" s="1"/>
  <c r="C525" i="2" s="1"/>
  <c r="B525" i="2" s="1"/>
  <c r="CU267" i="45"/>
  <c r="CW267" i="45" s="1"/>
  <c r="C526" i="2" s="1"/>
  <c r="B526" i="2" s="1"/>
  <c r="CU268" i="45"/>
  <c r="CW268" i="45" s="1"/>
  <c r="C527" i="2" s="1"/>
  <c r="CU269" i="45"/>
  <c r="CU270" i="45"/>
  <c r="CW270" i="45" s="1"/>
  <c r="C529" i="2" s="1"/>
  <c r="B529" i="2" s="1"/>
  <c r="CU271" i="45"/>
  <c r="CW271" i="45" s="1"/>
  <c r="C530" i="2" s="1"/>
  <c r="B530" i="2" s="1"/>
  <c r="CU272" i="45"/>
  <c r="CU273" i="45"/>
  <c r="CU274" i="45"/>
  <c r="CW274" i="45" s="1"/>
  <c r="C533" i="2" s="1"/>
  <c r="B533" i="2" s="1"/>
  <c r="CU275" i="45"/>
  <c r="CW275" i="45" s="1"/>
  <c r="C534" i="2" s="1"/>
  <c r="B534" i="2" s="1"/>
  <c r="CU276" i="45"/>
  <c r="CW276" i="45" s="1"/>
  <c r="C535" i="2" s="1"/>
  <c r="CU277" i="45"/>
  <c r="CU278" i="45"/>
  <c r="CW278" i="45" s="1"/>
  <c r="C537" i="2" s="1"/>
  <c r="B537" i="2" s="1"/>
  <c r="CU279" i="45"/>
  <c r="CW279" i="45" s="1"/>
  <c r="C538" i="2" s="1"/>
  <c r="CU280" i="45"/>
  <c r="CU281" i="45"/>
  <c r="CU282" i="45"/>
  <c r="CW282" i="45" s="1"/>
  <c r="C541" i="2" s="1"/>
  <c r="B541" i="2" s="1"/>
  <c r="CU283" i="45"/>
  <c r="CW283" i="45" s="1"/>
  <c r="C542" i="2" s="1"/>
  <c r="B542" i="2" s="1"/>
  <c r="CU284" i="45"/>
  <c r="CW284" i="45" s="1"/>
  <c r="C543" i="2" s="1"/>
  <c r="B543" i="2" s="1"/>
  <c r="CU285" i="45"/>
  <c r="CU286" i="45"/>
  <c r="CW286" i="45" s="1"/>
  <c r="C545" i="2" s="1"/>
  <c r="CU287" i="45"/>
  <c r="CW287" i="45" s="1"/>
  <c r="C546" i="2" s="1"/>
  <c r="B546" i="2" s="1"/>
  <c r="CU288" i="45"/>
  <c r="CU289" i="45"/>
  <c r="CU290" i="45"/>
  <c r="CW290" i="45" s="1"/>
  <c r="C549" i="2" s="1"/>
  <c r="B549" i="2" s="1"/>
  <c r="CU291" i="45"/>
  <c r="CU292" i="45"/>
  <c r="CW292" i="45" s="1"/>
  <c r="C551" i="2" s="1"/>
  <c r="CU293" i="45"/>
  <c r="CU294" i="45"/>
  <c r="CW294" i="45" s="1"/>
  <c r="C553" i="2" s="1"/>
  <c r="B553" i="2" s="1"/>
  <c r="CU295" i="45"/>
  <c r="CW295" i="45" s="1"/>
  <c r="C554" i="2" s="1"/>
  <c r="B554" i="2" s="1"/>
  <c r="CU296" i="45"/>
  <c r="CU297" i="45"/>
  <c r="CU298" i="45"/>
  <c r="CW298" i="45" s="1"/>
  <c r="C557" i="2" s="1"/>
  <c r="B557" i="2" s="1"/>
  <c r="CU299" i="45"/>
  <c r="CW299" i="45" s="1"/>
  <c r="C558" i="2" s="1"/>
  <c r="B558" i="2" s="1"/>
  <c r="CU300" i="45"/>
  <c r="CW300" i="45" s="1"/>
  <c r="C559" i="2" s="1"/>
  <c r="CU301" i="45"/>
  <c r="CU302" i="45"/>
  <c r="CW302" i="45" s="1"/>
  <c r="C561" i="2" s="1"/>
  <c r="B561" i="2" s="1"/>
  <c r="CU303" i="45"/>
  <c r="CW303" i="45" s="1"/>
  <c r="C562" i="2" s="1"/>
  <c r="B562" i="2" s="1"/>
  <c r="CU304" i="45"/>
  <c r="CU305" i="45"/>
  <c r="CU306" i="45"/>
  <c r="CW306" i="45" s="1"/>
  <c r="C565" i="2" s="1"/>
  <c r="B565" i="2" s="1"/>
  <c r="CU307" i="45"/>
  <c r="CW307" i="45" s="1"/>
  <c r="C566" i="2" s="1"/>
  <c r="B566" i="2" s="1"/>
  <c r="CU308" i="45"/>
  <c r="CW308" i="45" s="1"/>
  <c r="C567" i="2" s="1"/>
  <c r="CU309" i="45"/>
  <c r="CU310" i="45"/>
  <c r="CU311" i="45"/>
  <c r="CW311" i="45" s="1"/>
  <c r="C570" i="2" s="1"/>
  <c r="B570" i="2" s="1"/>
  <c r="CU312" i="45"/>
  <c r="CU313" i="45"/>
  <c r="CU314" i="45"/>
  <c r="CW314" i="45" s="1"/>
  <c r="C573" i="2" s="1"/>
  <c r="B573" i="2" s="1"/>
  <c r="CU315" i="45"/>
  <c r="CW315" i="45" s="1"/>
  <c r="C574" i="2" s="1"/>
  <c r="B574" i="2" s="1"/>
  <c r="CU316" i="45"/>
  <c r="CW316" i="45" s="1"/>
  <c r="C575" i="2" s="1"/>
  <c r="CU317" i="45"/>
  <c r="CU318" i="45"/>
  <c r="CW318" i="45" s="1"/>
  <c r="C577" i="2" s="1"/>
  <c r="B577" i="2" s="1"/>
  <c r="CU319" i="45"/>
  <c r="CW319" i="45" s="1"/>
  <c r="C578" i="2" s="1"/>
  <c r="B578" i="2" s="1"/>
  <c r="CU320" i="45"/>
  <c r="CU321" i="45"/>
  <c r="CU322" i="45"/>
  <c r="CW322" i="45" s="1"/>
  <c r="C581" i="2" s="1"/>
  <c r="B581" i="2" s="1"/>
  <c r="CU323" i="45"/>
  <c r="CW323" i="45" s="1"/>
  <c r="C582" i="2" s="1"/>
  <c r="B582" i="2" s="1"/>
  <c r="CU324" i="45"/>
  <c r="CU325" i="45"/>
  <c r="CU326" i="45"/>
  <c r="CW326" i="45" s="1"/>
  <c r="C585" i="2" s="1"/>
  <c r="B585" i="2" s="1"/>
  <c r="CU327" i="45"/>
  <c r="CW327" i="45" s="1"/>
  <c r="C586" i="2" s="1"/>
  <c r="B586" i="2" s="1"/>
  <c r="CU328" i="45"/>
  <c r="CU329" i="45"/>
  <c r="CU330" i="45"/>
  <c r="CW330" i="45" s="1"/>
  <c r="C589" i="2" s="1"/>
  <c r="B589" i="2" s="1"/>
  <c r="CU331" i="45"/>
  <c r="CW331" i="45" s="1"/>
  <c r="C590" i="2" s="1"/>
  <c r="B590" i="2" s="1"/>
  <c r="CU332" i="45"/>
  <c r="CW332" i="45" s="1"/>
  <c r="C591" i="2" s="1"/>
  <c r="B591" i="2" s="1"/>
  <c r="CU333" i="45"/>
  <c r="CU334" i="45"/>
  <c r="CW334" i="45" s="1"/>
  <c r="C593" i="2" s="1"/>
  <c r="CU335" i="45"/>
  <c r="CW335" i="45" s="1"/>
  <c r="C594" i="2" s="1"/>
  <c r="B594" i="2" s="1"/>
  <c r="CU336" i="45"/>
  <c r="CU337" i="45"/>
  <c r="CU338" i="45"/>
  <c r="CW338" i="45" s="1"/>
  <c r="C597" i="2" s="1"/>
  <c r="B597" i="2" s="1"/>
  <c r="CU339" i="45"/>
  <c r="CW339" i="45" s="1"/>
  <c r="C598" i="2" s="1"/>
  <c r="B598" i="2" s="1"/>
  <c r="CU340" i="45"/>
  <c r="CW340" i="45" s="1"/>
  <c r="C599" i="2" s="1"/>
  <c r="CU341" i="45"/>
  <c r="CU342" i="45"/>
  <c r="CW342" i="45" s="1"/>
  <c r="C601" i="2" s="1"/>
  <c r="B601" i="2" s="1"/>
  <c r="CU343" i="45"/>
  <c r="CW343" i="45" s="1"/>
  <c r="C602" i="2" s="1"/>
  <c r="B602" i="2" s="1"/>
  <c r="CU344" i="45"/>
  <c r="CU345" i="45"/>
  <c r="CU346" i="45"/>
  <c r="CW346" i="45" s="1"/>
  <c r="C605" i="2" s="1"/>
  <c r="B605" i="2" s="1"/>
  <c r="CU347" i="45"/>
  <c r="CW347" i="45" s="1"/>
  <c r="C606" i="2" s="1"/>
  <c r="B606" i="2" s="1"/>
  <c r="CU348" i="45"/>
  <c r="CW348" i="45" s="1"/>
  <c r="C607" i="2" s="1"/>
  <c r="CU349" i="45"/>
  <c r="CU350" i="45"/>
  <c r="CW350" i="45" s="1"/>
  <c r="C609" i="2" s="1"/>
  <c r="B609" i="2" s="1"/>
  <c r="CU351" i="45"/>
  <c r="CW351" i="45" s="1"/>
  <c r="C610" i="2" s="1"/>
  <c r="CU352" i="45"/>
  <c r="CU353" i="45"/>
  <c r="CU354" i="45"/>
  <c r="CW354" i="45" s="1"/>
  <c r="C613" i="2" s="1"/>
  <c r="B613" i="2" s="1"/>
  <c r="CU355" i="45"/>
  <c r="CW355" i="45" s="1"/>
  <c r="C614" i="2" s="1"/>
  <c r="B614" i="2" s="1"/>
  <c r="CU356" i="45"/>
  <c r="CW356" i="45" s="1"/>
  <c r="C615" i="2" s="1"/>
  <c r="B615" i="2" s="1"/>
  <c r="CU357" i="45"/>
  <c r="CU358" i="45"/>
  <c r="CW358" i="45" s="1"/>
  <c r="C617" i="2" s="1"/>
  <c r="CU359" i="45"/>
  <c r="CW359" i="45" s="1"/>
  <c r="C618" i="2" s="1"/>
  <c r="B618" i="2" s="1"/>
  <c r="CU360" i="45"/>
  <c r="CU361" i="45"/>
  <c r="CU362" i="45"/>
  <c r="CW362" i="45" s="1"/>
  <c r="C621" i="2" s="1"/>
  <c r="B621" i="2" s="1"/>
  <c r="CU363" i="45"/>
  <c r="CW363" i="45" s="1"/>
  <c r="C622" i="2" s="1"/>
  <c r="B622" i="2" s="1"/>
  <c r="CU364" i="45"/>
  <c r="CU365" i="45"/>
  <c r="CU366" i="45"/>
  <c r="CW366" i="45" s="1"/>
  <c r="C625" i="2" s="1"/>
  <c r="B625" i="2" s="1"/>
  <c r="CU367" i="45"/>
  <c r="CW367" i="45" s="1"/>
  <c r="C626" i="2" s="1"/>
  <c r="B626" i="2" s="1"/>
  <c r="CU368" i="45"/>
  <c r="CU369" i="45"/>
  <c r="CU370" i="45"/>
  <c r="CW370" i="45" s="1"/>
  <c r="C629" i="2" s="1"/>
  <c r="B629" i="2" s="1"/>
  <c r="CU371" i="45"/>
  <c r="CW371" i="45" s="1"/>
  <c r="C630" i="2" s="1"/>
  <c r="B630" i="2" s="1"/>
  <c r="CU372" i="45"/>
  <c r="CW372" i="45" s="1"/>
  <c r="C631" i="2" s="1"/>
  <c r="B631" i="2" s="1"/>
  <c r="CU373" i="45"/>
  <c r="CU374" i="45"/>
  <c r="CW374" i="45" s="1"/>
  <c r="C633" i="2" s="1"/>
  <c r="B633" i="2" s="1"/>
  <c r="CU375" i="45"/>
  <c r="CW375" i="45" s="1"/>
  <c r="C634" i="2" s="1"/>
  <c r="CU376" i="45"/>
  <c r="CU377" i="45"/>
  <c r="CU378" i="45"/>
  <c r="CW378" i="45" s="1"/>
  <c r="C637" i="2" s="1"/>
  <c r="B637" i="2" s="1"/>
  <c r="CU379" i="45"/>
  <c r="CW379" i="45" s="1"/>
  <c r="C638" i="2" s="1"/>
  <c r="B638" i="2" s="1"/>
  <c r="CU380" i="45"/>
  <c r="CW380" i="45" s="1"/>
  <c r="C639" i="2" s="1"/>
  <c r="B639" i="2" s="1"/>
  <c r="CU381" i="45"/>
  <c r="CU382" i="45"/>
  <c r="CW382" i="45" s="1"/>
  <c r="C641" i="2" s="1"/>
  <c r="CU383" i="45"/>
  <c r="CW383" i="45" s="1"/>
  <c r="C642" i="2" s="1"/>
  <c r="B642" i="2" s="1"/>
  <c r="CU384" i="45"/>
  <c r="CU385" i="45"/>
  <c r="CU386" i="45"/>
  <c r="CW386" i="45" s="1"/>
  <c r="C645" i="2" s="1"/>
  <c r="B645" i="2" s="1"/>
  <c r="CU387" i="45"/>
  <c r="CW387" i="45" s="1"/>
  <c r="C646" i="2" s="1"/>
  <c r="CU388" i="45"/>
  <c r="CW388" i="45" s="1"/>
  <c r="C647" i="2" s="1"/>
  <c r="CU389" i="45"/>
  <c r="CU390" i="45"/>
  <c r="CW390" i="45" s="1"/>
  <c r="C649" i="2" s="1"/>
  <c r="B649" i="2" s="1"/>
  <c r="CU391" i="45"/>
  <c r="CW391" i="45" s="1"/>
  <c r="C650" i="2" s="1"/>
  <c r="B650" i="2" s="1"/>
  <c r="CU392" i="45"/>
  <c r="CU393" i="45"/>
  <c r="CU394" i="45"/>
  <c r="CW394" i="45" s="1"/>
  <c r="C653" i="2" s="1"/>
  <c r="B653" i="2" s="1"/>
  <c r="CU395" i="45"/>
  <c r="CW395" i="45" s="1"/>
  <c r="C654" i="2" s="1"/>
  <c r="B654" i="2" s="1"/>
  <c r="CU396" i="45"/>
  <c r="CW396" i="45" s="1"/>
  <c r="C655" i="2" s="1"/>
  <c r="CU397" i="45"/>
  <c r="CU398" i="45"/>
  <c r="CW398" i="45" s="1"/>
  <c r="C657" i="2" s="1"/>
  <c r="B657" i="2" s="1"/>
  <c r="CU399" i="45"/>
  <c r="CW399" i="45" s="1"/>
  <c r="C658" i="2" s="1"/>
  <c r="B658" i="2" s="1"/>
  <c r="CU400" i="45"/>
  <c r="CU401" i="45"/>
  <c r="CU402" i="45"/>
  <c r="CW402" i="45" s="1"/>
  <c r="C661" i="2" s="1"/>
  <c r="B661" i="2" s="1"/>
  <c r="CU403" i="45"/>
  <c r="CW403" i="45" s="1"/>
  <c r="C662" i="2" s="1"/>
  <c r="B662" i="2" s="1"/>
  <c r="CU404" i="45"/>
  <c r="CW404" i="45" s="1"/>
  <c r="C663" i="2" s="1"/>
  <c r="B663" i="2" s="1"/>
  <c r="CU405" i="45"/>
  <c r="CU406" i="45"/>
  <c r="CW406" i="45" s="1"/>
  <c r="C665" i="2" s="1"/>
  <c r="B665" i="2" s="1"/>
  <c r="CU407" i="45"/>
  <c r="CW407" i="45" s="1"/>
  <c r="C666" i="2" s="1"/>
  <c r="CU408" i="45"/>
  <c r="CU409" i="45"/>
  <c r="CU410" i="45"/>
  <c r="CW410" i="45" s="1"/>
  <c r="C669" i="2" s="1"/>
  <c r="B669" i="2" s="1"/>
  <c r="CU411" i="45"/>
  <c r="CW411" i="45" s="1"/>
  <c r="C670" i="2" s="1"/>
  <c r="B670" i="2" s="1"/>
  <c r="CU412" i="45"/>
  <c r="CW412" i="45" s="1"/>
  <c r="C671" i="2" s="1"/>
  <c r="CU413" i="45"/>
  <c r="CU414" i="45"/>
  <c r="CW414" i="45" s="1"/>
  <c r="C673" i="2" s="1"/>
  <c r="B673" i="2" s="1"/>
  <c r="CU415" i="45"/>
  <c r="CW415" i="45" s="1"/>
  <c r="C674" i="2" s="1"/>
  <c r="B674" i="2" s="1"/>
  <c r="CU416" i="45"/>
  <c r="CU417" i="45"/>
  <c r="CU418" i="45"/>
  <c r="CW418" i="45" s="1"/>
  <c r="C677" i="2" s="1"/>
  <c r="B677" i="2" s="1"/>
  <c r="CU419" i="45"/>
  <c r="CW419" i="45" s="1"/>
  <c r="C678" i="2" s="1"/>
  <c r="B678" i="2" s="1"/>
  <c r="CU420" i="45"/>
  <c r="CW420" i="45" s="1"/>
  <c r="C679" i="2" s="1"/>
  <c r="CU421" i="45"/>
  <c r="CU422" i="45"/>
  <c r="CW422" i="45" s="1"/>
  <c r="C681" i="2" s="1"/>
  <c r="B681" i="2" s="1"/>
  <c r="CU423" i="45"/>
  <c r="CW423" i="45" s="1"/>
  <c r="C682" i="2" s="1"/>
  <c r="B682" i="2" s="1"/>
  <c r="CU424" i="45"/>
  <c r="CU425" i="45"/>
  <c r="CU426" i="45"/>
  <c r="CW426" i="45" s="1"/>
  <c r="C685" i="2" s="1"/>
  <c r="B685" i="2" s="1"/>
  <c r="CU427" i="45"/>
  <c r="CW427" i="45" s="1"/>
  <c r="C686" i="2" s="1"/>
  <c r="B686" i="2" s="1"/>
  <c r="CU428" i="45"/>
  <c r="CW428" i="45" s="1"/>
  <c r="C687" i="2" s="1"/>
  <c r="B687" i="2" s="1"/>
  <c r="CU429" i="45"/>
  <c r="CU430" i="45"/>
  <c r="CW430" i="45" s="1"/>
  <c r="C689" i="2" s="1"/>
  <c r="CU431" i="45"/>
  <c r="CW431" i="45" s="1"/>
  <c r="C690" i="2" s="1"/>
  <c r="B690" i="2" s="1"/>
  <c r="CU432" i="45"/>
  <c r="CU433" i="45"/>
  <c r="CU434" i="45"/>
  <c r="CW434" i="45" s="1"/>
  <c r="C693" i="2" s="1"/>
  <c r="B693" i="2" s="1"/>
  <c r="CU435" i="45"/>
  <c r="CW435" i="45" s="1"/>
  <c r="C694" i="2" s="1"/>
  <c r="B694" i="2" s="1"/>
  <c r="CU436" i="45"/>
  <c r="CW436" i="45" s="1"/>
  <c r="CU437" i="45"/>
  <c r="CU438" i="45"/>
  <c r="CW438" i="45" s="1"/>
  <c r="CU439" i="45"/>
  <c r="CW439" i="45" s="1"/>
  <c r="CU440" i="45"/>
  <c r="CU441" i="45"/>
  <c r="CU442" i="45"/>
  <c r="CW442" i="45" s="1"/>
  <c r="CU443" i="45"/>
  <c r="CW443" i="45" s="1"/>
  <c r="CU444" i="45"/>
  <c r="CW444" i="45" s="1"/>
  <c r="CU445" i="45"/>
  <c r="CU446" i="45"/>
  <c r="CW446" i="45" s="1"/>
  <c r="CU447" i="45"/>
  <c r="CW447" i="45" s="1"/>
  <c r="CU448" i="45"/>
  <c r="CW448" i="45" s="1"/>
  <c r="CU449" i="45"/>
  <c r="CU450" i="45"/>
  <c r="CW450" i="45" s="1"/>
  <c r="CU451" i="45"/>
  <c r="CW451" i="45" s="1"/>
  <c r="CU452" i="45"/>
  <c r="CW452" i="45" s="1"/>
  <c r="CU453" i="45"/>
  <c r="CU454" i="45"/>
  <c r="CW454" i="45" s="1"/>
  <c r="CU455" i="45"/>
  <c r="CW455" i="45" s="1"/>
  <c r="CU456" i="45"/>
  <c r="CW456" i="45" s="1"/>
  <c r="CU457" i="45"/>
  <c r="CU458" i="45"/>
  <c r="CW458" i="45" s="1"/>
  <c r="CU459" i="45"/>
  <c r="CW459" i="45" s="1"/>
  <c r="CU460" i="45"/>
  <c r="CW460" i="45" s="1"/>
  <c r="C695" i="2" s="1"/>
  <c r="CU461" i="45"/>
  <c r="CU462" i="45"/>
  <c r="CW462" i="45" s="1"/>
  <c r="C697" i="2" s="1"/>
  <c r="B697" i="2" s="1"/>
  <c r="CU463" i="45"/>
  <c r="CW463" i="45" s="1"/>
  <c r="C698" i="2" s="1"/>
  <c r="B698" i="2" s="1"/>
  <c r="CU464" i="45"/>
  <c r="CU465" i="45"/>
  <c r="CU466" i="45"/>
  <c r="CW466" i="45" s="1"/>
  <c r="C701" i="2" s="1"/>
  <c r="B701" i="2" s="1"/>
  <c r="CU467" i="45"/>
  <c r="CW467" i="45" s="1"/>
  <c r="C702" i="2" s="1"/>
  <c r="B702" i="2" s="1"/>
  <c r="CU468" i="45"/>
  <c r="CW468" i="45" s="1"/>
  <c r="C703" i="2" s="1"/>
  <c r="CU469" i="45"/>
  <c r="CU470" i="45"/>
  <c r="CW470" i="45" s="1"/>
  <c r="C705" i="2" s="1"/>
  <c r="B705" i="2" s="1"/>
  <c r="CU471" i="45"/>
  <c r="CW471" i="45" s="1"/>
  <c r="C706" i="2" s="1"/>
  <c r="CU472" i="45"/>
  <c r="CU473" i="45"/>
  <c r="CU474" i="45"/>
  <c r="CW474" i="45" s="1"/>
  <c r="C709" i="2" s="1"/>
  <c r="B709" i="2" s="1"/>
  <c r="CU475" i="45"/>
  <c r="CW475" i="45" s="1"/>
  <c r="C710" i="2" s="1"/>
  <c r="B710" i="2" s="1"/>
  <c r="CU476" i="45"/>
  <c r="CW476" i="45" s="1"/>
  <c r="C711" i="2" s="1"/>
  <c r="B711" i="2" s="1"/>
  <c r="CU477" i="45"/>
  <c r="CU478" i="45"/>
  <c r="CW478" i="45" s="1"/>
  <c r="C713" i="2" s="1"/>
  <c r="CU479" i="45"/>
  <c r="CW479" i="45" s="1"/>
  <c r="C714" i="2" s="1"/>
  <c r="B714" i="2" s="1"/>
  <c r="CU480" i="45"/>
  <c r="CU481" i="45"/>
  <c r="CU482" i="45"/>
  <c r="CW482" i="45" s="1"/>
  <c r="C717" i="2" s="1"/>
  <c r="B717" i="2" s="1"/>
  <c r="CU483" i="45"/>
  <c r="CW483" i="45" s="1"/>
  <c r="C718" i="2" s="1"/>
  <c r="B718" i="2" s="1"/>
  <c r="CU484" i="45"/>
  <c r="CW484" i="45" s="1"/>
  <c r="C719" i="2" s="1"/>
  <c r="CU485" i="45"/>
  <c r="CU486" i="45"/>
  <c r="CW486" i="45" s="1"/>
  <c r="C721" i="2" s="1"/>
  <c r="B721" i="2" s="1"/>
  <c r="CU487" i="45"/>
  <c r="CW487" i="45" s="1"/>
  <c r="C722" i="2" s="1"/>
  <c r="B722" i="2" s="1"/>
  <c r="CU488" i="45"/>
  <c r="CW488" i="45" s="1"/>
  <c r="C723" i="2" s="1"/>
  <c r="B723" i="2" s="1"/>
  <c r="CU489" i="45"/>
  <c r="CU490" i="45"/>
  <c r="CW490" i="45" s="1"/>
  <c r="C725" i="2" s="1"/>
  <c r="B725" i="2" s="1"/>
  <c r="CU491" i="45"/>
  <c r="CW491" i="45" s="1"/>
  <c r="C726" i="2" s="1"/>
  <c r="B726" i="2" s="1"/>
  <c r="CU492" i="45"/>
  <c r="CW492" i="45" s="1"/>
  <c r="C727" i="2" s="1"/>
  <c r="B727" i="2" s="1"/>
  <c r="CU493" i="45"/>
  <c r="CU494" i="45"/>
  <c r="CW494" i="45" s="1"/>
  <c r="C729" i="2" s="1"/>
  <c r="B729" i="2" s="1"/>
  <c r="CU495" i="45"/>
  <c r="CW495" i="45" s="1"/>
  <c r="C730" i="2" s="1"/>
  <c r="B730" i="2" s="1"/>
  <c r="CU496" i="45"/>
  <c r="CU497" i="45"/>
  <c r="CU498" i="45"/>
  <c r="CW498" i="45" s="1"/>
  <c r="C733" i="2" s="1"/>
  <c r="B733" i="2" s="1"/>
  <c r="CU499" i="45"/>
  <c r="CW499" i="45" s="1"/>
  <c r="C734" i="2" s="1"/>
  <c r="B734" i="2" s="1"/>
  <c r="CU500" i="45"/>
  <c r="CW500" i="45" s="1"/>
  <c r="C735" i="2" s="1"/>
  <c r="B735" i="2" s="1"/>
  <c r="CU501" i="45"/>
  <c r="CU502" i="45"/>
  <c r="CW502" i="45" s="1"/>
  <c r="C737" i="2" s="1"/>
  <c r="B737" i="2" s="1"/>
  <c r="CU503" i="45"/>
  <c r="CW503" i="45" s="1"/>
  <c r="C738" i="2" s="1"/>
  <c r="CU504" i="45"/>
  <c r="CW504" i="45" s="1"/>
  <c r="C739" i="2" s="1"/>
  <c r="B739" i="2" s="1"/>
  <c r="CU505" i="45"/>
  <c r="CU506" i="45"/>
  <c r="CW506" i="45" s="1"/>
  <c r="C741" i="2" s="1"/>
  <c r="B741" i="2" s="1"/>
  <c r="CU507" i="45"/>
  <c r="CW507" i="45" s="1"/>
  <c r="C742" i="2" s="1"/>
  <c r="B742" i="2" s="1"/>
  <c r="CU508" i="45"/>
  <c r="CW508" i="45" s="1"/>
  <c r="C743" i="2" s="1"/>
  <c r="CU509" i="45"/>
  <c r="CU510" i="45"/>
  <c r="CW510" i="45" s="1"/>
  <c r="C745" i="2" s="1"/>
  <c r="B745" i="2" s="1"/>
  <c r="CU511" i="45"/>
  <c r="CW511" i="45" s="1"/>
  <c r="C746" i="2" s="1"/>
  <c r="B746" i="2" s="1"/>
  <c r="CU512" i="45"/>
  <c r="CU513" i="45"/>
  <c r="CU514" i="45"/>
  <c r="CW514" i="45" s="1"/>
  <c r="CU515" i="45"/>
  <c r="CW515" i="45" s="1"/>
  <c r="CU516" i="45"/>
  <c r="CW516" i="45" s="1"/>
  <c r="CU517" i="45"/>
  <c r="CU518" i="45"/>
  <c r="CW518" i="45" s="1"/>
  <c r="CU519" i="45"/>
  <c r="CW519" i="45" s="1"/>
  <c r="CU520" i="45"/>
  <c r="CU521" i="45"/>
  <c r="CU522" i="45"/>
  <c r="CW522" i="45" s="1"/>
  <c r="C751" i="2" s="1"/>
  <c r="B751" i="2" s="1"/>
  <c r="CU523" i="45"/>
  <c r="CW523" i="45" s="1"/>
  <c r="C752" i="2" s="1"/>
  <c r="B752" i="2" s="1"/>
  <c r="CU524" i="45"/>
  <c r="CW524" i="45" s="1"/>
  <c r="C753" i="2" s="1"/>
  <c r="B753" i="2" s="1"/>
  <c r="CU525" i="45"/>
  <c r="CU526" i="45"/>
  <c r="CW526" i="45" s="1"/>
  <c r="C755" i="2" s="1"/>
  <c r="CU527" i="45"/>
  <c r="CW527" i="45" s="1"/>
  <c r="C756" i="2" s="1"/>
  <c r="B756" i="2" s="1"/>
  <c r="CU528" i="45"/>
  <c r="CU529" i="45"/>
  <c r="CU530" i="45"/>
  <c r="CW530" i="45" s="1"/>
  <c r="C759" i="2" s="1"/>
  <c r="B759" i="2" s="1"/>
  <c r="CU531" i="45"/>
  <c r="CW531" i="45" s="1"/>
  <c r="C760" i="2" s="1"/>
  <c r="B760" i="2" s="1"/>
  <c r="CU532" i="45"/>
  <c r="CW532" i="45" s="1"/>
  <c r="C761" i="2" s="1"/>
  <c r="CU533" i="45"/>
  <c r="CU534" i="45"/>
  <c r="CW534" i="45" s="1"/>
  <c r="C763" i="2" s="1"/>
  <c r="B763" i="2" s="1"/>
  <c r="CU535" i="45"/>
  <c r="CW535" i="45" s="1"/>
  <c r="C764" i="2" s="1"/>
  <c r="B764" i="2" s="1"/>
  <c r="CU536" i="45"/>
  <c r="CU537" i="45"/>
  <c r="CU538" i="45"/>
  <c r="CW538" i="45" s="1"/>
  <c r="C767" i="2" s="1"/>
  <c r="B767" i="2" s="1"/>
  <c r="CU539" i="45"/>
  <c r="CW539" i="45" s="1"/>
  <c r="C768" i="2" s="1"/>
  <c r="B768" i="2" s="1"/>
  <c r="CU540" i="45"/>
  <c r="CW540" i="45" s="1"/>
  <c r="C769" i="2" s="1"/>
  <c r="CU541" i="45"/>
  <c r="CU542" i="45"/>
  <c r="CW542" i="45" s="1"/>
  <c r="C771" i="2" s="1"/>
  <c r="B771" i="2" s="1"/>
  <c r="CU543" i="45"/>
  <c r="CW543" i="45" s="1"/>
  <c r="C772" i="2" s="1"/>
  <c r="CU544" i="45"/>
  <c r="CU545" i="45"/>
  <c r="CU546" i="45"/>
  <c r="CW546" i="45" s="1"/>
  <c r="C775" i="2" s="1"/>
  <c r="B775" i="2" s="1"/>
  <c r="CU547" i="45"/>
  <c r="CW547" i="45" s="1"/>
  <c r="C776" i="2" s="1"/>
  <c r="B776" i="2" s="1"/>
  <c r="CU548" i="45"/>
  <c r="CW548" i="45" s="1"/>
  <c r="C777" i="2" s="1"/>
  <c r="B777" i="2" s="1"/>
  <c r="CU549" i="45"/>
  <c r="CU550" i="45"/>
  <c r="CW550" i="45" s="1"/>
  <c r="C779" i="2" s="1"/>
  <c r="CU551" i="45"/>
  <c r="CW551" i="45" s="1"/>
  <c r="C780" i="2" s="1"/>
  <c r="B780" i="2" s="1"/>
  <c r="CU552" i="45"/>
  <c r="CW552" i="45" s="1"/>
  <c r="C781" i="2" s="1"/>
  <c r="B781" i="2" s="1"/>
  <c r="CU553" i="45"/>
  <c r="CU554" i="45"/>
  <c r="CW554" i="45" s="1"/>
  <c r="C783" i="2" s="1"/>
  <c r="B783" i="2" s="1"/>
  <c r="CU555" i="45"/>
  <c r="CW555" i="45" s="1"/>
  <c r="C784" i="2" s="1"/>
  <c r="B784" i="2" s="1"/>
  <c r="CU556" i="45"/>
  <c r="CW556" i="45" s="1"/>
  <c r="C785" i="2" s="1"/>
  <c r="CU557" i="45"/>
  <c r="CU558" i="45"/>
  <c r="CW558" i="45" s="1"/>
  <c r="C787" i="2" s="1"/>
  <c r="B787" i="2" s="1"/>
  <c r="BZ28" i="45"/>
  <c r="BZ32" i="45"/>
  <c r="BZ25" i="45"/>
  <c r="BZ29" i="45"/>
  <c r="BZ19" i="45"/>
  <c r="BZ18" i="45"/>
  <c r="BZ22" i="45"/>
  <c r="BZ26" i="45"/>
  <c r="BZ30" i="45"/>
  <c r="BZ27" i="45"/>
  <c r="BZ31" i="45"/>
  <c r="BZ20" i="45"/>
  <c r="BZ24" i="45"/>
  <c r="BZ21" i="45"/>
  <c r="BZ23" i="45"/>
  <c r="CY33" i="45" l="1"/>
  <c r="J292" i="2" s="1"/>
  <c r="CY17" i="45"/>
  <c r="J276" i="2" s="1"/>
  <c r="CY30" i="45"/>
  <c r="J289" i="2" s="1"/>
  <c r="CW561" i="45"/>
  <c r="C790" i="2" s="1"/>
  <c r="B790" i="2" s="1"/>
  <c r="CW528" i="45"/>
  <c r="C757" i="2" s="1"/>
  <c r="B757" i="2" s="1"/>
  <c r="CW496" i="45"/>
  <c r="C731" i="2" s="1"/>
  <c r="D736" i="2" s="1"/>
  <c r="CW469" i="45"/>
  <c r="C704" i="2" s="1"/>
  <c r="B704" i="2" s="1"/>
  <c r="CW461" i="45"/>
  <c r="C696" i="2" s="1"/>
  <c r="B696" i="2" s="1"/>
  <c r="CW437" i="45"/>
  <c r="CY421" i="45"/>
  <c r="J680" i="2" s="1"/>
  <c r="CW413" i="45"/>
  <c r="C672" i="2" s="1"/>
  <c r="B672" i="2" s="1"/>
  <c r="CW397" i="45"/>
  <c r="C656" i="2" s="1"/>
  <c r="B656" i="2" s="1"/>
  <c r="CW373" i="45"/>
  <c r="C632" i="2" s="1"/>
  <c r="B632" i="2" s="1"/>
  <c r="CY365" i="45"/>
  <c r="J624" i="2" s="1"/>
  <c r="CW333" i="45"/>
  <c r="C592" i="2" s="1"/>
  <c r="B592" i="2" s="1"/>
  <c r="CW317" i="45"/>
  <c r="C576" i="2" s="1"/>
  <c r="B576" i="2" s="1"/>
  <c r="CY309" i="45"/>
  <c r="J568" i="2" s="1"/>
  <c r="CY293" i="45"/>
  <c r="J552" i="2" s="1"/>
  <c r="CW285" i="45"/>
  <c r="C544" i="2" s="1"/>
  <c r="B544" i="2" s="1"/>
  <c r="CW277" i="45"/>
  <c r="C536" i="2" s="1"/>
  <c r="B536" i="2" s="1"/>
  <c r="CW253" i="45"/>
  <c r="C512" i="2" s="1"/>
  <c r="B512" i="2" s="1"/>
  <c r="CW245" i="45"/>
  <c r="C504" i="2" s="1"/>
  <c r="B504" i="2" s="1"/>
  <c r="CW221" i="45"/>
  <c r="C480" i="2" s="1"/>
  <c r="B480" i="2" s="1"/>
  <c r="CW213" i="45"/>
  <c r="C472" i="2" s="1"/>
  <c r="B472" i="2" s="1"/>
  <c r="CW205" i="45"/>
  <c r="C464" i="2" s="1"/>
  <c r="B464" i="2" s="1"/>
  <c r="CY197" i="45"/>
  <c r="J456" i="2" s="1"/>
  <c r="CW189" i="45"/>
  <c r="C448" i="2" s="1"/>
  <c r="B448" i="2" s="1"/>
  <c r="CW181" i="45"/>
  <c r="C440" i="2" s="1"/>
  <c r="B440" i="2" s="1"/>
  <c r="CY173" i="45"/>
  <c r="J432" i="2" s="1"/>
  <c r="CW149" i="45"/>
  <c r="C408" i="2" s="1"/>
  <c r="B408" i="2" s="1"/>
  <c r="CW141" i="45"/>
  <c r="C400" i="2" s="1"/>
  <c r="B400" i="2" s="1"/>
  <c r="CY109" i="45"/>
  <c r="J368" i="2" s="1"/>
  <c r="CY77" i="45"/>
  <c r="J336" i="2" s="1"/>
  <c r="CW61" i="45"/>
  <c r="C320" i="2" s="1"/>
  <c r="B320" i="2" s="1"/>
  <c r="CY45" i="45"/>
  <c r="J304" i="2" s="1"/>
  <c r="CY37" i="45"/>
  <c r="J296" i="2" s="1"/>
  <c r="CY29" i="45"/>
  <c r="J288" i="2" s="1"/>
  <c r="CY21" i="45"/>
  <c r="J280" i="2" s="1"/>
  <c r="CW559" i="45"/>
  <c r="C788" i="2" s="1"/>
  <c r="B788" i="2" s="1"/>
  <c r="CY420" i="45"/>
  <c r="J679" i="2" s="1"/>
  <c r="CY292" i="45"/>
  <c r="J551" i="2" s="1"/>
  <c r="CW310" i="45"/>
  <c r="C569" i="2" s="1"/>
  <c r="CY310" i="45"/>
  <c r="J569" i="2" s="1"/>
  <c r="CW445" i="45"/>
  <c r="CW405" i="45"/>
  <c r="C664" i="2" s="1"/>
  <c r="B664" i="2" s="1"/>
  <c r="CW381" i="45"/>
  <c r="C640" i="2" s="1"/>
  <c r="B640" i="2" s="1"/>
  <c r="CW349" i="45"/>
  <c r="C608" i="2" s="1"/>
  <c r="B608" i="2" s="1"/>
  <c r="CW341" i="45"/>
  <c r="C600" i="2" s="1"/>
  <c r="B600" i="2" s="1"/>
  <c r="CW309" i="45"/>
  <c r="C568" i="2" s="1"/>
  <c r="B568" i="2" s="1"/>
  <c r="CW269" i="45"/>
  <c r="C528" i="2" s="1"/>
  <c r="B528" i="2" s="1"/>
  <c r="CW157" i="45"/>
  <c r="C416" i="2" s="1"/>
  <c r="B416" i="2" s="1"/>
  <c r="CW125" i="45"/>
  <c r="C384" i="2" s="1"/>
  <c r="B384" i="2" s="1"/>
  <c r="CW117" i="45"/>
  <c r="C376" i="2" s="1"/>
  <c r="B376" i="2" s="1"/>
  <c r="CW93" i="45"/>
  <c r="C352" i="2" s="1"/>
  <c r="B352" i="2" s="1"/>
  <c r="CW85" i="45"/>
  <c r="C344" i="2" s="1"/>
  <c r="B344" i="2" s="1"/>
  <c r="CW77" i="45"/>
  <c r="C336" i="2" s="1"/>
  <c r="B336" i="2" s="1"/>
  <c r="CW53" i="45"/>
  <c r="C312" i="2" s="1"/>
  <c r="B312" i="2" s="1"/>
  <c r="CY437" i="45"/>
  <c r="CY274" i="45"/>
  <c r="J533" i="2" s="1"/>
  <c r="CY38" i="45"/>
  <c r="J297" i="2" s="1"/>
  <c r="CW364" i="45"/>
  <c r="C623" i="2" s="1"/>
  <c r="CY364" i="45"/>
  <c r="J623" i="2" s="1"/>
  <c r="CW220" i="45"/>
  <c r="C479" i="2" s="1"/>
  <c r="CY220" i="45"/>
  <c r="J479" i="2" s="1"/>
  <c r="CY402" i="45"/>
  <c r="J661" i="2" s="1"/>
  <c r="CY114" i="45"/>
  <c r="J373" i="2" s="1"/>
  <c r="CY50" i="45"/>
  <c r="J309" i="2" s="1"/>
  <c r="CY18" i="45"/>
  <c r="J277" i="2" s="1"/>
  <c r="CY489" i="45"/>
  <c r="J724" i="2" s="1"/>
  <c r="CY401" i="45"/>
  <c r="J660" i="2" s="1"/>
  <c r="CY403" i="45"/>
  <c r="J662" i="2" s="1"/>
  <c r="CY246" i="45"/>
  <c r="J505" i="2" s="1"/>
  <c r="CY456" i="45"/>
  <c r="CY312" i="45"/>
  <c r="J571" i="2" s="1"/>
  <c r="CY120" i="45"/>
  <c r="J379" i="2" s="1"/>
  <c r="CY32" i="45"/>
  <c r="J291" i="2" s="1"/>
  <c r="CY24" i="45"/>
  <c r="J283" i="2" s="1"/>
  <c r="CY219" i="45"/>
  <c r="J478" i="2" s="1"/>
  <c r="CY27" i="45"/>
  <c r="J286" i="2" s="1"/>
  <c r="CW291" i="45"/>
  <c r="C550" i="2" s="1"/>
  <c r="B550" i="2" s="1"/>
  <c r="CY291" i="45"/>
  <c r="J550" i="2" s="1"/>
  <c r="CW243" i="45"/>
  <c r="C502" i="2" s="1"/>
  <c r="B502" i="2" s="1"/>
  <c r="CY243" i="45"/>
  <c r="J502" i="2" s="1"/>
  <c r="CY385" i="45"/>
  <c r="J644" i="2" s="1"/>
  <c r="CY329" i="45"/>
  <c r="J588" i="2" s="1"/>
  <c r="CY225" i="45"/>
  <c r="J484" i="2" s="1"/>
  <c r="CY201" i="45"/>
  <c r="J460" i="2" s="1"/>
  <c r="CY81" i="45"/>
  <c r="J340" i="2" s="1"/>
  <c r="CY26" i="45"/>
  <c r="J285" i="2" s="1"/>
  <c r="CY328" i="45"/>
  <c r="J587" i="2" s="1"/>
  <c r="CW553" i="45"/>
  <c r="C782" i="2" s="1"/>
  <c r="B782" i="2" s="1"/>
  <c r="CW529" i="45"/>
  <c r="C758" i="2" s="1"/>
  <c r="B758" i="2" s="1"/>
  <c r="CW513" i="45"/>
  <c r="C748" i="2" s="1"/>
  <c r="B748" i="2" s="1"/>
  <c r="CW497" i="45"/>
  <c r="C732" i="2" s="1"/>
  <c r="B732" i="2" s="1"/>
  <c r="CW481" i="45"/>
  <c r="C716" i="2" s="1"/>
  <c r="B716" i="2" s="1"/>
  <c r="CW465" i="45"/>
  <c r="C700" i="2" s="1"/>
  <c r="B700" i="2" s="1"/>
  <c r="CW449" i="45"/>
  <c r="CW441" i="45"/>
  <c r="CW433" i="45"/>
  <c r="C692" i="2" s="1"/>
  <c r="B692" i="2" s="1"/>
  <c r="CW425" i="45"/>
  <c r="C684" i="2" s="1"/>
  <c r="B684" i="2" s="1"/>
  <c r="CW417" i="45"/>
  <c r="C676" i="2" s="1"/>
  <c r="B676" i="2" s="1"/>
  <c r="CW409" i="45"/>
  <c r="C668" i="2" s="1"/>
  <c r="B668" i="2" s="1"/>
  <c r="CW401" i="45"/>
  <c r="C660" i="2" s="1"/>
  <c r="B660" i="2" s="1"/>
  <c r="CW393" i="45"/>
  <c r="C652" i="2" s="1"/>
  <c r="B652" i="2" s="1"/>
  <c r="CW385" i="45"/>
  <c r="C644" i="2" s="1"/>
  <c r="B644" i="2" s="1"/>
  <c r="CW377" i="45"/>
  <c r="C636" i="2" s="1"/>
  <c r="B636" i="2" s="1"/>
  <c r="CW369" i="45"/>
  <c r="C628" i="2" s="1"/>
  <c r="B628" i="2" s="1"/>
  <c r="CW361" i="45"/>
  <c r="C620" i="2" s="1"/>
  <c r="B620" i="2" s="1"/>
  <c r="CW353" i="45"/>
  <c r="C612" i="2" s="1"/>
  <c r="B612" i="2" s="1"/>
  <c r="CW345" i="45"/>
  <c r="C604" i="2" s="1"/>
  <c r="B604" i="2" s="1"/>
  <c r="CW337" i="45"/>
  <c r="C596" i="2" s="1"/>
  <c r="B596" i="2" s="1"/>
  <c r="CW329" i="45"/>
  <c r="C588" i="2" s="1"/>
  <c r="B588" i="2" s="1"/>
  <c r="CW321" i="45"/>
  <c r="C580" i="2" s="1"/>
  <c r="B580" i="2" s="1"/>
  <c r="CW313" i="45"/>
  <c r="C572" i="2" s="1"/>
  <c r="B572" i="2" s="1"/>
  <c r="CW305" i="45"/>
  <c r="C564" i="2" s="1"/>
  <c r="B564" i="2" s="1"/>
  <c r="CW297" i="45"/>
  <c r="C556" i="2" s="1"/>
  <c r="B556" i="2" s="1"/>
  <c r="CW289" i="45"/>
  <c r="C548" i="2" s="1"/>
  <c r="B548" i="2" s="1"/>
  <c r="CW281" i="45"/>
  <c r="C540" i="2" s="1"/>
  <c r="B540" i="2" s="1"/>
  <c r="CW273" i="45"/>
  <c r="C532" i="2" s="1"/>
  <c r="B532" i="2" s="1"/>
  <c r="CW265" i="45"/>
  <c r="C524" i="2" s="1"/>
  <c r="B524" i="2" s="1"/>
  <c r="CW257" i="45"/>
  <c r="C516" i="2" s="1"/>
  <c r="B516" i="2" s="1"/>
  <c r="CW249" i="45"/>
  <c r="C508" i="2" s="1"/>
  <c r="B508" i="2" s="1"/>
  <c r="CW241" i="45"/>
  <c r="C500" i="2" s="1"/>
  <c r="B500" i="2" s="1"/>
  <c r="CW233" i="45"/>
  <c r="C492" i="2" s="1"/>
  <c r="B492" i="2" s="1"/>
  <c r="CW225" i="45"/>
  <c r="C484" i="2" s="1"/>
  <c r="CW217" i="45"/>
  <c r="C476" i="2" s="1"/>
  <c r="B476" i="2" s="1"/>
  <c r="CW209" i="45"/>
  <c r="C468" i="2" s="1"/>
  <c r="B468" i="2" s="1"/>
  <c r="CW201" i="45"/>
  <c r="C460" i="2" s="1"/>
  <c r="B460" i="2" s="1"/>
  <c r="CW193" i="45"/>
  <c r="C452" i="2" s="1"/>
  <c r="D454" i="2" s="1"/>
  <c r="CW185" i="45"/>
  <c r="C444" i="2" s="1"/>
  <c r="B444" i="2" s="1"/>
  <c r="CW177" i="45"/>
  <c r="C436" i="2" s="1"/>
  <c r="B436" i="2" s="1"/>
  <c r="CW169" i="45"/>
  <c r="C428" i="2" s="1"/>
  <c r="B428" i="2" s="1"/>
  <c r="CW161" i="45"/>
  <c r="C420" i="2" s="1"/>
  <c r="B420" i="2" s="1"/>
  <c r="CW153" i="45"/>
  <c r="C412" i="2" s="1"/>
  <c r="B412" i="2" s="1"/>
  <c r="CW145" i="45"/>
  <c r="C404" i="2" s="1"/>
  <c r="B404" i="2" s="1"/>
  <c r="CY348" i="45"/>
  <c r="J607" i="2" s="1"/>
  <c r="CY23" i="45"/>
  <c r="J282" i="2" s="1"/>
  <c r="CW31" i="45"/>
  <c r="C290" i="2" s="1"/>
  <c r="B290" i="2" s="1"/>
  <c r="CY31" i="45"/>
  <c r="J290" i="2" s="1"/>
  <c r="CY193" i="45"/>
  <c r="J452" i="2" s="1"/>
  <c r="CY145" i="45"/>
  <c r="J404" i="2" s="1"/>
  <c r="CY25" i="45"/>
  <c r="J284" i="2" s="1"/>
  <c r="CY440" i="45"/>
  <c r="CW545" i="45"/>
  <c r="C774" i="2" s="1"/>
  <c r="B774" i="2" s="1"/>
  <c r="CW537" i="45"/>
  <c r="C766" i="2" s="1"/>
  <c r="B766" i="2" s="1"/>
  <c r="CW521" i="45"/>
  <c r="C750" i="2" s="1"/>
  <c r="B750" i="2" s="1"/>
  <c r="CW505" i="45"/>
  <c r="C740" i="2" s="1"/>
  <c r="B740" i="2" s="1"/>
  <c r="CW489" i="45"/>
  <c r="C724" i="2" s="1"/>
  <c r="B724" i="2" s="1"/>
  <c r="CW473" i="45"/>
  <c r="C708" i="2" s="1"/>
  <c r="CW457" i="45"/>
  <c r="CW544" i="45"/>
  <c r="C773" i="2" s="1"/>
  <c r="CW536" i="45"/>
  <c r="C765" i="2" s="1"/>
  <c r="B765" i="2" s="1"/>
  <c r="CW520" i="45"/>
  <c r="C749" i="2" s="1"/>
  <c r="CW512" i="45"/>
  <c r="C747" i="2" s="1"/>
  <c r="B747" i="2" s="1"/>
  <c r="CW480" i="45"/>
  <c r="C715" i="2" s="1"/>
  <c r="B715" i="2" s="1"/>
  <c r="CW472" i="45"/>
  <c r="C707" i="2" s="1"/>
  <c r="CW464" i="45"/>
  <c r="C699" i="2" s="1"/>
  <c r="B699" i="2" s="1"/>
  <c r="CW440" i="45"/>
  <c r="CW432" i="45"/>
  <c r="C691" i="2" s="1"/>
  <c r="B691" i="2" s="1"/>
  <c r="CW424" i="45"/>
  <c r="C683" i="2" s="1"/>
  <c r="B683" i="2" s="1"/>
  <c r="CW416" i="45"/>
  <c r="C675" i="2" s="1"/>
  <c r="B675" i="2" s="1"/>
  <c r="CW408" i="45"/>
  <c r="C667" i="2" s="1"/>
  <c r="B667" i="2" s="1"/>
  <c r="CW400" i="45"/>
  <c r="C659" i="2" s="1"/>
  <c r="B659" i="2" s="1"/>
  <c r="CW392" i="45"/>
  <c r="C651" i="2" s="1"/>
  <c r="B651" i="2" s="1"/>
  <c r="CW384" i="45"/>
  <c r="C643" i="2" s="1"/>
  <c r="B643" i="2" s="1"/>
  <c r="CW376" i="45"/>
  <c r="C635" i="2" s="1"/>
  <c r="D640" i="2" s="1"/>
  <c r="CW368" i="45"/>
  <c r="C627" i="2" s="1"/>
  <c r="B627" i="2" s="1"/>
  <c r="CW360" i="45"/>
  <c r="C619" i="2" s="1"/>
  <c r="B619" i="2" s="1"/>
  <c r="CW352" i="45"/>
  <c r="C611" i="2" s="1"/>
  <c r="D616" i="2" s="1"/>
  <c r="CW344" i="45"/>
  <c r="C603" i="2" s="1"/>
  <c r="B603" i="2" s="1"/>
  <c r="CW328" i="45"/>
  <c r="C587" i="2" s="1"/>
  <c r="CW320" i="45"/>
  <c r="C579" i="2" s="1"/>
  <c r="B579" i="2" s="1"/>
  <c r="CW240" i="45"/>
  <c r="C499" i="2" s="1"/>
  <c r="B499" i="2" s="1"/>
  <c r="CW200" i="45"/>
  <c r="C459" i="2" s="1"/>
  <c r="B459" i="2" s="1"/>
  <c r="CW176" i="45"/>
  <c r="C435" i="2" s="1"/>
  <c r="B435" i="2" s="1"/>
  <c r="CW144" i="45"/>
  <c r="C403" i="2" s="1"/>
  <c r="B403" i="2" s="1"/>
  <c r="CW136" i="45"/>
  <c r="C395" i="2" s="1"/>
  <c r="CW104" i="45"/>
  <c r="C363" i="2" s="1"/>
  <c r="B363" i="2" s="1"/>
  <c r="CW64" i="45"/>
  <c r="C323" i="2" s="1"/>
  <c r="B323" i="2" s="1"/>
  <c r="CY382" i="45"/>
  <c r="J641" i="2" s="1"/>
  <c r="CY174" i="45"/>
  <c r="J433" i="2" s="1"/>
  <c r="CY347" i="45"/>
  <c r="J606" i="2" s="1"/>
  <c r="CY22" i="45"/>
  <c r="J281" i="2" s="1"/>
  <c r="CW29" i="45"/>
  <c r="C288" i="2" s="1"/>
  <c r="B288" i="2" s="1"/>
  <c r="CW312" i="45"/>
  <c r="C571" i="2" s="1"/>
  <c r="B571" i="2" s="1"/>
  <c r="CW288" i="45"/>
  <c r="C547" i="2" s="1"/>
  <c r="B547" i="2" s="1"/>
  <c r="CW280" i="45"/>
  <c r="C539" i="2" s="1"/>
  <c r="CW248" i="45"/>
  <c r="C507" i="2" s="1"/>
  <c r="B507" i="2" s="1"/>
  <c r="CW224" i="45"/>
  <c r="C483" i="2" s="1"/>
  <c r="B483" i="2" s="1"/>
  <c r="CW216" i="45"/>
  <c r="C475" i="2" s="1"/>
  <c r="B475" i="2" s="1"/>
  <c r="CW184" i="45"/>
  <c r="C443" i="2" s="1"/>
  <c r="B443" i="2" s="1"/>
  <c r="CW160" i="45"/>
  <c r="C419" i="2" s="1"/>
  <c r="B419" i="2" s="1"/>
  <c r="CW152" i="45"/>
  <c r="C411" i="2" s="1"/>
  <c r="B411" i="2" s="1"/>
  <c r="CW120" i="45"/>
  <c r="C379" i="2" s="1"/>
  <c r="B379" i="2" s="1"/>
  <c r="CW96" i="45"/>
  <c r="C355" i="2" s="1"/>
  <c r="B355" i="2" s="1"/>
  <c r="CW88" i="45"/>
  <c r="C347" i="2" s="1"/>
  <c r="CW56" i="45"/>
  <c r="C315" i="2" s="1"/>
  <c r="B315" i="2" s="1"/>
  <c r="CW32" i="45"/>
  <c r="C291" i="2" s="1"/>
  <c r="B291" i="2" s="1"/>
  <c r="CW24" i="45"/>
  <c r="C283" i="2" s="1"/>
  <c r="B283" i="2" s="1"/>
  <c r="CY438" i="45"/>
  <c r="CY366" i="45"/>
  <c r="J625" i="2" s="1"/>
  <c r="CY270" i="45"/>
  <c r="J529" i="2" s="1"/>
  <c r="CW21" i="45"/>
  <c r="C280" i="2" s="1"/>
  <c r="B280" i="2" s="1"/>
  <c r="CW557" i="45"/>
  <c r="C786" i="2" s="1"/>
  <c r="B786" i="2" s="1"/>
  <c r="CW549" i="45"/>
  <c r="C778" i="2" s="1"/>
  <c r="B778" i="2" s="1"/>
  <c r="CW541" i="45"/>
  <c r="C770" i="2" s="1"/>
  <c r="B770" i="2" s="1"/>
  <c r="CW533" i="45"/>
  <c r="C762" i="2" s="1"/>
  <c r="B762" i="2" s="1"/>
  <c r="CW525" i="45"/>
  <c r="C754" i="2" s="1"/>
  <c r="B754" i="2" s="1"/>
  <c r="CW517" i="45"/>
  <c r="CW509" i="45"/>
  <c r="C744" i="2" s="1"/>
  <c r="B744" i="2" s="1"/>
  <c r="CW501" i="45"/>
  <c r="C736" i="2" s="1"/>
  <c r="B736" i="2" s="1"/>
  <c r="CW493" i="45"/>
  <c r="C728" i="2" s="1"/>
  <c r="B728" i="2" s="1"/>
  <c r="CW485" i="45"/>
  <c r="C720" i="2" s="1"/>
  <c r="B720" i="2" s="1"/>
  <c r="CW477" i="45"/>
  <c r="C712" i="2" s="1"/>
  <c r="B712" i="2" s="1"/>
  <c r="CW453" i="45"/>
  <c r="CW429" i="45"/>
  <c r="C688" i="2" s="1"/>
  <c r="B688" i="2" s="1"/>
  <c r="CW421" i="45"/>
  <c r="C680" i="2" s="1"/>
  <c r="B680" i="2" s="1"/>
  <c r="CW389" i="45"/>
  <c r="C648" i="2" s="1"/>
  <c r="B648" i="2" s="1"/>
  <c r="CW365" i="45"/>
  <c r="C624" i="2" s="1"/>
  <c r="B624" i="2" s="1"/>
  <c r="CW357" i="45"/>
  <c r="C616" i="2" s="1"/>
  <c r="B616" i="2" s="1"/>
  <c r="CW325" i="45"/>
  <c r="C584" i="2" s="1"/>
  <c r="B584" i="2" s="1"/>
  <c r="CW301" i="45"/>
  <c r="C560" i="2" s="1"/>
  <c r="B560" i="2" s="1"/>
  <c r="CW293" i="45"/>
  <c r="C552" i="2" s="1"/>
  <c r="B552" i="2" s="1"/>
  <c r="CW261" i="45"/>
  <c r="C520" i="2" s="1"/>
  <c r="B520" i="2" s="1"/>
  <c r="CW237" i="45"/>
  <c r="C496" i="2" s="1"/>
  <c r="B496" i="2" s="1"/>
  <c r="CW229" i="45"/>
  <c r="C488" i="2" s="1"/>
  <c r="B488" i="2" s="1"/>
  <c r="CW197" i="45"/>
  <c r="C456" i="2" s="1"/>
  <c r="B456" i="2" s="1"/>
  <c r="CW173" i="45"/>
  <c r="C432" i="2" s="1"/>
  <c r="B432" i="2" s="1"/>
  <c r="CW165" i="45"/>
  <c r="C424" i="2" s="1"/>
  <c r="CW133" i="45"/>
  <c r="C392" i="2" s="1"/>
  <c r="B392" i="2" s="1"/>
  <c r="CW109" i="45"/>
  <c r="C368" i="2" s="1"/>
  <c r="B368" i="2" s="1"/>
  <c r="CW101" i="45"/>
  <c r="C360" i="2" s="1"/>
  <c r="B360" i="2" s="1"/>
  <c r="CW69" i="45"/>
  <c r="C328" i="2" s="1"/>
  <c r="CW45" i="45"/>
  <c r="C304" i="2" s="1"/>
  <c r="B304" i="2" s="1"/>
  <c r="CW37" i="45"/>
  <c r="C296" i="2" s="1"/>
  <c r="B296" i="2" s="1"/>
  <c r="CY419" i="45"/>
  <c r="J678" i="2" s="1"/>
  <c r="CY28" i="45"/>
  <c r="J287" i="2" s="1"/>
  <c r="CY20" i="45"/>
  <c r="J279" i="2" s="1"/>
  <c r="CW20" i="45"/>
  <c r="C279" i="2" s="1"/>
  <c r="B279" i="2" s="1"/>
  <c r="CY458" i="45"/>
  <c r="CY346" i="45"/>
  <c r="J605" i="2" s="1"/>
  <c r="CY266" i="45"/>
  <c r="J525" i="2" s="1"/>
  <c r="CY170" i="45"/>
  <c r="J429" i="2" s="1"/>
  <c r="CY42" i="45"/>
  <c r="J301" i="2" s="1"/>
  <c r="CW137" i="45"/>
  <c r="C396" i="2" s="1"/>
  <c r="B396" i="2" s="1"/>
  <c r="CW129" i="45"/>
  <c r="C388" i="2" s="1"/>
  <c r="B388" i="2" s="1"/>
  <c r="CW121" i="45"/>
  <c r="C380" i="2" s="1"/>
  <c r="B380" i="2" s="1"/>
  <c r="CW113" i="45"/>
  <c r="C372" i="2" s="1"/>
  <c r="B372" i="2" s="1"/>
  <c r="CW105" i="45"/>
  <c r="C364" i="2" s="1"/>
  <c r="B364" i="2" s="1"/>
  <c r="CW97" i="45"/>
  <c r="C356" i="2" s="1"/>
  <c r="B356" i="2" s="1"/>
  <c r="CW89" i="45"/>
  <c r="C348" i="2" s="1"/>
  <c r="CW81" i="45"/>
  <c r="C340" i="2" s="1"/>
  <c r="B340" i="2" s="1"/>
  <c r="CW73" i="45"/>
  <c r="C332" i="2" s="1"/>
  <c r="B332" i="2" s="1"/>
  <c r="CW65" i="45"/>
  <c r="C324" i="2" s="1"/>
  <c r="B324" i="2" s="1"/>
  <c r="CW57" i="45"/>
  <c r="C316" i="2" s="1"/>
  <c r="B316" i="2" s="1"/>
  <c r="CW49" i="45"/>
  <c r="C308" i="2" s="1"/>
  <c r="B308" i="2" s="1"/>
  <c r="CW41" i="45"/>
  <c r="C300" i="2" s="1"/>
  <c r="B300" i="2" s="1"/>
  <c r="CW33" i="45"/>
  <c r="C292" i="2" s="1"/>
  <c r="CW25" i="45"/>
  <c r="C284" i="2" s="1"/>
  <c r="B284" i="2" s="1"/>
  <c r="CW17" i="45"/>
  <c r="C276" i="2" s="1"/>
  <c r="B276" i="2" s="1"/>
  <c r="CW54" i="45"/>
  <c r="C313" i="2" s="1"/>
  <c r="B313" i="2" s="1"/>
  <c r="CW46" i="45"/>
  <c r="C305" i="2" s="1"/>
  <c r="B305" i="2" s="1"/>
  <c r="CW38" i="45"/>
  <c r="C297" i="2" s="1"/>
  <c r="B297" i="2" s="1"/>
  <c r="CW30" i="45"/>
  <c r="C289" i="2" s="1"/>
  <c r="B289" i="2" s="1"/>
  <c r="CW22" i="45"/>
  <c r="C281" i="2" s="1"/>
  <c r="D286" i="2" s="1"/>
  <c r="CY505" i="45"/>
  <c r="J740" i="2" s="1"/>
  <c r="CY536" i="45"/>
  <c r="J765" i="2" s="1"/>
  <c r="CY473" i="45"/>
  <c r="J708" i="2" s="1"/>
  <c r="D550" i="2"/>
  <c r="D334" i="2"/>
  <c r="D760" i="2"/>
  <c r="D598" i="2"/>
  <c r="D718" i="2"/>
  <c r="D790" i="2"/>
  <c r="D724" i="2"/>
  <c r="D436" i="2"/>
  <c r="D412" i="2"/>
  <c r="D622" i="2"/>
  <c r="D526" i="2"/>
  <c r="D784" i="2"/>
  <c r="B761" i="2"/>
  <c r="B671" i="2"/>
  <c r="B647" i="2"/>
  <c r="B599" i="2"/>
  <c r="B575" i="2"/>
  <c r="D580" i="2"/>
  <c r="B567" i="2"/>
  <c r="D568" i="2"/>
  <c r="B527" i="2"/>
  <c r="D532" i="2"/>
  <c r="B383" i="2"/>
  <c r="D388" i="2"/>
  <c r="B348" i="2"/>
  <c r="D352" i="2"/>
  <c r="D448" i="2"/>
  <c r="D424" i="2"/>
  <c r="B743" i="2"/>
  <c r="D748" i="2"/>
  <c r="B695" i="2"/>
  <c r="D700" i="2"/>
  <c r="B503" i="2"/>
  <c r="B479" i="2"/>
  <c r="D484" i="2"/>
  <c r="B399" i="2"/>
  <c r="B303" i="2"/>
  <c r="B708" i="2"/>
  <c r="D712" i="2"/>
  <c r="B689" i="2"/>
  <c r="D694" i="2"/>
  <c r="D514" i="2"/>
  <c r="D490" i="2"/>
  <c r="D538" i="2"/>
  <c r="D592" i="2"/>
  <c r="D346" i="2"/>
  <c r="D442" i="2"/>
  <c r="D466" i="2"/>
  <c r="D322" i="2"/>
  <c r="D370" i="2"/>
  <c r="D418" i="2"/>
  <c r="D742" i="2"/>
  <c r="D610" i="2"/>
  <c r="D658" i="2"/>
  <c r="D730" i="2"/>
  <c r="D586" i="2"/>
  <c r="D634" i="2"/>
  <c r="D706" i="2"/>
  <c r="B358" i="2"/>
  <c r="B310" i="2"/>
  <c r="B424" i="2"/>
  <c r="B292" i="2"/>
  <c r="B484" i="2"/>
  <c r="B473" i="2"/>
  <c r="B378" i="2"/>
  <c r="B328" i="2"/>
  <c r="B646" i="2"/>
  <c r="B785" i="2"/>
  <c r="B703" i="2"/>
  <c r="B535" i="2"/>
  <c r="B334" i="2"/>
  <c r="B467" i="2"/>
  <c r="B509" i="2"/>
  <c r="B454" i="2"/>
  <c r="B430" i="2"/>
  <c r="CY488" i="45"/>
  <c r="J723" i="2" s="1"/>
  <c r="CY521" i="45"/>
  <c r="J750" i="2" s="1"/>
  <c r="CY538" i="45"/>
  <c r="J767" i="2" s="1"/>
  <c r="CY504" i="45"/>
  <c r="J739" i="2" s="1"/>
  <c r="CY537" i="45"/>
  <c r="J766" i="2" s="1"/>
  <c r="CY490" i="45"/>
  <c r="J725" i="2" s="1"/>
  <c r="CY474" i="45"/>
  <c r="J709" i="2" s="1"/>
  <c r="CY520" i="45"/>
  <c r="J749" i="2" s="1"/>
  <c r="CY553" i="45"/>
  <c r="J782" i="2" s="1"/>
  <c r="CY506" i="45"/>
  <c r="J741" i="2" s="1"/>
  <c r="CY472" i="45"/>
  <c r="J707" i="2" s="1"/>
  <c r="CY522" i="45"/>
  <c r="J751" i="2" s="1"/>
  <c r="CY554" i="45"/>
  <c r="J783" i="2" s="1"/>
  <c r="CY552" i="45"/>
  <c r="J781" i="2" s="1"/>
  <c r="CY560" i="45"/>
  <c r="J789" i="2" s="1"/>
  <c r="CY544" i="45"/>
  <c r="J773" i="2" s="1"/>
  <c r="CY528" i="45"/>
  <c r="J757" i="2" s="1"/>
  <c r="CY512" i="45"/>
  <c r="J747" i="2" s="1"/>
  <c r="CY496" i="45"/>
  <c r="J731" i="2" s="1"/>
  <c r="CY480" i="45"/>
  <c r="J715" i="2" s="1"/>
  <c r="CY464" i="45"/>
  <c r="J699" i="2" s="1"/>
  <c r="CY446" i="45"/>
  <c r="CY428" i="45"/>
  <c r="J687" i="2" s="1"/>
  <c r="CY410" i="45"/>
  <c r="J669" i="2" s="1"/>
  <c r="CY392" i="45"/>
  <c r="J651" i="2" s="1"/>
  <c r="CY373" i="45"/>
  <c r="J632" i="2" s="1"/>
  <c r="CY355" i="45"/>
  <c r="J614" i="2" s="1"/>
  <c r="CY337" i="45"/>
  <c r="J596" i="2" s="1"/>
  <c r="CY318" i="45"/>
  <c r="J577" i="2" s="1"/>
  <c r="CY300" i="45"/>
  <c r="J559" i="2" s="1"/>
  <c r="CY280" i="45"/>
  <c r="J539" i="2" s="1"/>
  <c r="CY256" i="45"/>
  <c r="J515" i="2" s="1"/>
  <c r="CY229" i="45"/>
  <c r="J488" i="2" s="1"/>
  <c r="CY206" i="45"/>
  <c r="J465" i="2" s="1"/>
  <c r="CY182" i="45"/>
  <c r="J441" i="2" s="1"/>
  <c r="CY156" i="45"/>
  <c r="J415" i="2" s="1"/>
  <c r="CY128" i="45"/>
  <c r="J387" i="2" s="1"/>
  <c r="CY94" i="45"/>
  <c r="J353" i="2" s="1"/>
  <c r="CY57" i="45"/>
  <c r="J316" i="2" s="1"/>
  <c r="CY558" i="45"/>
  <c r="J787" i="2" s="1"/>
  <c r="CY542" i="45"/>
  <c r="J771" i="2" s="1"/>
  <c r="CY526" i="45"/>
  <c r="J755" i="2" s="1"/>
  <c r="CY510" i="45"/>
  <c r="J745" i="2" s="1"/>
  <c r="CY494" i="45"/>
  <c r="J729" i="2" s="1"/>
  <c r="CY478" i="45"/>
  <c r="J713" i="2" s="1"/>
  <c r="CY462" i="45"/>
  <c r="J697" i="2" s="1"/>
  <c r="CY444" i="45"/>
  <c r="CY426" i="45"/>
  <c r="J685" i="2" s="1"/>
  <c r="CY408" i="45"/>
  <c r="J667" i="2" s="1"/>
  <c r="CY389" i="45"/>
  <c r="J648" i="2" s="1"/>
  <c r="CY371" i="45"/>
  <c r="J630" i="2" s="1"/>
  <c r="CY353" i="45"/>
  <c r="J612" i="2" s="1"/>
  <c r="CY334" i="45"/>
  <c r="J593" i="2" s="1"/>
  <c r="CY316" i="45"/>
  <c r="J575" i="2" s="1"/>
  <c r="CY298" i="45"/>
  <c r="J557" i="2" s="1"/>
  <c r="CY275" i="45"/>
  <c r="J534" i="2" s="1"/>
  <c r="CY252" i="45"/>
  <c r="J511" i="2" s="1"/>
  <c r="CY228" i="45"/>
  <c r="J487" i="2" s="1"/>
  <c r="CY202" i="45"/>
  <c r="J461" i="2" s="1"/>
  <c r="CY179" i="45"/>
  <c r="J438" i="2" s="1"/>
  <c r="CY155" i="45"/>
  <c r="J414" i="2" s="1"/>
  <c r="CY121" i="45"/>
  <c r="J380" i="2" s="1"/>
  <c r="CY89" i="45"/>
  <c r="J348" i="2" s="1"/>
  <c r="CY56" i="45"/>
  <c r="J315" i="2" s="1"/>
  <c r="CY550" i="45"/>
  <c r="J779" i="2" s="1"/>
  <c r="CY518" i="45"/>
  <c r="CY486" i="45"/>
  <c r="J721" i="2" s="1"/>
  <c r="CY453" i="45"/>
  <c r="CY417" i="45"/>
  <c r="J676" i="2" s="1"/>
  <c r="CY380" i="45"/>
  <c r="J639" i="2" s="1"/>
  <c r="CY344" i="45"/>
  <c r="J603" i="2" s="1"/>
  <c r="CY325" i="45"/>
  <c r="J584" i="2" s="1"/>
  <c r="CY289" i="45"/>
  <c r="J548" i="2" s="1"/>
  <c r="CY265" i="45"/>
  <c r="J524" i="2" s="1"/>
  <c r="CY216" i="45"/>
  <c r="J475" i="2" s="1"/>
  <c r="CY192" i="45"/>
  <c r="J451" i="2" s="1"/>
  <c r="CY165" i="45"/>
  <c r="J424" i="2" s="1"/>
  <c r="CY141" i="45"/>
  <c r="J400" i="2" s="1"/>
  <c r="CY106" i="45"/>
  <c r="J365" i="2" s="1"/>
  <c r="CY70" i="45"/>
  <c r="J329" i="2" s="1"/>
  <c r="CY546" i="45"/>
  <c r="J775" i="2" s="1"/>
  <c r="CY530" i="45"/>
  <c r="J759" i="2" s="1"/>
  <c r="CY514" i="45"/>
  <c r="CY498" i="45"/>
  <c r="J733" i="2" s="1"/>
  <c r="CY482" i="45"/>
  <c r="J717" i="2" s="1"/>
  <c r="CY466" i="45"/>
  <c r="J701" i="2" s="1"/>
  <c r="CY449" i="45"/>
  <c r="CY430" i="45"/>
  <c r="J689" i="2" s="1"/>
  <c r="CY412" i="45"/>
  <c r="J671" i="2" s="1"/>
  <c r="CY394" i="45"/>
  <c r="J653" i="2" s="1"/>
  <c r="CY376" i="45"/>
  <c r="J635" i="2" s="1"/>
  <c r="CY357" i="45"/>
  <c r="J616" i="2" s="1"/>
  <c r="CY339" i="45"/>
  <c r="J598" i="2" s="1"/>
  <c r="CY321" i="45"/>
  <c r="J580" i="2" s="1"/>
  <c r="CY302" i="45"/>
  <c r="J561" i="2" s="1"/>
  <c r="CY284" i="45"/>
  <c r="J543" i="2" s="1"/>
  <c r="CY261" i="45"/>
  <c r="J520" i="2" s="1"/>
  <c r="CY237" i="45"/>
  <c r="J496" i="2" s="1"/>
  <c r="CY211" i="45"/>
  <c r="J470" i="2" s="1"/>
  <c r="CY188" i="45"/>
  <c r="J447" i="2" s="1"/>
  <c r="CY164" i="45"/>
  <c r="J423" i="2" s="1"/>
  <c r="CY134" i="45"/>
  <c r="J393" i="2" s="1"/>
  <c r="CY102" i="45"/>
  <c r="J361" i="2" s="1"/>
  <c r="CY69" i="45"/>
  <c r="J328" i="2" s="1"/>
  <c r="CY561" i="45"/>
  <c r="J790" i="2" s="1"/>
  <c r="CY88" i="45"/>
  <c r="J347" i="2" s="1"/>
  <c r="CY126" i="45"/>
  <c r="J385" i="2" s="1"/>
  <c r="CY150" i="45"/>
  <c r="J409" i="2" s="1"/>
  <c r="CY169" i="45"/>
  <c r="J428" i="2" s="1"/>
  <c r="CY187" i="45"/>
  <c r="J446" i="2" s="1"/>
  <c r="CY205" i="45"/>
  <c r="J464" i="2" s="1"/>
  <c r="CY224" i="45"/>
  <c r="J483" i="2" s="1"/>
  <c r="CY242" i="45"/>
  <c r="J501" i="2" s="1"/>
  <c r="CY260" i="45"/>
  <c r="J519" i="2" s="1"/>
  <c r="CY278" i="45"/>
  <c r="J537" i="2" s="1"/>
  <c r="CY297" i="45"/>
  <c r="J556" i="2" s="1"/>
  <c r="CY315" i="45"/>
  <c r="J574" i="2" s="1"/>
  <c r="CY333" i="45"/>
  <c r="J592" i="2" s="1"/>
  <c r="CY352" i="45"/>
  <c r="J611" i="2" s="1"/>
  <c r="CY370" i="45"/>
  <c r="J629" i="2" s="1"/>
  <c r="CY388" i="45"/>
  <c r="J647" i="2" s="1"/>
  <c r="CY397" i="45"/>
  <c r="J656" i="2" s="1"/>
  <c r="CY416" i="45"/>
  <c r="J675" i="2" s="1"/>
  <c r="CY434" i="45"/>
  <c r="J693" i="2" s="1"/>
  <c r="CY452" i="45"/>
  <c r="CY469" i="45"/>
  <c r="J704" i="2" s="1"/>
  <c r="CY485" i="45"/>
  <c r="J720" i="2" s="1"/>
  <c r="CY501" i="45"/>
  <c r="J736" i="2" s="1"/>
  <c r="CY517" i="45"/>
  <c r="CY533" i="45"/>
  <c r="J762" i="2" s="1"/>
  <c r="CY549" i="45"/>
  <c r="J778" i="2" s="1"/>
  <c r="CY49" i="45"/>
  <c r="J308" i="2" s="1"/>
  <c r="CY62" i="45"/>
  <c r="J321" i="2" s="1"/>
  <c r="CY74" i="45"/>
  <c r="J333" i="2" s="1"/>
  <c r="CY101" i="45"/>
  <c r="J360" i="2" s="1"/>
  <c r="CY113" i="45"/>
  <c r="J372" i="2" s="1"/>
  <c r="CY138" i="45"/>
  <c r="J397" i="2" s="1"/>
  <c r="CY160" i="45"/>
  <c r="J419" i="2" s="1"/>
  <c r="CY178" i="45"/>
  <c r="J437" i="2" s="1"/>
  <c r="CY196" i="45"/>
  <c r="J455" i="2" s="1"/>
  <c r="CY214" i="45"/>
  <c r="J473" i="2" s="1"/>
  <c r="CY233" i="45"/>
  <c r="J492" i="2" s="1"/>
  <c r="CY251" i="45"/>
  <c r="J510" i="2" s="1"/>
  <c r="CY269" i="45"/>
  <c r="J528" i="2" s="1"/>
  <c r="CY288" i="45"/>
  <c r="J547" i="2" s="1"/>
  <c r="CY306" i="45"/>
  <c r="J565" i="2" s="1"/>
  <c r="CY324" i="45"/>
  <c r="J583" i="2" s="1"/>
  <c r="CY342" i="45"/>
  <c r="J601" i="2" s="1"/>
  <c r="CY361" i="45"/>
  <c r="J620" i="2" s="1"/>
  <c r="CY379" i="45"/>
  <c r="J638" i="2" s="1"/>
  <c r="CY406" i="45"/>
  <c r="J665" i="2" s="1"/>
  <c r="CY425" i="45"/>
  <c r="J684" i="2" s="1"/>
  <c r="CY443" i="45"/>
  <c r="CY461" i="45"/>
  <c r="J696" i="2" s="1"/>
  <c r="CY477" i="45"/>
  <c r="J712" i="2" s="1"/>
  <c r="CY493" i="45"/>
  <c r="J728" i="2" s="1"/>
  <c r="CY509" i="45"/>
  <c r="J744" i="2" s="1"/>
  <c r="CY525" i="45"/>
  <c r="J754" i="2" s="1"/>
  <c r="CY541" i="45"/>
  <c r="J770" i="2" s="1"/>
  <c r="CY557" i="45"/>
  <c r="J786" i="2" s="1"/>
  <c r="CY41" i="45"/>
  <c r="J300" i="2" s="1"/>
  <c r="CY54" i="45"/>
  <c r="J313" i="2" s="1"/>
  <c r="CY66" i="45"/>
  <c r="J325" i="2" s="1"/>
  <c r="CY80" i="45"/>
  <c r="J339" i="2" s="1"/>
  <c r="CY93" i="45"/>
  <c r="J352" i="2" s="1"/>
  <c r="CY105" i="45"/>
  <c r="J364" i="2" s="1"/>
  <c r="CY118" i="45"/>
  <c r="J377" i="2" s="1"/>
  <c r="CY130" i="45"/>
  <c r="J389" i="2" s="1"/>
  <c r="CY144" i="45"/>
  <c r="J403" i="2" s="1"/>
  <c r="CY154" i="45"/>
  <c r="J413" i="2" s="1"/>
  <c r="CY163" i="45"/>
  <c r="J422" i="2" s="1"/>
  <c r="CY172" i="45"/>
  <c r="J431" i="2" s="1"/>
  <c r="CY181" i="45"/>
  <c r="J440" i="2" s="1"/>
  <c r="CY190" i="45"/>
  <c r="J449" i="2" s="1"/>
  <c r="CY200" i="45"/>
  <c r="J459" i="2" s="1"/>
  <c r="CY209" i="45"/>
  <c r="J468" i="2" s="1"/>
  <c r="CY218" i="45"/>
  <c r="J477" i="2" s="1"/>
  <c r="CY227" i="45"/>
  <c r="J486" i="2" s="1"/>
  <c r="CY236" i="45"/>
  <c r="J495" i="2" s="1"/>
  <c r="CY245" i="45"/>
  <c r="J504" i="2" s="1"/>
  <c r="CY254" i="45"/>
  <c r="J513" i="2" s="1"/>
  <c r="CY264" i="45"/>
  <c r="J523" i="2" s="1"/>
  <c r="CY273" i="45"/>
  <c r="J532" i="2" s="1"/>
  <c r="CY282" i="45"/>
  <c r="J541" i="2" s="1"/>
  <c r="CY534" i="45"/>
  <c r="J763" i="2" s="1"/>
  <c r="CY502" i="45"/>
  <c r="J737" i="2" s="1"/>
  <c r="CY470" i="45"/>
  <c r="J705" i="2" s="1"/>
  <c r="CY435" i="45"/>
  <c r="J694" i="2" s="1"/>
  <c r="CY398" i="45"/>
  <c r="J657" i="2" s="1"/>
  <c r="CY362" i="45"/>
  <c r="J621" i="2" s="1"/>
  <c r="CY307" i="45"/>
  <c r="J566" i="2" s="1"/>
  <c r="CY238" i="45"/>
  <c r="J497" i="2" s="1"/>
  <c r="CY545" i="45"/>
  <c r="J774" i="2" s="1"/>
  <c r="CY529" i="45"/>
  <c r="J758" i="2" s="1"/>
  <c r="CY513" i="45"/>
  <c r="J748" i="2" s="1"/>
  <c r="CY497" i="45"/>
  <c r="J732" i="2" s="1"/>
  <c r="CY481" i="45"/>
  <c r="J716" i="2" s="1"/>
  <c r="CY465" i="45"/>
  <c r="J700" i="2" s="1"/>
  <c r="CY448" i="45"/>
  <c r="CY429" i="45"/>
  <c r="J688" i="2" s="1"/>
  <c r="CY411" i="45"/>
  <c r="J670" i="2" s="1"/>
  <c r="CY393" i="45"/>
  <c r="J652" i="2" s="1"/>
  <c r="CY374" i="45"/>
  <c r="J633" i="2" s="1"/>
  <c r="CY356" i="45"/>
  <c r="J615" i="2" s="1"/>
  <c r="CY338" i="45"/>
  <c r="J597" i="2" s="1"/>
  <c r="CY320" i="45"/>
  <c r="J579" i="2" s="1"/>
  <c r="CY301" i="45"/>
  <c r="J560" i="2" s="1"/>
  <c r="CY283" i="45"/>
  <c r="J542" i="2" s="1"/>
  <c r="CY257" i="45"/>
  <c r="J516" i="2" s="1"/>
  <c r="CY234" i="45"/>
  <c r="J493" i="2" s="1"/>
  <c r="CY210" i="45"/>
  <c r="J469" i="2" s="1"/>
  <c r="CY184" i="45"/>
  <c r="J443" i="2" s="1"/>
  <c r="CY161" i="45"/>
  <c r="J420" i="2" s="1"/>
  <c r="CY133" i="45"/>
  <c r="J392" i="2" s="1"/>
  <c r="CY96" i="45"/>
  <c r="J355" i="2" s="1"/>
  <c r="CY64" i="45"/>
  <c r="J323" i="2" s="1"/>
  <c r="CY559" i="45"/>
  <c r="J788" i="2" s="1"/>
  <c r="CY551" i="45"/>
  <c r="J780" i="2" s="1"/>
  <c r="CY543" i="45"/>
  <c r="J772" i="2" s="1"/>
  <c r="CY535" i="45"/>
  <c r="J764" i="2" s="1"/>
  <c r="CY527" i="45"/>
  <c r="J756" i="2" s="1"/>
  <c r="CY519" i="45"/>
  <c r="CY511" i="45"/>
  <c r="J746" i="2" s="1"/>
  <c r="CY503" i="45"/>
  <c r="J738" i="2" s="1"/>
  <c r="CY495" i="45"/>
  <c r="J730" i="2" s="1"/>
  <c r="CY487" i="45"/>
  <c r="J722" i="2" s="1"/>
  <c r="CY479" i="45"/>
  <c r="J714" i="2" s="1"/>
  <c r="CY471" i="45"/>
  <c r="J706" i="2" s="1"/>
  <c r="CY463" i="45"/>
  <c r="J698" i="2" s="1"/>
  <c r="CY454" i="45"/>
  <c r="CY445" i="45"/>
  <c r="CY436" i="45"/>
  <c r="CY427" i="45"/>
  <c r="J686" i="2" s="1"/>
  <c r="CY418" i="45"/>
  <c r="J677" i="2" s="1"/>
  <c r="CY409" i="45"/>
  <c r="J668" i="2" s="1"/>
  <c r="CY400" i="45"/>
  <c r="J659" i="2" s="1"/>
  <c r="CY390" i="45"/>
  <c r="J649" i="2" s="1"/>
  <c r="CY381" i="45"/>
  <c r="J640" i="2" s="1"/>
  <c r="CY372" i="45"/>
  <c r="J631" i="2" s="1"/>
  <c r="CY363" i="45"/>
  <c r="J622" i="2" s="1"/>
  <c r="CY354" i="45"/>
  <c r="J613" i="2" s="1"/>
  <c r="CY345" i="45"/>
  <c r="J604" i="2" s="1"/>
  <c r="CY336" i="45"/>
  <c r="J595" i="2" s="1"/>
  <c r="CY326" i="45"/>
  <c r="J585" i="2" s="1"/>
  <c r="CY317" i="45"/>
  <c r="J576" i="2" s="1"/>
  <c r="CY308" i="45"/>
  <c r="J567" i="2" s="1"/>
  <c r="CY299" i="45"/>
  <c r="J558" i="2" s="1"/>
  <c r="CY290" i="45"/>
  <c r="J549" i="2" s="1"/>
  <c r="CY281" i="45"/>
  <c r="J540" i="2" s="1"/>
  <c r="CY272" i="45"/>
  <c r="J531" i="2" s="1"/>
  <c r="CY262" i="45"/>
  <c r="J521" i="2" s="1"/>
  <c r="CY253" i="45"/>
  <c r="J512" i="2" s="1"/>
  <c r="CY244" i="45"/>
  <c r="J503" i="2" s="1"/>
  <c r="CY235" i="45"/>
  <c r="J494" i="2" s="1"/>
  <c r="CY226" i="45"/>
  <c r="J485" i="2" s="1"/>
  <c r="CY217" i="45"/>
  <c r="J476" i="2" s="1"/>
  <c r="CY208" i="45"/>
  <c r="J467" i="2" s="1"/>
  <c r="CY198" i="45"/>
  <c r="J457" i="2" s="1"/>
  <c r="CY189" i="45"/>
  <c r="J448" i="2" s="1"/>
  <c r="CY180" i="45"/>
  <c r="J439" i="2" s="1"/>
  <c r="CY171" i="45"/>
  <c r="J430" i="2" s="1"/>
  <c r="CY162" i="45"/>
  <c r="J421" i="2" s="1"/>
  <c r="CY153" i="45"/>
  <c r="J412" i="2" s="1"/>
  <c r="CY142" i="45"/>
  <c r="J401" i="2" s="1"/>
  <c r="CY129" i="45"/>
  <c r="J388" i="2" s="1"/>
  <c r="CY117" i="45"/>
  <c r="J376" i="2" s="1"/>
  <c r="CY104" i="45"/>
  <c r="J363" i="2" s="1"/>
  <c r="CY90" i="45"/>
  <c r="J349" i="2" s="1"/>
  <c r="CY78" i="45"/>
  <c r="J337" i="2" s="1"/>
  <c r="CY65" i="45"/>
  <c r="J324" i="2" s="1"/>
  <c r="CY53" i="45"/>
  <c r="J312" i="2" s="1"/>
  <c r="CY40" i="45"/>
  <c r="J299" i="2" s="1"/>
  <c r="CY35" i="45"/>
  <c r="J294" i="2" s="1"/>
  <c r="CY43" i="45"/>
  <c r="J302" i="2" s="1"/>
  <c r="CY51" i="45"/>
  <c r="J310" i="2" s="1"/>
  <c r="CY59" i="45"/>
  <c r="J318" i="2" s="1"/>
  <c r="CY67" i="45"/>
  <c r="J326" i="2" s="1"/>
  <c r="CY75" i="45"/>
  <c r="J334" i="2" s="1"/>
  <c r="CY83" i="45"/>
  <c r="J342" i="2" s="1"/>
  <c r="CY91" i="45"/>
  <c r="J350" i="2" s="1"/>
  <c r="CY99" i="45"/>
  <c r="J358" i="2" s="1"/>
  <c r="CY107" i="45"/>
  <c r="J366" i="2" s="1"/>
  <c r="CY115" i="45"/>
  <c r="J374" i="2" s="1"/>
  <c r="CY123" i="45"/>
  <c r="J382" i="2" s="1"/>
  <c r="CY131" i="45"/>
  <c r="J390" i="2" s="1"/>
  <c r="CY139" i="45"/>
  <c r="J398" i="2" s="1"/>
  <c r="CY36" i="45"/>
  <c r="J295" i="2" s="1"/>
  <c r="CY44" i="45"/>
  <c r="J303" i="2" s="1"/>
  <c r="CY52" i="45"/>
  <c r="J311" i="2" s="1"/>
  <c r="CY60" i="45"/>
  <c r="J319" i="2" s="1"/>
  <c r="CY68" i="45"/>
  <c r="J327" i="2" s="1"/>
  <c r="CY76" i="45"/>
  <c r="J335" i="2" s="1"/>
  <c r="CY84" i="45"/>
  <c r="J343" i="2" s="1"/>
  <c r="CY92" i="45"/>
  <c r="J351" i="2" s="1"/>
  <c r="CY100" i="45"/>
  <c r="J359" i="2" s="1"/>
  <c r="CY108" i="45"/>
  <c r="J367" i="2" s="1"/>
  <c r="CY116" i="45"/>
  <c r="J375" i="2" s="1"/>
  <c r="CY124" i="45"/>
  <c r="J383" i="2" s="1"/>
  <c r="CY132" i="45"/>
  <c r="J391" i="2" s="1"/>
  <c r="CY140" i="45"/>
  <c r="J399" i="2" s="1"/>
  <c r="CY148" i="45"/>
  <c r="J407" i="2" s="1"/>
  <c r="CY39" i="45"/>
  <c r="J298" i="2" s="1"/>
  <c r="CY47" i="45"/>
  <c r="J306" i="2" s="1"/>
  <c r="CY55" i="45"/>
  <c r="J314" i="2" s="1"/>
  <c r="CY63" i="45"/>
  <c r="J322" i="2" s="1"/>
  <c r="CY71" i="45"/>
  <c r="J330" i="2" s="1"/>
  <c r="CY79" i="45"/>
  <c r="J338" i="2" s="1"/>
  <c r="CY87" i="45"/>
  <c r="J346" i="2" s="1"/>
  <c r="CY95" i="45"/>
  <c r="J354" i="2" s="1"/>
  <c r="CY103" i="45"/>
  <c r="J362" i="2" s="1"/>
  <c r="CY111" i="45"/>
  <c r="J370" i="2" s="1"/>
  <c r="CY119" i="45"/>
  <c r="J378" i="2" s="1"/>
  <c r="CY127" i="45"/>
  <c r="J386" i="2" s="1"/>
  <c r="CY135" i="45"/>
  <c r="J394" i="2" s="1"/>
  <c r="CY143" i="45"/>
  <c r="J402" i="2" s="1"/>
  <c r="CY151" i="45"/>
  <c r="J410" i="2" s="1"/>
  <c r="CY159" i="45"/>
  <c r="J418" i="2" s="1"/>
  <c r="CY167" i="45"/>
  <c r="J426" i="2" s="1"/>
  <c r="CY175" i="45"/>
  <c r="J434" i="2" s="1"/>
  <c r="CY183" i="45"/>
  <c r="J442" i="2" s="1"/>
  <c r="CY191" i="45"/>
  <c r="J450" i="2" s="1"/>
  <c r="CY199" i="45"/>
  <c r="J458" i="2" s="1"/>
  <c r="CY207" i="45"/>
  <c r="J466" i="2" s="1"/>
  <c r="CY215" i="45"/>
  <c r="J474" i="2" s="1"/>
  <c r="CY223" i="45"/>
  <c r="J482" i="2" s="1"/>
  <c r="CY231" i="45"/>
  <c r="J490" i="2" s="1"/>
  <c r="CY239" i="45"/>
  <c r="J498" i="2" s="1"/>
  <c r="CY247" i="45"/>
  <c r="J506" i="2" s="1"/>
  <c r="CY255" i="45"/>
  <c r="J514" i="2" s="1"/>
  <c r="CY263" i="45"/>
  <c r="J522" i="2" s="1"/>
  <c r="CY271" i="45"/>
  <c r="J530" i="2" s="1"/>
  <c r="CY279" i="45"/>
  <c r="J538" i="2" s="1"/>
  <c r="CY287" i="45"/>
  <c r="J546" i="2" s="1"/>
  <c r="CY295" i="45"/>
  <c r="J554" i="2" s="1"/>
  <c r="CY303" i="45"/>
  <c r="J562" i="2" s="1"/>
  <c r="CY311" i="45"/>
  <c r="J570" i="2" s="1"/>
  <c r="CY319" i="45"/>
  <c r="J578" i="2" s="1"/>
  <c r="CY327" i="45"/>
  <c r="J586" i="2" s="1"/>
  <c r="CY335" i="45"/>
  <c r="J594" i="2" s="1"/>
  <c r="CY343" i="45"/>
  <c r="J602" i="2" s="1"/>
  <c r="CY351" i="45"/>
  <c r="J610" i="2" s="1"/>
  <c r="CY359" i="45"/>
  <c r="J618" i="2" s="1"/>
  <c r="CY367" i="45"/>
  <c r="J626" i="2" s="1"/>
  <c r="CY375" i="45"/>
  <c r="J634" i="2" s="1"/>
  <c r="CY383" i="45"/>
  <c r="J642" i="2" s="1"/>
  <c r="CY391" i="45"/>
  <c r="J650" i="2" s="1"/>
  <c r="CY399" i="45"/>
  <c r="J658" i="2" s="1"/>
  <c r="CY407" i="45"/>
  <c r="J666" i="2" s="1"/>
  <c r="CY415" i="45"/>
  <c r="J674" i="2" s="1"/>
  <c r="CY423" i="45"/>
  <c r="J682" i="2" s="1"/>
  <c r="CY431" i="45"/>
  <c r="J690" i="2" s="1"/>
  <c r="CY439" i="45"/>
  <c r="CY447" i="45"/>
  <c r="CY455" i="45"/>
  <c r="CY556" i="45"/>
  <c r="J785" i="2" s="1"/>
  <c r="CY548" i="45"/>
  <c r="J777" i="2" s="1"/>
  <c r="CY540" i="45"/>
  <c r="J769" i="2" s="1"/>
  <c r="CY532" i="45"/>
  <c r="J761" i="2" s="1"/>
  <c r="CY524" i="45"/>
  <c r="J753" i="2" s="1"/>
  <c r="CY516" i="45"/>
  <c r="CY508" i="45"/>
  <c r="J743" i="2" s="1"/>
  <c r="CY500" i="45"/>
  <c r="J735" i="2" s="1"/>
  <c r="CY492" i="45"/>
  <c r="J727" i="2" s="1"/>
  <c r="CY484" i="45"/>
  <c r="J719" i="2" s="1"/>
  <c r="CY476" i="45"/>
  <c r="J711" i="2" s="1"/>
  <c r="CY468" i="45"/>
  <c r="J703" i="2" s="1"/>
  <c r="CY460" i="45"/>
  <c r="J695" i="2" s="1"/>
  <c r="CY451" i="45"/>
  <c r="CY442" i="45"/>
  <c r="CY433" i="45"/>
  <c r="J692" i="2" s="1"/>
  <c r="CY424" i="45"/>
  <c r="J683" i="2" s="1"/>
  <c r="CY414" i="45"/>
  <c r="J673" i="2" s="1"/>
  <c r="CY405" i="45"/>
  <c r="J664" i="2" s="1"/>
  <c r="CY396" i="45"/>
  <c r="J655" i="2" s="1"/>
  <c r="CY387" i="45"/>
  <c r="J646" i="2" s="1"/>
  <c r="CY378" i="45"/>
  <c r="J637" i="2" s="1"/>
  <c r="CY369" i="45"/>
  <c r="J628" i="2" s="1"/>
  <c r="CY360" i="45"/>
  <c r="J619" i="2" s="1"/>
  <c r="CY350" i="45"/>
  <c r="J609" i="2" s="1"/>
  <c r="CY341" i="45"/>
  <c r="J600" i="2" s="1"/>
  <c r="CY332" i="45"/>
  <c r="J591" i="2" s="1"/>
  <c r="CY323" i="45"/>
  <c r="J582" i="2" s="1"/>
  <c r="CY314" i="45"/>
  <c r="J573" i="2" s="1"/>
  <c r="CY305" i="45"/>
  <c r="J564" i="2" s="1"/>
  <c r="CY296" i="45"/>
  <c r="J555" i="2" s="1"/>
  <c r="CY286" i="45"/>
  <c r="J545" i="2" s="1"/>
  <c r="CY277" i="45"/>
  <c r="J536" i="2" s="1"/>
  <c r="CY268" i="45"/>
  <c r="J527" i="2" s="1"/>
  <c r="CY259" i="45"/>
  <c r="J518" i="2" s="1"/>
  <c r="CY250" i="45"/>
  <c r="J509" i="2" s="1"/>
  <c r="CY241" i="45"/>
  <c r="J500" i="2" s="1"/>
  <c r="CY232" i="45"/>
  <c r="J491" i="2" s="1"/>
  <c r="CY222" i="45"/>
  <c r="J481" i="2" s="1"/>
  <c r="CY213" i="45"/>
  <c r="J472" i="2" s="1"/>
  <c r="CY204" i="45"/>
  <c r="J463" i="2" s="1"/>
  <c r="CY195" i="45"/>
  <c r="J454" i="2" s="1"/>
  <c r="CY186" i="45"/>
  <c r="J445" i="2" s="1"/>
  <c r="CY177" i="45"/>
  <c r="J436" i="2" s="1"/>
  <c r="CY168" i="45"/>
  <c r="J427" i="2" s="1"/>
  <c r="CY158" i="45"/>
  <c r="J417" i="2" s="1"/>
  <c r="CY149" i="45"/>
  <c r="J408" i="2" s="1"/>
  <c r="CY137" i="45"/>
  <c r="J396" i="2" s="1"/>
  <c r="CY125" i="45"/>
  <c r="J384" i="2" s="1"/>
  <c r="CY112" i="45"/>
  <c r="J371" i="2" s="1"/>
  <c r="CY98" i="45"/>
  <c r="J357" i="2" s="1"/>
  <c r="CY86" i="45"/>
  <c r="J345" i="2" s="1"/>
  <c r="CY73" i="45"/>
  <c r="J332" i="2" s="1"/>
  <c r="CY61" i="45"/>
  <c r="J320" i="2" s="1"/>
  <c r="CY48" i="45"/>
  <c r="J307" i="2" s="1"/>
  <c r="CY34" i="45"/>
  <c r="J293" i="2" s="1"/>
  <c r="CY555" i="45"/>
  <c r="J784" i="2" s="1"/>
  <c r="CY547" i="45"/>
  <c r="J776" i="2" s="1"/>
  <c r="CY539" i="45"/>
  <c r="J768" i="2" s="1"/>
  <c r="CY531" i="45"/>
  <c r="J760" i="2" s="1"/>
  <c r="CY523" i="45"/>
  <c r="J752" i="2" s="1"/>
  <c r="CY515" i="45"/>
  <c r="CY507" i="45"/>
  <c r="J742" i="2" s="1"/>
  <c r="CY499" i="45"/>
  <c r="J734" i="2" s="1"/>
  <c r="CY491" i="45"/>
  <c r="J726" i="2" s="1"/>
  <c r="CY483" i="45"/>
  <c r="J718" i="2" s="1"/>
  <c r="CY475" i="45"/>
  <c r="J710" i="2" s="1"/>
  <c r="CY467" i="45"/>
  <c r="J702" i="2" s="1"/>
  <c r="CY459" i="45"/>
  <c r="CY450" i="45"/>
  <c r="CY441" i="45"/>
  <c r="CY432" i="45"/>
  <c r="J691" i="2" s="1"/>
  <c r="CY422" i="45"/>
  <c r="J681" i="2" s="1"/>
  <c r="CY413" i="45"/>
  <c r="J672" i="2" s="1"/>
  <c r="CY404" i="45"/>
  <c r="J663" i="2" s="1"/>
  <c r="CY395" i="45"/>
  <c r="J654" i="2" s="1"/>
  <c r="CY386" i="45"/>
  <c r="J645" i="2" s="1"/>
  <c r="CY377" i="45"/>
  <c r="J636" i="2" s="1"/>
  <c r="CY368" i="45"/>
  <c r="J627" i="2" s="1"/>
  <c r="CY358" i="45"/>
  <c r="J617" i="2" s="1"/>
  <c r="CY349" i="45"/>
  <c r="J608" i="2" s="1"/>
  <c r="CY340" i="45"/>
  <c r="J599" i="2" s="1"/>
  <c r="CY331" i="45"/>
  <c r="J590" i="2" s="1"/>
  <c r="CY322" i="45"/>
  <c r="J581" i="2" s="1"/>
  <c r="CY313" i="45"/>
  <c r="J572" i="2" s="1"/>
  <c r="CY304" i="45"/>
  <c r="J563" i="2" s="1"/>
  <c r="CY294" i="45"/>
  <c r="J553" i="2" s="1"/>
  <c r="CY285" i="45"/>
  <c r="J544" i="2" s="1"/>
  <c r="CY276" i="45"/>
  <c r="J535" i="2" s="1"/>
  <c r="CY267" i="45"/>
  <c r="J526" i="2" s="1"/>
  <c r="CY258" i="45"/>
  <c r="J517" i="2" s="1"/>
  <c r="CY249" i="45"/>
  <c r="J508" i="2" s="1"/>
  <c r="CY240" i="45"/>
  <c r="J499" i="2" s="1"/>
  <c r="CY230" i="45"/>
  <c r="J489" i="2" s="1"/>
  <c r="CY221" i="45"/>
  <c r="J480" i="2" s="1"/>
  <c r="CY212" i="45"/>
  <c r="J471" i="2" s="1"/>
  <c r="CY203" i="45"/>
  <c r="J462" i="2" s="1"/>
  <c r="CY194" i="45"/>
  <c r="J453" i="2" s="1"/>
  <c r="CY185" i="45"/>
  <c r="J444" i="2" s="1"/>
  <c r="CY176" i="45"/>
  <c r="J435" i="2" s="1"/>
  <c r="CY166" i="45"/>
  <c r="J425" i="2" s="1"/>
  <c r="CY157" i="45"/>
  <c r="J416" i="2" s="1"/>
  <c r="CY147" i="45"/>
  <c r="J406" i="2" s="1"/>
  <c r="CY136" i="45"/>
  <c r="J395" i="2" s="1"/>
  <c r="CY122" i="45"/>
  <c r="J381" i="2" s="1"/>
  <c r="CY110" i="45"/>
  <c r="J369" i="2" s="1"/>
  <c r="CY97" i="45"/>
  <c r="J356" i="2" s="1"/>
  <c r="CY85" i="45"/>
  <c r="J344" i="2" s="1"/>
  <c r="CY72" i="45"/>
  <c r="J331" i="2" s="1"/>
  <c r="CY58" i="45"/>
  <c r="J317" i="2" s="1"/>
  <c r="CY46" i="45"/>
  <c r="J305" i="2" s="1"/>
  <c r="B347" i="2"/>
  <c r="B299" i="2"/>
  <c r="B707" i="2"/>
  <c r="B394" i="2"/>
  <c r="B298" i="2"/>
  <c r="B773" i="2"/>
  <c r="B706" i="2"/>
  <c r="B666" i="2"/>
  <c r="B611" i="2"/>
  <c r="B583" i="2"/>
  <c r="B538" i="2"/>
  <c r="B418" i="2"/>
  <c r="B370" i="2"/>
  <c r="B346" i="2"/>
  <c r="B772" i="2"/>
  <c r="B655" i="2"/>
  <c r="B610" i="2"/>
  <c r="B490" i="2"/>
  <c r="B466" i="2"/>
  <c r="B442" i="2"/>
  <c r="B563" i="2"/>
  <c r="B463" i="2"/>
  <c r="B431" i="2"/>
  <c r="B415" i="2"/>
  <c r="B391" i="2"/>
  <c r="B359" i="2"/>
  <c r="B343" i="2"/>
  <c r="B607" i="2"/>
  <c r="B731" i="2"/>
  <c r="B455" i="2"/>
  <c r="B439" i="2"/>
  <c r="B407" i="2"/>
  <c r="B335" i="2"/>
  <c r="B319" i="2"/>
  <c r="B311" i="2"/>
  <c r="B295" i="2"/>
  <c r="B287" i="2"/>
  <c r="B769" i="2"/>
  <c r="B738" i="2"/>
  <c r="B719" i="2"/>
  <c r="B679" i="2"/>
  <c r="B634" i="2"/>
  <c r="B551" i="2"/>
  <c r="B515" i="2"/>
  <c r="B749" i="2"/>
  <c r="B623" i="2"/>
  <c r="B587" i="2"/>
  <c r="B559" i="2"/>
  <c r="B514" i="2"/>
  <c r="B779" i="2"/>
  <c r="B755" i="2"/>
  <c r="B713" i="2"/>
  <c r="B641" i="2"/>
  <c r="B617" i="2"/>
  <c r="B593" i="2"/>
  <c r="B569" i="2"/>
  <c r="B545" i="2"/>
  <c r="B521" i="2"/>
  <c r="B497" i="2"/>
  <c r="B425" i="2"/>
  <c r="B329" i="2"/>
  <c r="CV16" i="45"/>
  <c r="CX66" i="45"/>
  <c r="CX82" i="45"/>
  <c r="CX178" i="45"/>
  <c r="CX190" i="45"/>
  <c r="CX194" i="45"/>
  <c r="CX238" i="45"/>
  <c r="CX314" i="45"/>
  <c r="CX334" i="45"/>
  <c r="CX358" i="45"/>
  <c r="CX386" i="45"/>
  <c r="CX402" i="45"/>
  <c r="CU16" i="45"/>
  <c r="B635" i="2" l="1"/>
  <c r="D394" i="2"/>
  <c r="D478" i="2"/>
  <c r="D778" i="2"/>
  <c r="CY16" i="45"/>
  <c r="D328" i="2"/>
  <c r="D460" i="2"/>
  <c r="D544" i="2"/>
  <c r="D508" i="2"/>
  <c r="D400" i="2"/>
  <c r="D754" i="2"/>
  <c r="B395" i="2"/>
  <c r="CW16" i="45"/>
  <c r="D406" i="2"/>
  <c r="D298" i="2"/>
  <c r="D502" i="2"/>
  <c r="D556" i="2"/>
  <c r="B539" i="2"/>
  <c r="D682" i="2"/>
  <c r="D664" i="2"/>
  <c r="D304" i="2"/>
  <c r="D520" i="2"/>
  <c r="B452" i="2"/>
  <c r="D292" i="2"/>
  <c r="D628" i="2"/>
  <c r="D676" i="2"/>
  <c r="B281" i="2"/>
  <c r="D376" i="2"/>
  <c r="D646" i="2"/>
  <c r="D472" i="2"/>
  <c r="D766" i="2"/>
  <c r="D772" i="2"/>
  <c r="D562" i="2"/>
  <c r="D604" i="2"/>
  <c r="D574" i="2"/>
  <c r="D316" i="2"/>
  <c r="D688" i="2"/>
  <c r="D310" i="2"/>
  <c r="D340" i="2"/>
  <c r="D382" i="2"/>
  <c r="D670" i="2"/>
  <c r="D496" i="2"/>
  <c r="D652" i="2"/>
  <c r="D430" i="2"/>
  <c r="D364" i="2"/>
  <c r="D358" i="2"/>
  <c r="CX459" i="45"/>
  <c r="CX443" i="45"/>
  <c r="CX419" i="45"/>
  <c r="CX411" i="45"/>
  <c r="CX403" i="45"/>
  <c r="CX395" i="45"/>
  <c r="CX379" i="45"/>
  <c r="CX371" i="45"/>
  <c r="CX355" i="45"/>
  <c r="CX347" i="45"/>
  <c r="CX331" i="45"/>
  <c r="CX315" i="45"/>
  <c r="CX291" i="45"/>
  <c r="CX283" i="45"/>
  <c r="CX275" i="45"/>
  <c r="CX267" i="45"/>
  <c r="CX251" i="45"/>
  <c r="CX227" i="45"/>
  <c r="CX219" i="45"/>
  <c r="CX211" i="45"/>
  <c r="CX203" i="45"/>
  <c r="CX187" i="45"/>
  <c r="CX155" i="45"/>
  <c r="CX147" i="45"/>
  <c r="CX131" i="45"/>
  <c r="CX115" i="45"/>
  <c r="CX91" i="45"/>
  <c r="CX83" i="45"/>
  <c r="CX75" i="45"/>
  <c r="CX67" i="45"/>
  <c r="CX51" i="45"/>
  <c r="CX27" i="45"/>
  <c r="CX19" i="45"/>
  <c r="CX408" i="45"/>
  <c r="CX328" i="45"/>
  <c r="CX296" i="45"/>
  <c r="CX288" i="45"/>
  <c r="CX264" i="45"/>
  <c r="CX224" i="45"/>
  <c r="CX216" i="45"/>
  <c r="CX168" i="45"/>
  <c r="CX160" i="45"/>
  <c r="CX136" i="45"/>
  <c r="CX72" i="45"/>
  <c r="CX56" i="45"/>
  <c r="CX40" i="45"/>
  <c r="CX24" i="45"/>
  <c r="CX424" i="45"/>
  <c r="CX416" i="45"/>
  <c r="CX360" i="45"/>
  <c r="CX463" i="45"/>
  <c r="CX447" i="45"/>
  <c r="CX439" i="45"/>
  <c r="CX431" i="45"/>
  <c r="CX423" i="45"/>
  <c r="CX415" i="45"/>
  <c r="CX407" i="45"/>
  <c r="CX399" i="45"/>
  <c r="CX383" i="45"/>
  <c r="CX375" i="45"/>
  <c r="CX367" i="45"/>
  <c r="CX359" i="45"/>
  <c r="CX351" i="45"/>
  <c r="CX343" i="45"/>
  <c r="CX335" i="45"/>
  <c r="CX311" i="45"/>
  <c r="CX303" i="45"/>
  <c r="CX295" i="45"/>
  <c r="CX287" i="45"/>
  <c r="CX279" i="45"/>
  <c r="CX271" i="45"/>
  <c r="CX263" i="45"/>
  <c r="CX255" i="45"/>
  <c r="CX247" i="45"/>
  <c r="CX239" i="45"/>
  <c r="CX231" i="45"/>
  <c r="CX223" i="45"/>
  <c r="CX215" i="45"/>
  <c r="CX207" i="45"/>
  <c r="CX183" i="45"/>
  <c r="CX175" i="45"/>
  <c r="CX167" i="45"/>
  <c r="CX159" i="45"/>
  <c r="CX151" i="45"/>
  <c r="CX143" i="45"/>
  <c r="CX127" i="45"/>
  <c r="CX119" i="45"/>
  <c r="CX111" i="45"/>
  <c r="CX103" i="45"/>
  <c r="CX95" i="45"/>
  <c r="CX79" i="45"/>
  <c r="CX63" i="45"/>
  <c r="CX55" i="45"/>
  <c r="CX47" i="45"/>
  <c r="CX39" i="45"/>
  <c r="CX31" i="45"/>
  <c r="CX23" i="45"/>
  <c r="CX455" i="45"/>
  <c r="CX465" i="45"/>
  <c r="CX457" i="45"/>
  <c r="CX441" i="45"/>
  <c r="CX433" i="45"/>
  <c r="CX425" i="45"/>
  <c r="CX417" i="45"/>
  <c r="CX393" i="45"/>
  <c r="CX377" i="45"/>
  <c r="CX369" i="45"/>
  <c r="CX361" i="45"/>
  <c r="CX353" i="45"/>
  <c r="CX345" i="45"/>
  <c r="CX337" i="45"/>
  <c r="CX329" i="45"/>
  <c r="CX313" i="45"/>
  <c r="CX305" i="45"/>
  <c r="CX297" i="45"/>
  <c r="CX289" i="45"/>
  <c r="CX273" i="45"/>
  <c r="CX249" i="45"/>
  <c r="CX241" i="45"/>
  <c r="CX233" i="45"/>
  <c r="CX225" i="45"/>
  <c r="CX217" i="45"/>
  <c r="CX209" i="45"/>
  <c r="CX193" i="45"/>
  <c r="CX185" i="45"/>
  <c r="CX177" i="45"/>
  <c r="CX169" i="45"/>
  <c r="CX161" i="45"/>
  <c r="CX145" i="45"/>
  <c r="CX129" i="45"/>
  <c r="CX113" i="45"/>
  <c r="CX105" i="45"/>
  <c r="CX97" i="45"/>
  <c r="CX89" i="45"/>
  <c r="CX81" i="45"/>
  <c r="CX73" i="45"/>
  <c r="CX65" i="45"/>
  <c r="CX49" i="45"/>
  <c r="CX41" i="45"/>
  <c r="CX33" i="45"/>
  <c r="CX25" i="45"/>
  <c r="CX17" i="45"/>
  <c r="CX166" i="45"/>
  <c r="CX142" i="45"/>
  <c r="CX126" i="45"/>
  <c r="CX110" i="45"/>
  <c r="CX86" i="45"/>
  <c r="CX62" i="45"/>
  <c r="CX46" i="45"/>
  <c r="CX30" i="45"/>
  <c r="CX381" i="45"/>
  <c r="CX253" i="45"/>
  <c r="CX189" i="45"/>
  <c r="CX125" i="45"/>
  <c r="CX21" i="45"/>
  <c r="CX460" i="45"/>
  <c r="CX444" i="45"/>
  <c r="CX436" i="45"/>
  <c r="CX428" i="45"/>
  <c r="CX420" i="45"/>
  <c r="CX412" i="45"/>
  <c r="CX404" i="45"/>
  <c r="CX396" i="45"/>
  <c r="CX380" i="45"/>
  <c r="CX372" i="45"/>
  <c r="CX364" i="45"/>
  <c r="CX356" i="45"/>
  <c r="CX348" i="45"/>
  <c r="CX340" i="45"/>
  <c r="CX332" i="45"/>
  <c r="CX324" i="45"/>
  <c r="CX308" i="45"/>
  <c r="CX300" i="45"/>
  <c r="CX292" i="45"/>
  <c r="CX284" i="45"/>
  <c r="CX276" i="45"/>
  <c r="CX268" i="45"/>
  <c r="CX244" i="45"/>
  <c r="CX236" i="45"/>
  <c r="CX228" i="45"/>
  <c r="CX220" i="45"/>
  <c r="CX212" i="45"/>
  <c r="CX204" i="45"/>
  <c r="CX180" i="45"/>
  <c r="CX172" i="45"/>
  <c r="CX164" i="45"/>
  <c r="CX156" i="45"/>
  <c r="CX148" i="45"/>
  <c r="CX140" i="45"/>
  <c r="CX132" i="45"/>
  <c r="CX116" i="45"/>
  <c r="CX108" i="45"/>
  <c r="CX100" i="45"/>
  <c r="CX92" i="45"/>
  <c r="CX84" i="45"/>
  <c r="CX68" i="45"/>
  <c r="CX44" i="45"/>
  <c r="CX36" i="45"/>
  <c r="CX28" i="45"/>
  <c r="CX174" i="45"/>
  <c r="CX134" i="45"/>
  <c r="CX94" i="45"/>
  <c r="CX78" i="45"/>
  <c r="CX70" i="45"/>
  <c r="CX54" i="45"/>
  <c r="CX38" i="45"/>
  <c r="CX445" i="45"/>
  <c r="CX349" i="45"/>
  <c r="CX221" i="45"/>
  <c r="CX157" i="45"/>
  <c r="CX376" i="45"/>
  <c r="CX344" i="45"/>
  <c r="CX312" i="45"/>
  <c r="CX248" i="45"/>
  <c r="CX184" i="45"/>
  <c r="CX448" i="45"/>
  <c r="CX392" i="45"/>
  <c r="CX285" i="45"/>
  <c r="CX171" i="45"/>
  <c r="CX57" i="45"/>
  <c r="CX406" i="45"/>
  <c r="CX326" i="45"/>
  <c r="CX198" i="45"/>
  <c r="CX182" i="45"/>
  <c r="CX320" i="45"/>
  <c r="CX200" i="45"/>
  <c r="CX121" i="45"/>
  <c r="CX446" i="45"/>
  <c r="CX430" i="45"/>
  <c r="CX398" i="45"/>
  <c r="CX139" i="45"/>
  <c r="CX192" i="45"/>
  <c r="CX454" i="45"/>
  <c r="CX438" i="45"/>
  <c r="CX422" i="45"/>
  <c r="CX390" i="45"/>
  <c r="CX382" i="45"/>
  <c r="CX76" i="45"/>
  <c r="CX456" i="45"/>
  <c r="CX413" i="45"/>
  <c r="CX128" i="45"/>
  <c r="CX461" i="45"/>
  <c r="CX453" i="45"/>
  <c r="CX437" i="45"/>
  <c r="CX429" i="45"/>
  <c r="CX421" i="45"/>
  <c r="CX405" i="45"/>
  <c r="CX397" i="45"/>
  <c r="CX389" i="45"/>
  <c r="CX373" i="45"/>
  <c r="CX365" i="45"/>
  <c r="CX357" i="45"/>
  <c r="CX341" i="45"/>
  <c r="CX333" i="45"/>
  <c r="CX325" i="45"/>
  <c r="CX309" i="45"/>
  <c r="CX301" i="45"/>
  <c r="CX293" i="45"/>
  <c r="CX277" i="45"/>
  <c r="CX269" i="45"/>
  <c r="CX261" i="45"/>
  <c r="CX245" i="45"/>
  <c r="CX237" i="45"/>
  <c r="CX229" i="45"/>
  <c r="CX213" i="45"/>
  <c r="CX205" i="45"/>
  <c r="CX197" i="45"/>
  <c r="CX181" i="45"/>
  <c r="CX173" i="45"/>
  <c r="CX165" i="45"/>
  <c r="CX149" i="45"/>
  <c r="CX141" i="45"/>
  <c r="CX133" i="45"/>
  <c r="CX117" i="45"/>
  <c r="CX109" i="45"/>
  <c r="CX101" i="45"/>
  <c r="CX93" i="45"/>
  <c r="CX85" i="45"/>
  <c r="CX77" i="45"/>
  <c r="CX69" i="45"/>
  <c r="CX61" i="45"/>
  <c r="CX53" i="45"/>
  <c r="CX45" i="45"/>
  <c r="CX37" i="45"/>
  <c r="CX29" i="45"/>
  <c r="J275" i="2"/>
  <c r="CX391" i="45"/>
  <c r="CX20" i="45"/>
  <c r="CX260" i="45"/>
  <c r="CX464" i="45"/>
  <c r="CX432" i="45"/>
  <c r="CX400" i="45"/>
  <c r="CX368" i="45"/>
  <c r="CX336" i="45"/>
  <c r="CX304" i="45"/>
  <c r="CX272" i="45"/>
  <c r="CX240" i="45"/>
  <c r="CX208" i="45"/>
  <c r="CX176" i="45"/>
  <c r="CX144" i="45"/>
  <c r="CX120" i="45"/>
  <c r="CX104" i="45"/>
  <c r="CX96" i="45"/>
  <c r="CX80" i="45"/>
  <c r="CX64" i="45"/>
  <c r="CX48" i="45"/>
  <c r="CX32" i="45"/>
  <c r="CX18" i="45"/>
  <c r="CX394" i="45"/>
  <c r="CX170" i="45"/>
  <c r="CX122" i="45"/>
  <c r="CX265" i="45"/>
  <c r="CX199" i="45"/>
  <c r="CX338" i="45"/>
  <c r="CX449" i="45"/>
  <c r="CX124" i="45"/>
  <c r="CX201" i="45"/>
  <c r="CX153" i="45"/>
  <c r="CX26" i="45"/>
  <c r="CX440" i="45"/>
  <c r="CX135" i="45"/>
  <c r="CX71" i="45"/>
  <c r="CX452" i="45"/>
  <c r="CX388" i="45"/>
  <c r="CX22" i="45"/>
  <c r="CX152" i="45"/>
  <c r="CX327" i="45"/>
  <c r="CX342" i="45"/>
  <c r="CX294" i="45"/>
  <c r="CX230" i="45"/>
  <c r="CX214" i="45"/>
  <c r="CX118" i="45"/>
  <c r="CX179" i="45"/>
  <c r="CX99" i="45"/>
  <c r="CX370" i="45"/>
  <c r="CX210" i="45"/>
  <c r="CX321" i="45"/>
  <c r="CX401" i="45"/>
  <c r="CX462" i="45"/>
  <c r="CX366" i="45"/>
  <c r="CX270" i="45"/>
  <c r="CX257" i="45"/>
  <c r="CX158" i="45"/>
  <c r="CX302" i="45"/>
  <c r="CX256" i="45"/>
  <c r="CX434" i="45"/>
  <c r="CX352" i="45"/>
  <c r="CX254" i="45"/>
  <c r="CX286" i="45"/>
  <c r="CX259" i="45"/>
  <c r="CX385" i="45"/>
  <c r="CX384" i="45"/>
  <c r="CX112" i="45"/>
  <c r="CX319" i="45"/>
  <c r="CX323" i="45"/>
  <c r="CX258" i="45"/>
  <c r="CX350" i="45"/>
  <c r="CX318" i="45"/>
  <c r="CX222" i="45"/>
  <c r="CX206" i="45"/>
  <c r="CX322" i="45"/>
  <c r="CX98" i="45"/>
  <c r="CX414" i="45"/>
  <c r="CX435" i="45"/>
  <c r="CX387" i="45"/>
  <c r="CX163" i="45"/>
  <c r="CX450" i="45"/>
  <c r="CX306" i="45"/>
  <c r="CX34" i="45"/>
  <c r="CX451" i="45"/>
  <c r="CX339" i="45"/>
  <c r="CX307" i="45"/>
  <c r="CX195" i="45"/>
  <c r="CX35" i="45"/>
  <c r="CX418" i="45"/>
  <c r="CX274" i="45"/>
  <c r="CX162" i="45"/>
  <c r="CX114" i="45"/>
  <c r="CX191" i="45"/>
  <c r="CX363" i="45"/>
  <c r="CX43" i="45"/>
  <c r="CX317" i="45"/>
  <c r="CX252" i="45"/>
  <c r="CX188" i="45"/>
  <c r="CX427" i="45"/>
  <c r="CX123" i="45"/>
  <c r="CX107" i="45"/>
  <c r="CX410" i="45"/>
  <c r="CX362" i="45"/>
  <c r="CX218" i="45"/>
  <c r="CX202" i="45"/>
  <c r="CX186" i="45"/>
  <c r="CX90" i="45"/>
  <c r="CX74" i="45"/>
  <c r="CX281" i="45"/>
  <c r="CX280" i="45"/>
  <c r="CX137" i="45"/>
  <c r="CX235" i="45"/>
  <c r="CX458" i="45"/>
  <c r="CX278" i="45"/>
  <c r="CX234" i="45"/>
  <c r="CX150" i="45"/>
  <c r="CX60" i="45"/>
  <c r="CX310" i="45"/>
  <c r="CX52" i="45"/>
  <c r="CX243" i="45"/>
  <c r="CX246" i="45"/>
  <c r="CX232" i="45"/>
  <c r="CX290" i="45"/>
  <c r="CX242" i="45"/>
  <c r="CX146" i="45"/>
  <c r="CX58" i="45"/>
  <c r="CX42" i="45"/>
  <c r="CX466" i="45"/>
  <c r="CX106" i="45"/>
  <c r="CX88" i="45"/>
  <c r="CX87" i="45"/>
  <c r="CX316" i="45"/>
  <c r="CX299" i="45"/>
  <c r="CX442" i="45"/>
  <c r="CX378" i="45"/>
  <c r="CX346" i="45"/>
  <c r="CX330" i="45"/>
  <c r="CX282" i="45"/>
  <c r="CX266" i="45"/>
  <c r="CX250" i="45"/>
  <c r="CX154" i="45"/>
  <c r="CX138" i="45"/>
  <c r="CX409" i="45"/>
  <c r="CX298" i="45"/>
  <c r="CX374" i="45"/>
  <c r="CX262" i="45"/>
  <c r="CX102" i="45"/>
  <c r="CX426" i="45"/>
  <c r="CX196" i="45"/>
  <c r="CX59" i="45"/>
  <c r="CX467" i="45"/>
  <c r="CX354" i="45"/>
  <c r="CX130" i="45"/>
  <c r="CX50" i="45"/>
  <c r="CX226" i="45"/>
  <c r="M6" i="44"/>
  <c r="M7" i="44"/>
  <c r="M8" i="44"/>
  <c r="M9" i="44"/>
  <c r="M10" i="44"/>
  <c r="M11" i="44"/>
  <c r="M12" i="44"/>
  <c r="M13" i="44"/>
  <c r="M14" i="44"/>
  <c r="M15" i="44"/>
  <c r="M16" i="44"/>
  <c r="M17" i="44"/>
  <c r="M18" i="44"/>
  <c r="M19" i="44"/>
  <c r="M20" i="44"/>
  <c r="M21" i="44"/>
  <c r="M22" i="44"/>
  <c r="M23" i="44"/>
  <c r="M24" i="44"/>
  <c r="M25" i="44"/>
  <c r="M26" i="44"/>
  <c r="M27" i="44"/>
  <c r="M28" i="44"/>
  <c r="M29" i="44"/>
  <c r="M30" i="44"/>
  <c r="M31" i="44"/>
  <c r="M32" i="44"/>
  <c r="M33" i="44"/>
  <c r="M34" i="44"/>
  <c r="M35" i="44"/>
  <c r="M36" i="44"/>
  <c r="M37" i="44"/>
  <c r="M38" i="44"/>
  <c r="M39" i="44"/>
  <c r="M40" i="44"/>
  <c r="M41" i="44"/>
  <c r="M42" i="44"/>
  <c r="M43" i="44"/>
  <c r="M44" i="44"/>
  <c r="M45" i="44"/>
  <c r="M46" i="44"/>
  <c r="M47" i="44"/>
  <c r="M48" i="44"/>
  <c r="M49" i="44"/>
  <c r="M50" i="44"/>
  <c r="M51" i="44"/>
  <c r="M52" i="44"/>
  <c r="M53" i="44"/>
  <c r="M54" i="44"/>
  <c r="M55" i="44"/>
  <c r="M56" i="44"/>
  <c r="M57" i="44"/>
  <c r="M58" i="44"/>
  <c r="M59" i="44"/>
  <c r="M60" i="44"/>
  <c r="M61" i="44"/>
  <c r="M62" i="44"/>
  <c r="M63" i="44"/>
  <c r="M64" i="44"/>
  <c r="M65" i="44"/>
  <c r="M66" i="44"/>
  <c r="M67" i="44"/>
  <c r="M68" i="44"/>
  <c r="M69" i="44"/>
  <c r="M70" i="44"/>
  <c r="M71" i="44"/>
  <c r="M72" i="44"/>
  <c r="M73" i="44"/>
  <c r="M74" i="44"/>
  <c r="M75" i="44"/>
  <c r="M76" i="44"/>
  <c r="M77" i="44"/>
  <c r="M78" i="44"/>
  <c r="M79" i="44"/>
  <c r="M80" i="44"/>
  <c r="M81" i="44"/>
  <c r="M82" i="44"/>
  <c r="M83" i="44"/>
  <c r="M84" i="44"/>
  <c r="M85" i="44"/>
  <c r="M86" i="44"/>
  <c r="M87" i="44"/>
  <c r="M88" i="44"/>
  <c r="M89" i="44"/>
  <c r="M90" i="44"/>
  <c r="M91" i="44"/>
  <c r="M92" i="44"/>
  <c r="M93" i="44"/>
  <c r="M94" i="44"/>
  <c r="M95" i="44"/>
  <c r="M96" i="44"/>
  <c r="M97" i="44"/>
  <c r="M98" i="44"/>
  <c r="M99" i="44"/>
  <c r="M100" i="44"/>
  <c r="M101" i="44"/>
  <c r="M102" i="44"/>
  <c r="M103" i="44"/>
  <c r="M104" i="44"/>
  <c r="M105" i="44"/>
  <c r="M106" i="44"/>
  <c r="M107" i="44"/>
  <c r="M108" i="44"/>
  <c r="M109" i="44"/>
  <c r="M110" i="44"/>
  <c r="M111" i="44"/>
  <c r="M112" i="44"/>
  <c r="M113" i="44"/>
  <c r="M114" i="44"/>
  <c r="M115" i="44"/>
  <c r="M116" i="44"/>
  <c r="M117" i="44"/>
  <c r="M118" i="44"/>
  <c r="M119" i="44"/>
  <c r="M120" i="44"/>
  <c r="M121" i="44"/>
  <c r="M122" i="44"/>
  <c r="M123" i="44"/>
  <c r="M124" i="44"/>
  <c r="M125" i="44"/>
  <c r="M126" i="44"/>
  <c r="M127" i="44"/>
  <c r="M128" i="44"/>
  <c r="M129" i="44"/>
  <c r="M130" i="44"/>
  <c r="M131" i="44"/>
  <c r="M132" i="44"/>
  <c r="M133" i="44"/>
  <c r="M134" i="44"/>
  <c r="M135" i="44"/>
  <c r="M136" i="44"/>
  <c r="M137" i="44"/>
  <c r="M138" i="44"/>
  <c r="M139" i="44"/>
  <c r="M140" i="44"/>
  <c r="M141" i="44"/>
  <c r="M142" i="44"/>
  <c r="M143" i="44"/>
  <c r="M144" i="44"/>
  <c r="M145" i="44"/>
  <c r="M146" i="44"/>
  <c r="M147" i="44"/>
  <c r="M148" i="44"/>
  <c r="M149" i="44"/>
  <c r="M150" i="44"/>
  <c r="M151" i="44"/>
  <c r="M152" i="44"/>
  <c r="M153" i="44"/>
  <c r="M154" i="44"/>
  <c r="M155" i="44"/>
  <c r="M156" i="44"/>
  <c r="M157" i="44"/>
  <c r="M158" i="44"/>
  <c r="M159" i="44"/>
  <c r="M160" i="44"/>
  <c r="M161" i="44"/>
  <c r="M162" i="44"/>
  <c r="M163" i="44"/>
  <c r="M164" i="44"/>
  <c r="M165" i="44"/>
  <c r="M166" i="44"/>
  <c r="M167" i="44"/>
  <c r="M168" i="44"/>
  <c r="M169" i="44"/>
  <c r="M170" i="44"/>
  <c r="M171" i="44"/>
  <c r="M172" i="44"/>
  <c r="M173" i="44"/>
  <c r="M174" i="44"/>
  <c r="M175" i="44"/>
  <c r="M176" i="44"/>
  <c r="M177" i="44"/>
  <c r="M178" i="44"/>
  <c r="M179" i="44"/>
  <c r="M180" i="44"/>
  <c r="M181" i="44"/>
  <c r="M182" i="44"/>
  <c r="M183" i="44"/>
  <c r="M184" i="44"/>
  <c r="M185" i="44"/>
  <c r="M186" i="44"/>
  <c r="M187" i="44"/>
  <c r="M188" i="44"/>
  <c r="M189" i="44"/>
  <c r="M190" i="44"/>
  <c r="M191" i="44"/>
  <c r="M192" i="44"/>
  <c r="M193" i="44"/>
  <c r="M194" i="44"/>
  <c r="M195" i="44"/>
  <c r="M196" i="44"/>
  <c r="M197" i="44"/>
  <c r="M198" i="44"/>
  <c r="M199" i="44"/>
  <c r="M200" i="44"/>
  <c r="M201" i="44"/>
  <c r="M202" i="44"/>
  <c r="M203" i="44"/>
  <c r="M204" i="44"/>
  <c r="M205" i="44"/>
  <c r="M206" i="44"/>
  <c r="M207" i="44"/>
  <c r="M208" i="44"/>
  <c r="M209" i="44"/>
  <c r="M210" i="44"/>
  <c r="M211" i="44"/>
  <c r="M212" i="44"/>
  <c r="M213" i="44"/>
  <c r="M214" i="44"/>
  <c r="M215" i="44"/>
  <c r="M216" i="44"/>
  <c r="M217" i="44"/>
  <c r="M218" i="44"/>
  <c r="M219" i="44"/>
  <c r="M220" i="44"/>
  <c r="M221" i="44"/>
  <c r="M222" i="44"/>
  <c r="M223" i="44"/>
  <c r="M224" i="44"/>
  <c r="M225" i="44"/>
  <c r="M226" i="44"/>
  <c r="M227" i="44"/>
  <c r="M228" i="44"/>
  <c r="M229" i="44"/>
  <c r="M230" i="44"/>
  <c r="M231" i="44"/>
  <c r="M232" i="44"/>
  <c r="M233" i="44"/>
  <c r="M234" i="44"/>
  <c r="M235" i="44"/>
  <c r="M236" i="44"/>
  <c r="M237" i="44"/>
  <c r="M238" i="44"/>
  <c r="M239" i="44"/>
  <c r="M240" i="44"/>
  <c r="M241" i="44"/>
  <c r="M242" i="44"/>
  <c r="M243" i="44"/>
  <c r="M244" i="44"/>
  <c r="M245" i="44"/>
  <c r="M246" i="44"/>
  <c r="M247" i="44"/>
  <c r="M248" i="44"/>
  <c r="M249" i="44"/>
  <c r="M250" i="44"/>
  <c r="M251" i="44"/>
  <c r="M252" i="44"/>
  <c r="M253" i="44"/>
  <c r="M254" i="44"/>
  <c r="M255" i="44"/>
  <c r="M256" i="44"/>
  <c r="M257" i="44"/>
  <c r="M258" i="44"/>
  <c r="M259" i="44"/>
  <c r="M260" i="44"/>
  <c r="M261" i="44"/>
  <c r="M262" i="44"/>
  <c r="M263" i="44"/>
  <c r="M264" i="44"/>
  <c r="M265" i="44"/>
  <c r="M266" i="44"/>
  <c r="M267" i="44"/>
  <c r="M268" i="44"/>
  <c r="M269" i="44"/>
  <c r="M270" i="44"/>
  <c r="M271" i="44"/>
  <c r="M272" i="44"/>
  <c r="M273" i="44"/>
  <c r="M274" i="44"/>
  <c r="M275" i="44"/>
  <c r="M276" i="44"/>
  <c r="M277" i="44"/>
  <c r="M278" i="44"/>
  <c r="M279" i="44"/>
  <c r="M280" i="44"/>
  <c r="M281" i="44"/>
  <c r="M282" i="44"/>
  <c r="M283" i="44"/>
  <c r="M284" i="44"/>
  <c r="M285" i="44"/>
  <c r="M286" i="44"/>
  <c r="M287" i="44"/>
  <c r="M288" i="44"/>
  <c r="M289" i="44"/>
  <c r="M290" i="44"/>
  <c r="M291" i="44"/>
  <c r="M292" i="44"/>
  <c r="M293" i="44"/>
  <c r="M294" i="44"/>
  <c r="M295" i="44"/>
  <c r="M296" i="44"/>
  <c r="M297" i="44"/>
  <c r="M298" i="44"/>
  <c r="M299" i="44"/>
  <c r="M300" i="44"/>
  <c r="M301" i="44"/>
  <c r="M302" i="44"/>
  <c r="M303" i="44"/>
  <c r="M304" i="44"/>
  <c r="M305" i="44"/>
  <c r="M306" i="44"/>
  <c r="M307" i="44"/>
  <c r="M308" i="44"/>
  <c r="M309" i="44"/>
  <c r="M310" i="44"/>
  <c r="M311" i="44"/>
  <c r="M312" i="44"/>
  <c r="M313" i="44"/>
  <c r="M314" i="44"/>
  <c r="M315" i="44"/>
  <c r="M316" i="44"/>
  <c r="M317" i="44"/>
  <c r="M318" i="44"/>
  <c r="M319" i="44"/>
  <c r="M320" i="44"/>
  <c r="M321" i="44"/>
  <c r="M322" i="44"/>
  <c r="M323" i="44"/>
  <c r="M324" i="44"/>
  <c r="M325" i="44"/>
  <c r="M326" i="44"/>
  <c r="M327" i="44"/>
  <c r="M328" i="44"/>
  <c r="M329" i="44"/>
  <c r="M330" i="44"/>
  <c r="M331" i="44"/>
  <c r="M332" i="44"/>
  <c r="M333" i="44"/>
  <c r="M334" i="44"/>
  <c r="M335" i="44"/>
  <c r="M336" i="44"/>
  <c r="M337" i="44"/>
  <c r="M338" i="44"/>
  <c r="M339" i="44"/>
  <c r="M340" i="44"/>
  <c r="M341" i="44"/>
  <c r="M342" i="44"/>
  <c r="M343" i="44"/>
  <c r="M344" i="44"/>
  <c r="M345" i="44"/>
  <c r="M346" i="44"/>
  <c r="M347" i="44"/>
  <c r="M348" i="44"/>
  <c r="M349" i="44"/>
  <c r="M350" i="44"/>
  <c r="M351" i="44"/>
  <c r="M352" i="44"/>
  <c r="M353" i="44"/>
  <c r="M354" i="44"/>
  <c r="M355" i="44"/>
  <c r="M356" i="44"/>
  <c r="M357" i="44"/>
  <c r="M358" i="44"/>
  <c r="M359" i="44"/>
  <c r="M360" i="44"/>
  <c r="M361" i="44"/>
  <c r="M362" i="44"/>
  <c r="M363" i="44"/>
  <c r="M364" i="44"/>
  <c r="M365" i="44"/>
  <c r="M366" i="44"/>
  <c r="M367" i="44"/>
  <c r="M368" i="44"/>
  <c r="M369" i="44"/>
  <c r="M370" i="44"/>
  <c r="M371" i="44"/>
  <c r="M372" i="44"/>
  <c r="M373" i="44"/>
  <c r="M374" i="44"/>
  <c r="M375" i="44"/>
  <c r="M376" i="44"/>
  <c r="M377" i="44"/>
  <c r="M378" i="44"/>
  <c r="M379" i="44"/>
  <c r="M380" i="44"/>
  <c r="M381" i="44"/>
  <c r="M382" i="44"/>
  <c r="M383" i="44"/>
  <c r="M384" i="44"/>
  <c r="M385" i="44"/>
  <c r="M386" i="44"/>
  <c r="M387" i="44"/>
  <c r="M388" i="44"/>
  <c r="M389" i="44"/>
  <c r="M390" i="44"/>
  <c r="M391" i="44"/>
  <c r="M392" i="44"/>
  <c r="M393" i="44"/>
  <c r="M394" i="44"/>
  <c r="M395" i="44"/>
  <c r="M396" i="44"/>
  <c r="M397" i="44"/>
  <c r="M398" i="44"/>
  <c r="M399" i="44"/>
  <c r="M400" i="44"/>
  <c r="M401" i="44"/>
  <c r="M402" i="44"/>
  <c r="M403" i="44"/>
  <c r="M404" i="44"/>
  <c r="M405" i="44"/>
  <c r="M406" i="44"/>
  <c r="M407" i="44"/>
  <c r="M408" i="44"/>
  <c r="M409" i="44"/>
  <c r="M410" i="44"/>
  <c r="M411" i="44"/>
  <c r="M412" i="44"/>
  <c r="M413" i="44"/>
  <c r="M414" i="44"/>
  <c r="M415" i="44"/>
  <c r="M416" i="44"/>
  <c r="M417" i="44"/>
  <c r="M418" i="44"/>
  <c r="M419" i="44"/>
  <c r="M420" i="44"/>
  <c r="M421" i="44"/>
  <c r="M422" i="44"/>
  <c r="M423" i="44"/>
  <c r="M424" i="44"/>
  <c r="M425" i="44"/>
  <c r="M426" i="44"/>
  <c r="M427" i="44"/>
  <c r="M428" i="44"/>
  <c r="M429" i="44"/>
  <c r="M430" i="44"/>
  <c r="M431" i="44"/>
  <c r="M432" i="44"/>
  <c r="M433" i="44"/>
  <c r="M434" i="44"/>
  <c r="M435" i="44"/>
  <c r="M436" i="44"/>
  <c r="M437" i="44"/>
  <c r="M438" i="44"/>
  <c r="M439" i="44"/>
  <c r="M440" i="44"/>
  <c r="M441" i="44"/>
  <c r="M442" i="44"/>
  <c r="M443" i="44"/>
  <c r="M444" i="44"/>
  <c r="M445" i="44"/>
  <c r="M446" i="44"/>
  <c r="M447" i="44"/>
  <c r="M448" i="44"/>
  <c r="M449" i="44"/>
  <c r="M450" i="44"/>
  <c r="M451" i="44"/>
  <c r="M452" i="44"/>
  <c r="M453" i="44"/>
  <c r="M454" i="44"/>
  <c r="M455" i="44"/>
  <c r="M456" i="44"/>
  <c r="M457" i="44"/>
  <c r="M458" i="44"/>
  <c r="M459" i="44"/>
  <c r="M460" i="44"/>
  <c r="M461" i="44"/>
  <c r="M462" i="44"/>
  <c r="M463" i="44"/>
  <c r="M464" i="44"/>
  <c r="M465" i="44"/>
  <c r="M466" i="44"/>
  <c r="M467" i="44"/>
  <c r="M468" i="44"/>
  <c r="M469" i="44"/>
  <c r="M470" i="44"/>
  <c r="M471" i="44"/>
  <c r="M472" i="44"/>
  <c r="M473" i="44"/>
  <c r="M474" i="44"/>
  <c r="M475" i="44"/>
  <c r="M476" i="44"/>
  <c r="M477" i="44"/>
  <c r="M478" i="44"/>
  <c r="M479" i="44"/>
  <c r="M480" i="44"/>
  <c r="M481" i="44"/>
  <c r="M482" i="44"/>
  <c r="M483" i="44"/>
  <c r="M484" i="44"/>
  <c r="M485" i="44"/>
  <c r="M486" i="44"/>
  <c r="M487" i="44"/>
  <c r="M488" i="44"/>
  <c r="M489" i="44"/>
  <c r="M490" i="44"/>
  <c r="M491" i="44"/>
  <c r="M492" i="44"/>
  <c r="M493" i="44"/>
  <c r="M494" i="44"/>
  <c r="M495" i="44"/>
  <c r="M496" i="44"/>
  <c r="M497" i="44"/>
  <c r="M498" i="44"/>
  <c r="M499" i="44"/>
  <c r="M500" i="44"/>
  <c r="M501" i="44"/>
  <c r="M502" i="44"/>
  <c r="M503" i="44"/>
  <c r="M504" i="44"/>
  <c r="M505" i="44"/>
  <c r="M506" i="44"/>
  <c r="M507" i="44"/>
  <c r="M508" i="44"/>
  <c r="M509" i="44"/>
  <c r="M510" i="44"/>
  <c r="M511" i="44"/>
  <c r="M512" i="44"/>
  <c r="M513" i="44"/>
  <c r="M514" i="44"/>
  <c r="M515" i="44"/>
  <c r="M516" i="44"/>
  <c r="M517" i="44"/>
  <c r="M518" i="44"/>
  <c r="M519" i="44"/>
  <c r="M520" i="44"/>
  <c r="M521" i="44"/>
  <c r="M522" i="44"/>
  <c r="M523" i="44"/>
  <c r="M524" i="44"/>
  <c r="M525" i="44"/>
  <c r="M526" i="44"/>
  <c r="M527" i="44"/>
  <c r="M528" i="44"/>
  <c r="M529" i="44"/>
  <c r="M530" i="44"/>
  <c r="M531" i="44"/>
  <c r="M532" i="44"/>
  <c r="M533" i="44"/>
  <c r="M534" i="44"/>
  <c r="M535" i="44"/>
  <c r="M536" i="44"/>
  <c r="M537" i="44"/>
  <c r="M538" i="44"/>
  <c r="M539" i="44"/>
  <c r="M540" i="44"/>
  <c r="M541" i="44"/>
  <c r="M542" i="44"/>
  <c r="M543" i="44"/>
  <c r="M544" i="44"/>
  <c r="M545" i="44"/>
  <c r="M546" i="44"/>
  <c r="M547" i="44"/>
  <c r="M548" i="44"/>
  <c r="M549" i="44"/>
  <c r="M550" i="44"/>
  <c r="M551" i="44"/>
  <c r="M552" i="44"/>
  <c r="M553" i="44"/>
  <c r="M554" i="44"/>
  <c r="M555" i="44"/>
  <c r="M556" i="44"/>
  <c r="M557" i="44"/>
  <c r="M558" i="44"/>
  <c r="M559" i="44"/>
  <c r="M560" i="44"/>
  <c r="M561" i="44"/>
  <c r="M562" i="44"/>
  <c r="M563" i="44"/>
  <c r="M564" i="44"/>
  <c r="M565" i="44"/>
  <c r="M566" i="44"/>
  <c r="M567" i="44"/>
  <c r="M568" i="44"/>
  <c r="M569" i="44"/>
  <c r="M570" i="44"/>
  <c r="M571" i="44"/>
  <c r="M572" i="44"/>
  <c r="M573" i="44"/>
  <c r="M574" i="44"/>
  <c r="M575" i="44"/>
  <c r="M576" i="44"/>
  <c r="M577" i="44"/>
  <c r="M578" i="44"/>
  <c r="M579" i="44"/>
  <c r="M580" i="44"/>
  <c r="M581" i="44"/>
  <c r="M582" i="44"/>
  <c r="M583" i="44"/>
  <c r="M584" i="44"/>
  <c r="M585" i="44"/>
  <c r="M586" i="44"/>
  <c r="M587" i="44"/>
  <c r="M588" i="44"/>
  <c r="M589" i="44"/>
  <c r="M590" i="44"/>
  <c r="M591" i="44"/>
  <c r="M592" i="44"/>
  <c r="M593" i="44"/>
  <c r="M594" i="44"/>
  <c r="M595" i="44"/>
  <c r="M596" i="44"/>
  <c r="M597" i="44"/>
  <c r="M598" i="44"/>
  <c r="M599" i="44"/>
  <c r="M600" i="44"/>
  <c r="M601" i="44"/>
  <c r="M602" i="44"/>
  <c r="M603" i="44"/>
  <c r="M604" i="44"/>
  <c r="M605" i="44"/>
  <c r="M606" i="44"/>
  <c r="M607" i="44"/>
  <c r="M608" i="44"/>
  <c r="M609" i="44"/>
  <c r="M610" i="44"/>
  <c r="M611" i="44"/>
  <c r="M612" i="44"/>
  <c r="M613" i="44"/>
  <c r="M614" i="44"/>
  <c r="M615" i="44"/>
  <c r="M616" i="44"/>
  <c r="M617" i="44"/>
  <c r="M618" i="44"/>
  <c r="M619" i="44"/>
  <c r="M620" i="44"/>
  <c r="M621" i="44"/>
  <c r="M622" i="44"/>
  <c r="M623" i="44"/>
  <c r="M624" i="44"/>
  <c r="M625" i="44"/>
  <c r="M626" i="44"/>
  <c r="M627" i="44"/>
  <c r="M628" i="44"/>
  <c r="M629" i="44"/>
  <c r="M630" i="44"/>
  <c r="M631" i="44"/>
  <c r="M632" i="44"/>
  <c r="M633" i="44"/>
  <c r="M634" i="44"/>
  <c r="M635" i="44"/>
  <c r="M636" i="44"/>
  <c r="M637" i="44"/>
  <c r="M638" i="44"/>
  <c r="M639" i="44"/>
  <c r="M640" i="44"/>
  <c r="M641" i="44"/>
  <c r="M642" i="44"/>
  <c r="M643" i="44"/>
  <c r="M644" i="44"/>
  <c r="M645" i="44"/>
  <c r="M646" i="44"/>
  <c r="M647" i="44"/>
  <c r="M648" i="44"/>
  <c r="M649" i="44"/>
  <c r="M650" i="44"/>
  <c r="M651" i="44"/>
  <c r="M652" i="44"/>
  <c r="M653" i="44"/>
  <c r="M654" i="44"/>
  <c r="M655" i="44"/>
  <c r="M656" i="44"/>
  <c r="M657" i="44"/>
  <c r="M658" i="44"/>
  <c r="M659" i="44"/>
  <c r="M660" i="44"/>
  <c r="M661" i="44"/>
  <c r="M662" i="44"/>
  <c r="M663" i="44"/>
  <c r="M664" i="44"/>
  <c r="M665" i="44"/>
  <c r="M666" i="44"/>
  <c r="M667" i="44"/>
  <c r="M668" i="44"/>
  <c r="M669" i="44"/>
  <c r="M670" i="44"/>
  <c r="M671" i="44"/>
  <c r="M672" i="44"/>
  <c r="M673" i="44"/>
  <c r="M674" i="44"/>
  <c r="M675" i="44"/>
  <c r="M676" i="44"/>
  <c r="M677" i="44"/>
  <c r="M678" i="44"/>
  <c r="M679" i="44"/>
  <c r="M680" i="44"/>
  <c r="M681" i="44"/>
  <c r="M682" i="44"/>
  <c r="M683" i="44"/>
  <c r="M684" i="44"/>
  <c r="M685" i="44"/>
  <c r="M686" i="44"/>
  <c r="M687" i="44"/>
  <c r="M688" i="44"/>
  <c r="M689" i="44"/>
  <c r="M690" i="44"/>
  <c r="M691" i="44"/>
  <c r="M692" i="44"/>
  <c r="M693" i="44"/>
  <c r="M694" i="44"/>
  <c r="M695" i="44"/>
  <c r="M696" i="44"/>
  <c r="M697" i="44"/>
  <c r="M698" i="44"/>
  <c r="M699" i="44"/>
  <c r="M700" i="44"/>
  <c r="M701" i="44"/>
  <c r="M702" i="44"/>
  <c r="M703" i="44"/>
  <c r="M704" i="44"/>
  <c r="M705" i="44"/>
  <c r="M706" i="44"/>
  <c r="M707" i="44"/>
  <c r="M708" i="44"/>
  <c r="M709" i="44"/>
  <c r="M710" i="44"/>
  <c r="M711" i="44"/>
  <c r="M712" i="44"/>
  <c r="M713" i="44"/>
  <c r="M714" i="44"/>
  <c r="M715" i="44"/>
  <c r="M716" i="44"/>
  <c r="M717" i="44"/>
  <c r="M718" i="44"/>
  <c r="M719" i="44"/>
  <c r="M720" i="44"/>
  <c r="M721" i="44"/>
  <c r="M722" i="44"/>
  <c r="M723" i="44"/>
  <c r="M724" i="44"/>
  <c r="M725" i="44"/>
  <c r="M726" i="44"/>
  <c r="M727" i="44"/>
  <c r="M728" i="44"/>
  <c r="M729" i="44"/>
  <c r="M730" i="44"/>
  <c r="M731" i="44"/>
  <c r="M732" i="44"/>
  <c r="M733" i="44"/>
  <c r="M734" i="44"/>
  <c r="M735" i="44"/>
  <c r="M736" i="44"/>
  <c r="M737" i="44"/>
  <c r="M738" i="44"/>
  <c r="M739" i="44"/>
  <c r="M740" i="44"/>
  <c r="M741" i="44"/>
  <c r="M742" i="44"/>
  <c r="M743" i="44"/>
  <c r="M744" i="44"/>
  <c r="M745" i="44"/>
  <c r="M746" i="44"/>
  <c r="M747" i="44"/>
  <c r="M748" i="44"/>
  <c r="M749" i="44"/>
  <c r="M750" i="44"/>
  <c r="M751" i="44"/>
  <c r="M752" i="44"/>
  <c r="M753" i="44"/>
  <c r="M754" i="44"/>
  <c r="M755" i="44"/>
  <c r="M756" i="44"/>
  <c r="M757" i="44"/>
  <c r="M758" i="44"/>
  <c r="M759" i="44"/>
  <c r="M760" i="44"/>
  <c r="M761" i="44"/>
  <c r="M762" i="44"/>
  <c r="M763" i="44"/>
  <c r="M764" i="44"/>
  <c r="M765" i="44"/>
  <c r="M766" i="44"/>
  <c r="M767" i="44"/>
  <c r="M768" i="44"/>
  <c r="M769" i="44"/>
  <c r="M770" i="44"/>
  <c r="M771" i="44"/>
  <c r="M772" i="44"/>
  <c r="M773" i="44"/>
  <c r="M774" i="44"/>
  <c r="M775" i="44"/>
  <c r="M776" i="44"/>
  <c r="M777" i="44"/>
  <c r="M778" i="44"/>
  <c r="M779" i="44"/>
  <c r="M780" i="44"/>
  <c r="M781" i="44"/>
  <c r="M782" i="44"/>
  <c r="M783" i="44"/>
  <c r="M784" i="44"/>
  <c r="M785" i="44"/>
  <c r="M786" i="44"/>
  <c r="M787" i="44"/>
  <c r="M788" i="44"/>
  <c r="M789" i="44"/>
  <c r="M790" i="44"/>
  <c r="M791" i="44"/>
  <c r="M792" i="44"/>
  <c r="M793" i="44"/>
  <c r="M794" i="44"/>
  <c r="M795" i="44"/>
  <c r="M796" i="44"/>
  <c r="M797" i="44"/>
  <c r="M798" i="44"/>
  <c r="M799" i="44"/>
  <c r="M800" i="44"/>
  <c r="M801" i="44"/>
  <c r="M802" i="44"/>
  <c r="M803" i="44"/>
  <c r="M804" i="44"/>
  <c r="M805" i="44"/>
  <c r="M806" i="44"/>
  <c r="M807" i="44"/>
  <c r="M808" i="44"/>
  <c r="M809" i="44"/>
  <c r="M810" i="44"/>
  <c r="M811" i="44"/>
  <c r="M812" i="44"/>
  <c r="M813" i="44"/>
  <c r="M814" i="44"/>
  <c r="M815" i="44"/>
  <c r="M816" i="44"/>
  <c r="M817" i="44"/>
  <c r="M818" i="44"/>
  <c r="M819" i="44"/>
  <c r="M820" i="44"/>
  <c r="M821" i="44"/>
  <c r="M822" i="44"/>
  <c r="M823" i="44"/>
  <c r="M824" i="44"/>
  <c r="M825" i="44"/>
  <c r="M826" i="44"/>
  <c r="M827" i="44"/>
  <c r="M828" i="44"/>
  <c r="M829" i="44"/>
  <c r="M830" i="44"/>
  <c r="M831" i="44"/>
  <c r="M832" i="44"/>
  <c r="M833" i="44"/>
  <c r="M834" i="44"/>
  <c r="M835" i="44"/>
  <c r="M836" i="44"/>
  <c r="M837" i="44"/>
  <c r="M838" i="44"/>
  <c r="M839" i="44"/>
  <c r="M840" i="44"/>
  <c r="M841" i="44"/>
  <c r="M842" i="44"/>
  <c r="M843" i="44"/>
  <c r="M844" i="44"/>
  <c r="M845" i="44"/>
  <c r="M846" i="44"/>
  <c r="M847" i="44"/>
  <c r="M848" i="44"/>
  <c r="M849" i="44"/>
  <c r="M850" i="44"/>
  <c r="M851" i="44"/>
  <c r="M852" i="44"/>
  <c r="M853" i="44"/>
  <c r="M854" i="44"/>
  <c r="M855" i="44"/>
  <c r="M856" i="44"/>
  <c r="M857" i="44"/>
  <c r="M858" i="44"/>
  <c r="M859" i="44"/>
  <c r="M860" i="44"/>
  <c r="M861" i="44"/>
  <c r="M862" i="44"/>
  <c r="M863" i="44"/>
  <c r="M864" i="44"/>
  <c r="M865" i="44"/>
  <c r="M866" i="44"/>
  <c r="M867" i="44"/>
  <c r="M868" i="44"/>
  <c r="M869" i="44"/>
  <c r="M870" i="44"/>
  <c r="M871" i="44"/>
  <c r="M872" i="44"/>
  <c r="M873" i="44"/>
  <c r="M874" i="44"/>
  <c r="M875" i="44"/>
  <c r="M876" i="44"/>
  <c r="M877" i="44"/>
  <c r="M878" i="44"/>
  <c r="M879" i="44"/>
  <c r="M880" i="44"/>
  <c r="M881" i="44"/>
  <c r="M882" i="44"/>
  <c r="M883" i="44"/>
  <c r="M884" i="44"/>
  <c r="M885" i="44"/>
  <c r="M886" i="44"/>
  <c r="M887" i="44"/>
  <c r="M888" i="44"/>
  <c r="M889" i="44"/>
  <c r="M890" i="44"/>
  <c r="M891" i="44"/>
  <c r="M892" i="44"/>
  <c r="M893" i="44"/>
  <c r="M894" i="44"/>
  <c r="M895" i="44"/>
  <c r="M896" i="44"/>
  <c r="M897" i="44"/>
  <c r="M898" i="44"/>
  <c r="M899" i="44"/>
  <c r="M900" i="44"/>
  <c r="M901" i="44"/>
  <c r="M902" i="44"/>
  <c r="M903" i="44"/>
  <c r="M904" i="44"/>
  <c r="M905" i="44"/>
  <c r="M906" i="44"/>
  <c r="M907" i="44"/>
  <c r="M908" i="44"/>
  <c r="M909" i="44"/>
  <c r="M910" i="44"/>
  <c r="M911" i="44"/>
  <c r="M912" i="44"/>
  <c r="M913" i="44"/>
  <c r="M914" i="44"/>
  <c r="M915" i="44"/>
  <c r="M916" i="44"/>
  <c r="M917" i="44"/>
  <c r="M918" i="44"/>
  <c r="M919" i="44"/>
  <c r="M920" i="44"/>
  <c r="M921" i="44"/>
  <c r="M922" i="44"/>
  <c r="M923" i="44"/>
  <c r="M924" i="44"/>
  <c r="M925" i="44"/>
  <c r="M926" i="44"/>
  <c r="M927" i="44"/>
  <c r="M928" i="44"/>
  <c r="M929" i="44"/>
  <c r="M930" i="44"/>
  <c r="M931" i="44"/>
  <c r="M932" i="44"/>
  <c r="M933" i="44"/>
  <c r="M934" i="44"/>
  <c r="M935" i="44"/>
  <c r="M936" i="44"/>
  <c r="M937" i="44"/>
  <c r="M938" i="44"/>
  <c r="M939" i="44"/>
  <c r="M940" i="44"/>
  <c r="M941" i="44"/>
  <c r="M942" i="44"/>
  <c r="M943" i="44"/>
  <c r="M944" i="44"/>
  <c r="M945" i="44"/>
  <c r="M946" i="44"/>
  <c r="M947" i="44"/>
  <c r="M948" i="44"/>
  <c r="M949" i="44"/>
  <c r="M950" i="44"/>
  <c r="M951" i="44"/>
  <c r="M952" i="44"/>
  <c r="M953" i="44"/>
  <c r="M954" i="44"/>
  <c r="M955" i="44"/>
  <c r="M956" i="44"/>
  <c r="M957" i="44"/>
  <c r="M958" i="44"/>
  <c r="M959" i="44"/>
  <c r="M960" i="44"/>
  <c r="M961" i="44"/>
  <c r="M962" i="44"/>
  <c r="M963" i="44"/>
  <c r="M964" i="44"/>
  <c r="M965" i="44"/>
  <c r="M966" i="44"/>
  <c r="M967" i="44"/>
  <c r="M968" i="44"/>
  <c r="M969" i="44"/>
  <c r="M970" i="44"/>
  <c r="M971" i="44"/>
  <c r="M972" i="44"/>
  <c r="M973" i="44"/>
  <c r="M974" i="44"/>
  <c r="M975" i="44"/>
  <c r="M976" i="44"/>
  <c r="M977" i="44"/>
  <c r="M978" i="44"/>
  <c r="M979" i="44"/>
  <c r="M980" i="44"/>
  <c r="M981" i="44"/>
  <c r="M982" i="44"/>
  <c r="M983" i="44"/>
  <c r="M984" i="44"/>
  <c r="M985" i="44"/>
  <c r="M986" i="44"/>
  <c r="M987" i="44"/>
  <c r="M988" i="44"/>
  <c r="M989" i="44"/>
  <c r="M990" i="44"/>
  <c r="M991" i="44"/>
  <c r="M992" i="44"/>
  <c r="M993" i="44"/>
  <c r="M994" i="44"/>
  <c r="M995" i="44"/>
  <c r="M996" i="44"/>
  <c r="M997" i="44"/>
  <c r="M998" i="44"/>
  <c r="M999" i="44"/>
  <c r="M1000" i="44"/>
  <c r="M1001" i="44"/>
  <c r="M1002" i="44"/>
  <c r="M1003" i="44"/>
  <c r="M1004" i="44"/>
  <c r="M1005" i="44"/>
  <c r="M1006" i="44"/>
  <c r="M1007" i="44"/>
  <c r="M1008" i="44"/>
  <c r="M1009" i="44"/>
  <c r="M1010" i="44"/>
  <c r="M1011" i="44"/>
  <c r="M1012" i="44"/>
  <c r="M1013" i="44"/>
  <c r="M1014" i="44"/>
  <c r="M1015" i="44"/>
  <c r="M1016" i="44"/>
  <c r="M1017" i="44"/>
  <c r="M1018" i="44"/>
  <c r="M1019" i="44"/>
  <c r="M1020" i="44"/>
  <c r="M1021" i="44"/>
  <c r="M1022" i="44"/>
  <c r="M1023" i="44"/>
  <c r="M1024" i="44"/>
  <c r="M1025" i="44"/>
  <c r="M1026" i="44"/>
  <c r="M1027" i="44"/>
  <c r="M1028" i="44"/>
  <c r="M1029" i="44"/>
  <c r="M1030" i="44"/>
  <c r="M1031" i="44"/>
  <c r="M1032" i="44"/>
  <c r="M1033" i="44"/>
  <c r="M1034" i="44"/>
  <c r="M1035" i="44"/>
  <c r="M1036" i="44"/>
  <c r="M1037" i="44"/>
  <c r="M1038" i="44"/>
  <c r="M1039" i="44"/>
  <c r="M1040" i="44"/>
  <c r="M1041" i="44"/>
  <c r="M1042" i="44"/>
  <c r="M1043" i="44"/>
  <c r="M1044" i="44"/>
  <c r="M1045" i="44"/>
  <c r="M1046" i="44"/>
  <c r="M1047" i="44"/>
  <c r="M1048" i="44"/>
  <c r="M1049" i="44"/>
  <c r="M1050" i="44"/>
  <c r="M1051" i="44"/>
  <c r="M1052" i="44"/>
  <c r="M1053" i="44"/>
  <c r="M1054" i="44"/>
  <c r="M1055" i="44"/>
  <c r="M1056" i="44"/>
  <c r="M1057" i="44"/>
  <c r="M1058" i="44"/>
  <c r="M1059" i="44"/>
  <c r="M1060" i="44"/>
  <c r="M1061" i="44"/>
  <c r="M1062" i="44"/>
  <c r="M1063" i="44"/>
  <c r="M1064" i="44"/>
  <c r="M1065" i="44"/>
  <c r="M1066" i="44"/>
  <c r="M1067" i="44"/>
  <c r="M1068" i="44"/>
  <c r="M1069" i="44"/>
  <c r="M1070" i="44"/>
  <c r="M1071" i="44"/>
  <c r="M1072" i="44"/>
  <c r="M1073" i="44"/>
  <c r="M1074" i="44"/>
  <c r="M1075" i="44"/>
  <c r="M1076" i="44"/>
  <c r="M1077" i="44"/>
  <c r="M1078" i="44"/>
  <c r="M1079" i="44"/>
  <c r="M1080" i="44"/>
  <c r="M1081" i="44"/>
  <c r="M1082" i="44"/>
  <c r="M1083" i="44"/>
  <c r="M1084" i="44"/>
  <c r="M1085" i="44"/>
  <c r="M1086" i="44"/>
  <c r="M1087" i="44"/>
  <c r="M1088" i="44"/>
  <c r="M1089" i="44"/>
  <c r="M1090" i="44"/>
  <c r="M1091" i="44"/>
  <c r="M1092" i="44"/>
  <c r="M1093" i="44"/>
  <c r="M1094" i="44"/>
  <c r="M1095" i="44"/>
  <c r="M1096" i="44"/>
  <c r="M1097" i="44"/>
  <c r="M1098" i="44"/>
  <c r="M1099" i="44"/>
  <c r="M1100" i="44"/>
  <c r="M1101" i="44"/>
  <c r="M1102" i="44"/>
  <c r="M1103" i="44"/>
  <c r="M1104" i="44"/>
  <c r="M1105" i="44"/>
  <c r="M1106" i="44"/>
  <c r="M1107" i="44"/>
  <c r="M1108" i="44"/>
  <c r="M1109" i="44"/>
  <c r="M1110" i="44"/>
  <c r="M1111" i="44"/>
  <c r="M1112" i="44"/>
  <c r="M1113" i="44"/>
  <c r="M1114" i="44"/>
  <c r="M1115" i="44"/>
  <c r="M1116" i="44"/>
  <c r="M1117" i="44"/>
  <c r="M1118" i="44"/>
  <c r="M1119" i="44"/>
  <c r="M1120" i="44"/>
  <c r="M1121" i="44"/>
  <c r="M1122" i="44"/>
  <c r="M1123" i="44"/>
  <c r="M1124" i="44"/>
  <c r="M1125" i="44"/>
  <c r="M1126" i="44"/>
  <c r="M1127" i="44"/>
  <c r="M1128" i="44"/>
  <c r="M1129" i="44"/>
  <c r="M1130" i="44"/>
  <c r="M1131" i="44"/>
  <c r="M1132" i="44"/>
  <c r="M1133" i="44"/>
  <c r="M1134" i="44"/>
  <c r="M1135" i="44"/>
  <c r="M1136" i="44"/>
  <c r="M1137" i="44"/>
  <c r="M1138" i="44"/>
  <c r="M1139" i="44"/>
  <c r="M1140" i="44"/>
  <c r="M1141" i="44"/>
  <c r="M1142" i="44"/>
  <c r="M1143" i="44"/>
  <c r="M1144" i="44"/>
  <c r="M1145" i="44"/>
  <c r="M1146" i="44"/>
  <c r="M1147" i="44"/>
  <c r="M1148" i="44"/>
  <c r="M1149" i="44"/>
  <c r="M1150" i="44"/>
  <c r="M1151" i="44"/>
  <c r="M1152" i="44"/>
  <c r="M1153" i="44"/>
  <c r="M1154" i="44"/>
  <c r="M1155" i="44"/>
  <c r="M1156" i="44"/>
  <c r="M1157" i="44"/>
  <c r="M1158" i="44"/>
  <c r="M1159" i="44"/>
  <c r="M1160" i="44"/>
  <c r="M1161" i="44"/>
  <c r="M1162" i="44"/>
  <c r="M1163" i="44"/>
  <c r="M1164" i="44"/>
  <c r="M1165" i="44"/>
  <c r="M1166" i="44"/>
  <c r="M1167" i="44"/>
  <c r="M1168" i="44"/>
  <c r="M1169" i="44"/>
  <c r="M1170" i="44"/>
  <c r="M1171" i="44"/>
  <c r="M1172" i="44"/>
  <c r="M1173" i="44"/>
  <c r="M1174" i="44"/>
  <c r="M1175" i="44"/>
  <c r="M1176" i="44"/>
  <c r="M1177" i="44"/>
  <c r="M1178" i="44"/>
  <c r="M1179" i="44"/>
  <c r="M1180" i="44"/>
  <c r="M1181" i="44"/>
  <c r="M1182" i="44"/>
  <c r="M1183" i="44"/>
  <c r="M1184" i="44"/>
  <c r="M1185" i="44"/>
  <c r="M1186" i="44"/>
  <c r="M1187" i="44"/>
  <c r="M1188" i="44"/>
  <c r="M1189" i="44"/>
  <c r="M1190" i="44"/>
  <c r="M1191" i="44"/>
  <c r="M1192" i="44"/>
  <c r="M1193" i="44"/>
  <c r="M1194" i="44"/>
  <c r="M1195" i="44"/>
  <c r="M1196" i="44"/>
  <c r="M1197" i="44"/>
  <c r="M1198" i="44"/>
  <c r="M1199" i="44"/>
  <c r="M1200" i="44"/>
  <c r="M1201" i="44"/>
  <c r="M1202" i="44"/>
  <c r="M1203" i="44"/>
  <c r="M1204" i="44"/>
  <c r="M1205" i="44"/>
  <c r="M1206" i="44"/>
  <c r="M1207" i="44"/>
  <c r="M1208" i="44"/>
  <c r="M1209" i="44"/>
  <c r="M1210" i="44"/>
  <c r="M1211" i="44"/>
  <c r="M1212" i="44"/>
  <c r="M1213" i="44"/>
  <c r="M1214" i="44"/>
  <c r="M1215" i="44"/>
  <c r="M1216" i="44"/>
  <c r="M1217" i="44"/>
  <c r="M1218" i="44"/>
  <c r="M1219" i="44"/>
  <c r="M1220" i="44"/>
  <c r="M1221" i="44"/>
  <c r="M1222" i="44"/>
  <c r="M1223" i="44"/>
  <c r="M1224" i="44"/>
  <c r="M1225" i="44"/>
  <c r="M1226" i="44"/>
  <c r="M1227" i="44"/>
  <c r="M1228" i="44"/>
  <c r="M1229" i="44"/>
  <c r="M1230" i="44"/>
  <c r="M1231" i="44"/>
  <c r="M1232" i="44"/>
  <c r="M1233" i="44"/>
  <c r="M1234" i="44"/>
  <c r="M1235" i="44"/>
  <c r="M1236" i="44"/>
  <c r="M1237" i="44"/>
  <c r="M1238" i="44"/>
  <c r="M1239" i="44"/>
  <c r="M1240" i="44"/>
  <c r="M1241" i="44"/>
  <c r="M1242" i="44"/>
  <c r="M1243" i="44"/>
  <c r="M1244" i="44"/>
  <c r="M1245" i="44"/>
  <c r="M1246" i="44"/>
  <c r="M1247" i="44"/>
  <c r="M1248" i="44"/>
  <c r="M1249" i="44"/>
  <c r="M1250" i="44"/>
  <c r="M1251" i="44"/>
  <c r="M1252" i="44"/>
  <c r="M1253" i="44"/>
  <c r="M1254" i="44"/>
  <c r="M1255" i="44"/>
  <c r="M1256" i="44"/>
  <c r="M1257" i="44"/>
  <c r="M1258" i="44"/>
  <c r="M1259" i="44"/>
  <c r="M1260" i="44"/>
  <c r="M1261" i="44"/>
  <c r="M1262" i="44"/>
  <c r="M1263" i="44"/>
  <c r="M1264" i="44"/>
  <c r="M1265" i="44"/>
  <c r="M1266" i="44"/>
  <c r="M1267" i="44"/>
  <c r="M1268" i="44"/>
  <c r="M1269" i="44"/>
  <c r="M1270" i="44"/>
  <c r="M1271" i="44"/>
  <c r="M1272" i="44"/>
  <c r="M1273" i="44"/>
  <c r="M1274" i="44"/>
  <c r="M1275" i="44"/>
  <c r="M1276" i="44"/>
  <c r="M1277" i="44"/>
  <c r="M1278" i="44"/>
  <c r="M1279" i="44"/>
  <c r="M1280" i="44"/>
  <c r="M1281" i="44"/>
  <c r="M1282" i="44"/>
  <c r="M1283" i="44"/>
  <c r="M1284" i="44"/>
  <c r="M1285" i="44"/>
  <c r="M1286" i="44"/>
  <c r="M1287" i="44"/>
  <c r="M1288" i="44"/>
  <c r="M1289" i="44"/>
  <c r="M1290" i="44"/>
  <c r="M1291" i="44"/>
  <c r="M1292" i="44"/>
  <c r="M1293" i="44"/>
  <c r="M1294" i="44"/>
  <c r="M1295" i="44"/>
  <c r="M1296" i="44"/>
  <c r="M1297" i="44"/>
  <c r="M1298" i="44"/>
  <c r="M1299" i="44"/>
  <c r="M1300" i="44"/>
  <c r="M1301" i="44"/>
  <c r="M1302" i="44"/>
  <c r="M1303" i="44"/>
  <c r="M1304" i="44"/>
  <c r="M1305" i="44"/>
  <c r="M1306" i="44"/>
  <c r="M1307" i="44"/>
  <c r="M1308" i="44"/>
  <c r="M1309" i="44"/>
  <c r="M1310" i="44"/>
  <c r="M1311" i="44"/>
  <c r="M1312" i="44"/>
  <c r="M1313" i="44"/>
  <c r="M1314" i="44"/>
  <c r="M1315" i="44"/>
  <c r="M1316" i="44"/>
  <c r="M1317" i="44"/>
  <c r="M1318" i="44"/>
  <c r="M1319" i="44"/>
  <c r="M1320" i="44"/>
  <c r="M1321" i="44"/>
  <c r="M1322" i="44"/>
  <c r="M1323" i="44"/>
  <c r="M1324" i="44"/>
  <c r="M1325" i="44"/>
  <c r="M1326" i="44"/>
  <c r="M1327" i="44"/>
  <c r="M1328" i="44"/>
  <c r="M1329" i="44"/>
  <c r="M1330" i="44"/>
  <c r="M1331" i="44"/>
  <c r="M1332" i="44"/>
  <c r="M1333" i="44"/>
  <c r="M1334" i="44"/>
  <c r="M1335" i="44"/>
  <c r="M1336" i="44"/>
  <c r="M1337" i="44"/>
  <c r="M1338" i="44"/>
  <c r="M1339" i="44"/>
  <c r="M1340" i="44"/>
  <c r="M1341" i="44"/>
  <c r="M1342" i="44"/>
  <c r="M1343" i="44"/>
  <c r="M1344" i="44"/>
  <c r="M1345" i="44"/>
  <c r="M1346" i="44"/>
  <c r="M1347" i="44"/>
  <c r="M1348" i="44"/>
  <c r="M1349" i="44"/>
  <c r="M1350" i="44"/>
  <c r="M1351" i="44"/>
  <c r="M1352" i="44"/>
  <c r="M1353" i="44"/>
  <c r="M1354" i="44"/>
  <c r="M1355" i="44"/>
  <c r="M1356" i="44"/>
  <c r="M1357" i="44"/>
  <c r="M1358" i="44"/>
  <c r="M1359" i="44"/>
  <c r="M1360" i="44"/>
  <c r="M1361" i="44"/>
  <c r="M1362" i="44"/>
  <c r="M1363" i="44"/>
  <c r="M1364" i="44"/>
  <c r="M1365" i="44"/>
  <c r="M1366" i="44"/>
  <c r="M1367" i="44"/>
  <c r="M1368" i="44"/>
  <c r="M1369" i="44"/>
  <c r="M1370" i="44"/>
  <c r="M1371" i="44"/>
  <c r="M1372" i="44"/>
  <c r="M1373" i="44"/>
  <c r="M1374" i="44"/>
  <c r="M1375" i="44"/>
  <c r="M1376" i="44"/>
  <c r="M1377" i="44"/>
  <c r="M1378" i="44"/>
  <c r="M1379" i="44"/>
  <c r="M1380" i="44"/>
  <c r="M1381" i="44"/>
  <c r="M1382" i="44"/>
  <c r="M1383" i="44"/>
  <c r="M1384" i="44"/>
  <c r="M1385" i="44"/>
  <c r="M1386" i="44"/>
  <c r="M1387" i="44"/>
  <c r="M1388" i="44"/>
  <c r="M1389" i="44"/>
  <c r="M1390" i="44"/>
  <c r="M1391" i="44"/>
  <c r="M1392" i="44"/>
  <c r="M1393" i="44"/>
  <c r="M1394" i="44"/>
  <c r="M1395" i="44"/>
  <c r="M1396" i="44"/>
  <c r="M1397" i="44"/>
  <c r="M1398" i="44"/>
  <c r="M1399" i="44"/>
  <c r="M1400" i="44"/>
  <c r="M1401" i="44"/>
  <c r="M1402" i="44"/>
  <c r="M1403" i="44"/>
  <c r="M1404" i="44"/>
  <c r="M1405" i="44"/>
  <c r="M1406" i="44"/>
  <c r="M1407" i="44"/>
  <c r="M1408" i="44"/>
  <c r="M1409" i="44"/>
  <c r="M1410" i="44"/>
  <c r="M1411" i="44"/>
  <c r="M1412" i="44"/>
  <c r="M1413" i="44"/>
  <c r="M1414" i="44"/>
  <c r="M1415" i="44"/>
  <c r="M1416" i="44"/>
  <c r="M1417" i="44"/>
  <c r="M1418" i="44"/>
  <c r="M1419" i="44"/>
  <c r="M1420" i="44"/>
  <c r="M1421" i="44"/>
  <c r="M1422" i="44"/>
  <c r="M1423" i="44"/>
  <c r="M1424" i="44"/>
  <c r="M1425" i="44"/>
  <c r="M1426" i="44"/>
  <c r="M1427" i="44"/>
  <c r="M1428" i="44"/>
  <c r="M1429" i="44"/>
  <c r="M1430" i="44"/>
  <c r="M1431" i="44"/>
  <c r="M1432" i="44"/>
  <c r="M1433" i="44"/>
  <c r="M1434" i="44"/>
  <c r="M1435" i="44"/>
  <c r="M1436" i="44"/>
  <c r="M1437" i="44"/>
  <c r="M1438" i="44"/>
  <c r="M1439" i="44"/>
  <c r="M1440" i="44"/>
  <c r="M1441" i="44"/>
  <c r="M1442" i="44"/>
  <c r="M1443" i="44"/>
  <c r="M1444" i="44"/>
  <c r="M1445" i="44"/>
  <c r="M1446" i="44"/>
  <c r="M1447" i="44"/>
  <c r="M1448" i="44"/>
  <c r="M1449" i="44"/>
  <c r="M1450" i="44"/>
  <c r="M1451" i="44"/>
  <c r="M1452" i="44"/>
  <c r="M1453" i="44"/>
  <c r="M1454" i="44"/>
  <c r="M1455" i="44"/>
  <c r="M1456" i="44"/>
  <c r="M1457" i="44"/>
  <c r="M1458" i="44"/>
  <c r="M1459" i="44"/>
  <c r="M1460" i="44"/>
  <c r="M1461" i="44"/>
  <c r="M1462" i="44"/>
  <c r="M1463" i="44"/>
  <c r="M1464" i="44"/>
  <c r="M1465" i="44"/>
  <c r="M1466" i="44"/>
  <c r="M1467" i="44"/>
  <c r="M1468" i="44"/>
  <c r="M1469" i="44"/>
  <c r="M1470" i="44"/>
  <c r="M1471" i="44"/>
  <c r="M1472" i="44"/>
  <c r="M1473" i="44"/>
  <c r="M1474" i="44"/>
  <c r="M1475" i="44"/>
  <c r="M1476" i="44"/>
  <c r="M1477" i="44"/>
  <c r="M1478" i="44"/>
  <c r="M1479" i="44"/>
  <c r="M1480" i="44"/>
  <c r="M1481" i="44"/>
  <c r="M1482" i="44"/>
  <c r="M1483" i="44"/>
  <c r="M1484" i="44"/>
  <c r="M1485" i="44"/>
  <c r="M1486" i="44"/>
  <c r="M1487" i="44"/>
  <c r="M1488" i="44"/>
  <c r="M1489" i="44"/>
  <c r="M1490" i="44"/>
  <c r="M1491" i="44"/>
  <c r="M1492" i="44"/>
  <c r="M1493" i="44"/>
  <c r="M1494" i="44"/>
  <c r="M1495" i="44"/>
  <c r="M1496" i="44"/>
  <c r="M1497" i="44"/>
  <c r="M1498" i="44"/>
  <c r="M1499" i="44"/>
  <c r="M1500" i="44"/>
  <c r="M1501" i="44"/>
  <c r="M1502" i="44"/>
  <c r="M1503" i="44"/>
  <c r="M1504" i="44"/>
  <c r="M1505" i="44"/>
  <c r="M1506" i="44"/>
  <c r="M1507" i="44"/>
  <c r="M1508" i="44"/>
  <c r="M1509" i="44"/>
  <c r="M1510" i="44"/>
  <c r="M1511" i="44"/>
  <c r="M1512" i="44"/>
  <c r="M1513" i="44"/>
  <c r="M1514" i="44"/>
  <c r="M1515" i="44"/>
  <c r="M1516" i="44"/>
  <c r="M1517" i="44"/>
  <c r="M1518" i="44"/>
  <c r="M1519" i="44"/>
  <c r="M1520" i="44"/>
  <c r="M1521" i="44"/>
  <c r="M1522" i="44"/>
  <c r="M1523" i="44"/>
  <c r="M1524" i="44"/>
  <c r="M1525" i="44"/>
  <c r="M1526" i="44"/>
  <c r="M1527" i="44"/>
  <c r="M1528" i="44"/>
  <c r="M1529" i="44"/>
  <c r="M1530" i="44"/>
  <c r="M1531" i="44"/>
  <c r="M1532" i="44"/>
  <c r="M1533" i="44"/>
  <c r="M1534" i="44"/>
  <c r="M1535" i="44"/>
  <c r="M1536" i="44"/>
  <c r="M1537" i="44"/>
  <c r="M1538" i="44"/>
  <c r="M1539" i="44"/>
  <c r="M1540" i="44"/>
  <c r="M1541" i="44"/>
  <c r="M1542" i="44"/>
  <c r="M1543" i="44"/>
  <c r="M1544" i="44"/>
  <c r="M1545" i="44"/>
  <c r="M1546" i="44"/>
  <c r="M1547" i="44"/>
  <c r="M1548" i="44"/>
  <c r="M1549" i="44"/>
  <c r="M1550" i="44"/>
  <c r="M1551" i="44"/>
  <c r="M1552" i="44"/>
  <c r="M1553" i="44"/>
  <c r="M1554" i="44"/>
  <c r="M1555" i="44"/>
  <c r="M1556" i="44"/>
  <c r="M1557" i="44"/>
  <c r="M1558" i="44"/>
  <c r="M1559" i="44"/>
  <c r="M1560" i="44"/>
  <c r="M1561" i="44"/>
  <c r="M1562" i="44"/>
  <c r="M1563" i="44"/>
  <c r="M1564" i="44"/>
  <c r="M1565" i="44"/>
  <c r="M1566" i="44"/>
  <c r="M1567" i="44"/>
  <c r="M1568" i="44"/>
  <c r="M1569" i="44"/>
  <c r="M1570" i="44"/>
  <c r="M1571" i="44"/>
  <c r="M1572" i="44"/>
  <c r="M1573" i="44"/>
  <c r="M1574" i="44"/>
  <c r="M1575" i="44"/>
  <c r="M1576" i="44"/>
  <c r="M1577" i="44"/>
  <c r="M1578" i="44"/>
  <c r="M1579" i="44"/>
  <c r="M1580" i="44"/>
  <c r="M1581" i="44"/>
  <c r="M1582" i="44"/>
  <c r="M1583" i="44"/>
  <c r="M1584" i="44"/>
  <c r="M1585" i="44"/>
  <c r="M1586" i="44"/>
  <c r="M1587" i="44"/>
  <c r="M1588" i="44"/>
  <c r="M1589" i="44"/>
  <c r="M1590" i="44"/>
  <c r="M1591" i="44"/>
  <c r="M1592" i="44"/>
  <c r="M1593" i="44"/>
  <c r="M1594" i="44"/>
  <c r="M1595" i="44"/>
  <c r="M1596" i="44"/>
  <c r="M1597" i="44"/>
  <c r="M1598" i="44"/>
  <c r="M1599" i="44"/>
  <c r="M1600" i="44"/>
  <c r="M1601" i="44"/>
  <c r="M1602" i="44"/>
  <c r="M1603" i="44"/>
  <c r="M1604" i="44"/>
  <c r="M1605" i="44"/>
  <c r="M1606" i="44"/>
  <c r="M1607" i="44"/>
  <c r="M1608" i="44"/>
  <c r="M1609" i="44"/>
  <c r="M1610" i="44"/>
  <c r="M1611" i="44"/>
  <c r="M1612" i="44"/>
  <c r="M1613" i="44"/>
  <c r="M1614" i="44"/>
  <c r="M1615" i="44"/>
  <c r="M1616" i="44"/>
  <c r="M1617" i="44"/>
  <c r="M1618" i="44"/>
  <c r="M1619" i="44"/>
  <c r="M1620" i="44"/>
  <c r="M1621" i="44"/>
  <c r="M1622" i="44"/>
  <c r="M1623" i="44"/>
  <c r="M1624" i="44"/>
  <c r="M1625" i="44"/>
  <c r="M1626" i="44"/>
  <c r="M1627" i="44"/>
  <c r="M1628" i="44"/>
  <c r="M1629" i="44"/>
  <c r="M1630" i="44"/>
  <c r="M1631" i="44"/>
  <c r="M1632" i="44"/>
  <c r="M1633" i="44"/>
  <c r="M1634" i="44"/>
  <c r="M1635" i="44"/>
  <c r="M1636" i="44"/>
  <c r="M1637" i="44"/>
  <c r="M1638" i="44"/>
  <c r="M1639" i="44"/>
  <c r="M1640" i="44"/>
  <c r="M1641" i="44"/>
  <c r="M1642" i="44"/>
  <c r="M1643" i="44"/>
  <c r="M1644" i="44"/>
  <c r="M1645" i="44"/>
  <c r="M1646" i="44"/>
  <c r="M1647" i="44"/>
  <c r="M1648" i="44"/>
  <c r="M1649" i="44"/>
  <c r="M1650" i="44"/>
  <c r="M1651" i="44"/>
  <c r="M1652" i="44"/>
  <c r="M1653" i="44"/>
  <c r="M1654" i="44"/>
  <c r="M1655" i="44"/>
  <c r="M1656" i="44"/>
  <c r="M1657" i="44"/>
  <c r="M1658" i="44"/>
  <c r="M1659" i="44"/>
  <c r="M1660" i="44"/>
  <c r="M1661" i="44"/>
  <c r="M1662" i="44"/>
  <c r="M1663" i="44"/>
  <c r="M1664" i="44"/>
  <c r="M1665" i="44"/>
  <c r="M1666" i="44"/>
  <c r="M1667" i="44"/>
  <c r="M1668" i="44"/>
  <c r="M1669" i="44"/>
  <c r="M1670" i="44"/>
  <c r="M1671" i="44"/>
  <c r="M1672" i="44"/>
  <c r="M1673" i="44"/>
  <c r="M1674" i="44"/>
  <c r="M1675" i="44"/>
  <c r="M1676" i="44"/>
  <c r="M1677" i="44"/>
  <c r="M1678" i="44"/>
  <c r="M1679" i="44"/>
  <c r="M1680" i="44"/>
  <c r="M1681" i="44"/>
  <c r="M1682" i="44"/>
  <c r="M1683" i="44"/>
  <c r="M1684" i="44"/>
  <c r="M1685" i="44"/>
  <c r="M1686" i="44"/>
  <c r="M1687" i="44"/>
  <c r="M1688" i="44"/>
  <c r="M1689" i="44"/>
  <c r="M1690" i="44"/>
  <c r="M1691" i="44"/>
  <c r="M1692" i="44"/>
  <c r="M1693" i="44"/>
  <c r="M1694" i="44"/>
  <c r="M1695" i="44"/>
  <c r="M1696" i="44"/>
  <c r="M1697" i="44"/>
  <c r="M1698" i="44"/>
  <c r="M1699" i="44"/>
  <c r="M1700" i="44"/>
  <c r="M1701" i="44"/>
  <c r="M1702" i="44"/>
  <c r="M1703" i="44"/>
  <c r="M1704" i="44"/>
  <c r="M1705" i="44"/>
  <c r="M1706" i="44"/>
  <c r="M1707" i="44"/>
  <c r="M1708" i="44"/>
  <c r="M1709" i="44"/>
  <c r="M1710" i="44"/>
  <c r="M1711" i="44"/>
  <c r="M1712" i="44"/>
  <c r="M1713" i="44"/>
  <c r="M1714" i="44"/>
  <c r="M1715" i="44"/>
  <c r="M1716" i="44"/>
  <c r="M1717" i="44"/>
  <c r="M1718" i="44"/>
  <c r="M1719" i="44"/>
  <c r="M1720" i="44"/>
  <c r="M1721" i="44"/>
  <c r="M1722" i="44"/>
  <c r="M1723" i="44"/>
  <c r="M1724" i="44"/>
  <c r="M1725" i="44"/>
  <c r="M1726" i="44"/>
  <c r="M1727" i="44"/>
  <c r="M1728" i="44"/>
  <c r="M1729" i="44"/>
  <c r="M1730" i="44"/>
  <c r="M1731" i="44"/>
  <c r="M1732" i="44"/>
  <c r="M1733" i="44"/>
  <c r="M1734" i="44"/>
  <c r="M1735" i="44"/>
  <c r="M1736" i="44"/>
  <c r="M1737" i="44"/>
  <c r="M1738" i="44"/>
  <c r="M1739" i="44"/>
  <c r="M1740" i="44"/>
  <c r="M1741" i="44"/>
  <c r="M1742" i="44"/>
  <c r="M1743" i="44"/>
  <c r="M1744" i="44"/>
  <c r="M1745" i="44"/>
  <c r="M1746" i="44"/>
  <c r="M1747" i="44"/>
  <c r="M1748" i="44"/>
  <c r="M1749" i="44"/>
  <c r="M1750" i="44"/>
  <c r="M1751" i="44"/>
  <c r="M1752" i="44"/>
  <c r="M1753" i="44"/>
  <c r="M1754" i="44"/>
  <c r="M1755" i="44"/>
  <c r="M1756" i="44"/>
  <c r="M1757" i="44"/>
  <c r="M1758" i="44"/>
  <c r="M1759" i="44"/>
  <c r="M1760" i="44"/>
  <c r="M1761" i="44"/>
  <c r="M1762" i="44"/>
  <c r="M1763" i="44"/>
  <c r="M1764" i="44"/>
  <c r="M1765" i="44"/>
  <c r="M1766" i="44"/>
  <c r="M1767" i="44"/>
  <c r="M1768" i="44"/>
  <c r="M1769" i="44"/>
  <c r="M1770" i="44"/>
  <c r="M1771" i="44"/>
  <c r="M1772" i="44"/>
  <c r="M1773" i="44"/>
  <c r="M1774" i="44"/>
  <c r="M1775" i="44"/>
  <c r="M1776" i="44"/>
  <c r="M1777" i="44"/>
  <c r="M1778" i="44"/>
  <c r="M1779" i="44"/>
  <c r="M1780" i="44"/>
  <c r="M1781" i="44"/>
  <c r="M1782" i="44"/>
  <c r="M1783" i="44"/>
  <c r="M1784" i="44"/>
  <c r="M1785" i="44"/>
  <c r="M1786" i="44"/>
  <c r="M1787" i="44"/>
  <c r="M1788" i="44"/>
  <c r="M1789" i="44"/>
  <c r="M1790" i="44"/>
  <c r="M1791" i="44"/>
  <c r="M1792" i="44"/>
  <c r="M1793" i="44"/>
  <c r="M1794" i="44"/>
  <c r="M1795" i="44"/>
  <c r="M1796" i="44"/>
  <c r="M1797" i="44"/>
  <c r="M1798" i="44"/>
  <c r="M1799" i="44"/>
  <c r="M1800" i="44"/>
  <c r="M1801" i="44"/>
  <c r="M1802" i="44"/>
  <c r="M1803" i="44"/>
  <c r="M1804" i="44"/>
  <c r="M1805" i="44"/>
  <c r="M1806" i="44"/>
  <c r="M1807" i="44"/>
  <c r="M1808" i="44"/>
  <c r="M1809" i="44"/>
  <c r="M1810" i="44"/>
  <c r="M1811" i="44"/>
  <c r="M1812" i="44"/>
  <c r="M1813" i="44"/>
  <c r="M1814" i="44"/>
  <c r="M1815" i="44"/>
  <c r="M1816" i="44"/>
  <c r="M1817" i="44"/>
  <c r="M1818" i="44"/>
  <c r="M1819" i="44"/>
  <c r="M1820" i="44"/>
  <c r="M1821" i="44"/>
  <c r="M1822" i="44"/>
  <c r="M1823" i="44"/>
  <c r="M1824" i="44"/>
  <c r="M1825" i="44"/>
  <c r="M1826" i="44"/>
  <c r="M1827" i="44"/>
  <c r="M1828" i="44"/>
  <c r="M1829" i="44"/>
  <c r="M1830" i="44"/>
  <c r="M1831" i="44"/>
  <c r="M1832" i="44"/>
  <c r="M1833" i="44"/>
  <c r="M1834" i="44"/>
  <c r="M1835" i="44"/>
  <c r="M1836" i="44"/>
  <c r="M1837" i="44"/>
  <c r="M1838" i="44"/>
  <c r="M1839" i="44"/>
  <c r="M1840" i="44"/>
  <c r="M1841" i="44"/>
  <c r="M1842" i="44"/>
  <c r="M1843" i="44"/>
  <c r="M1844" i="44"/>
  <c r="M1845" i="44"/>
  <c r="M1846" i="44"/>
  <c r="M1847" i="44"/>
  <c r="M1848" i="44"/>
  <c r="M1849" i="44"/>
  <c r="M1850" i="44"/>
  <c r="M1851" i="44"/>
  <c r="M1852" i="44"/>
  <c r="M1853" i="44"/>
  <c r="M1854" i="44"/>
  <c r="M1855" i="44"/>
  <c r="M1856" i="44"/>
  <c r="M1857" i="44"/>
  <c r="M1858" i="44"/>
  <c r="M1859" i="44"/>
  <c r="M1860" i="44"/>
  <c r="M1861" i="44"/>
  <c r="M1862" i="44"/>
  <c r="M1863" i="44"/>
  <c r="M1864" i="44"/>
  <c r="M1865" i="44"/>
  <c r="M1866" i="44"/>
  <c r="M1867" i="44"/>
  <c r="M1868" i="44"/>
  <c r="M1869" i="44"/>
  <c r="M1870" i="44"/>
  <c r="M1871" i="44"/>
  <c r="M1872" i="44"/>
  <c r="M1873" i="44"/>
  <c r="M1874" i="44"/>
  <c r="M1875" i="44"/>
  <c r="M1876" i="44"/>
  <c r="M1877" i="44"/>
  <c r="M1878" i="44"/>
  <c r="M1879" i="44"/>
  <c r="M1880" i="44"/>
  <c r="M1881" i="44"/>
  <c r="M1882" i="44"/>
  <c r="M1883" i="44"/>
  <c r="M1884" i="44"/>
  <c r="M1885" i="44"/>
  <c r="M1886" i="44"/>
  <c r="M1887" i="44"/>
  <c r="M1888" i="44"/>
  <c r="M1889" i="44"/>
  <c r="M1890" i="44"/>
  <c r="M1891" i="44"/>
  <c r="M1892" i="44"/>
  <c r="M1893" i="44"/>
  <c r="M1894" i="44"/>
  <c r="M1895" i="44"/>
  <c r="M1896" i="44"/>
  <c r="M1897" i="44"/>
  <c r="M1898" i="44"/>
  <c r="M1899" i="44"/>
  <c r="M1900" i="44"/>
  <c r="M1901" i="44"/>
  <c r="M1902" i="44"/>
  <c r="M1903" i="44"/>
  <c r="M1904" i="44"/>
  <c r="M1905" i="44"/>
  <c r="M1906" i="44"/>
  <c r="M1907" i="44"/>
  <c r="M1908" i="44"/>
  <c r="M1909" i="44"/>
  <c r="M1910" i="44"/>
  <c r="M1911" i="44"/>
  <c r="M1912" i="44"/>
  <c r="M1913" i="44"/>
  <c r="M1914" i="44"/>
  <c r="M1915" i="44"/>
  <c r="M1916" i="44"/>
  <c r="M1917" i="44"/>
  <c r="M1918" i="44"/>
  <c r="M1919" i="44"/>
  <c r="M1920" i="44"/>
  <c r="M1921" i="44"/>
  <c r="M1922" i="44"/>
  <c r="M1923" i="44"/>
  <c r="M1924" i="44"/>
  <c r="M1925" i="44"/>
  <c r="M1926" i="44"/>
  <c r="M1927" i="44"/>
  <c r="M1928" i="44"/>
  <c r="M1929" i="44"/>
  <c r="M1930" i="44"/>
  <c r="M1931" i="44"/>
  <c r="M1932" i="44"/>
  <c r="M1933" i="44"/>
  <c r="M1934" i="44"/>
  <c r="M1935" i="44"/>
  <c r="M1936" i="44"/>
  <c r="M1937" i="44"/>
  <c r="M1938" i="44"/>
  <c r="M1939" i="44"/>
  <c r="M1940" i="44"/>
  <c r="M1941" i="44"/>
  <c r="M1942" i="44"/>
  <c r="M1943" i="44"/>
  <c r="M1944" i="44"/>
  <c r="M1945" i="44"/>
  <c r="M1946" i="44"/>
  <c r="M1947" i="44"/>
  <c r="M1948" i="44"/>
  <c r="M1949" i="44"/>
  <c r="M1950" i="44"/>
  <c r="M1951" i="44"/>
  <c r="M1952" i="44"/>
  <c r="M1953" i="44"/>
  <c r="M1954" i="44"/>
  <c r="M1955" i="44"/>
  <c r="M1956" i="44"/>
  <c r="M1957" i="44"/>
  <c r="M1958" i="44"/>
  <c r="M1959" i="44"/>
  <c r="M1960" i="44"/>
  <c r="M1961" i="44"/>
  <c r="M1962" i="44"/>
  <c r="M1963" i="44"/>
  <c r="M1964" i="44"/>
  <c r="M1965" i="44"/>
  <c r="M1966" i="44"/>
  <c r="M1967" i="44"/>
  <c r="M1968" i="44"/>
  <c r="M1969" i="44"/>
  <c r="M1970" i="44"/>
  <c r="M1971" i="44"/>
  <c r="M1972" i="44"/>
  <c r="M1973" i="44"/>
  <c r="M1974" i="44"/>
  <c r="M1975" i="44"/>
  <c r="M1976" i="44"/>
  <c r="M1977" i="44"/>
  <c r="M1978" i="44"/>
  <c r="M1979" i="44"/>
  <c r="M1980" i="44"/>
  <c r="M1981" i="44"/>
  <c r="M1982" i="44"/>
  <c r="M1983" i="44"/>
  <c r="M1984" i="44"/>
  <c r="M1985" i="44"/>
  <c r="M1986" i="44"/>
  <c r="M1987" i="44"/>
  <c r="M1988" i="44"/>
  <c r="M1989" i="44"/>
  <c r="M1990" i="44"/>
  <c r="M1991" i="44"/>
  <c r="M1992" i="44"/>
  <c r="M1993" i="44"/>
  <c r="M1994" i="44"/>
  <c r="M1995" i="44"/>
  <c r="M1996" i="44"/>
  <c r="M1997" i="44"/>
  <c r="M1998" i="44"/>
  <c r="M1999" i="44"/>
  <c r="M2000" i="44"/>
  <c r="M2001" i="44"/>
  <c r="M2002" i="44"/>
  <c r="M2003" i="44"/>
  <c r="M2004" i="44"/>
  <c r="M2005" i="44"/>
  <c r="M2006" i="44"/>
  <c r="M2007" i="44"/>
  <c r="M2008" i="44"/>
  <c r="M2009" i="44"/>
  <c r="M2010" i="44"/>
  <c r="M2011" i="44"/>
  <c r="M2012" i="44"/>
  <c r="M2013" i="44"/>
  <c r="M2014" i="44"/>
  <c r="M2015" i="44"/>
  <c r="M2016" i="44"/>
  <c r="M2017" i="44"/>
  <c r="M2018" i="44"/>
  <c r="M2019" i="44"/>
  <c r="M2020" i="44"/>
  <c r="M2021" i="44"/>
  <c r="M2022" i="44"/>
  <c r="M2023" i="44"/>
  <c r="M2024" i="44"/>
  <c r="M2025" i="44"/>
  <c r="M2026" i="44"/>
  <c r="M2027" i="44"/>
  <c r="M2028" i="44"/>
  <c r="M2029" i="44"/>
  <c r="M2030" i="44"/>
  <c r="M2031" i="44"/>
  <c r="M2032" i="44"/>
  <c r="M2033" i="44"/>
  <c r="M2034" i="44"/>
  <c r="M2035" i="44"/>
  <c r="M2036" i="44"/>
  <c r="M2037" i="44"/>
  <c r="M2038" i="44"/>
  <c r="M2039" i="44"/>
  <c r="M2040" i="44"/>
  <c r="M2041" i="44"/>
  <c r="M2042" i="44"/>
  <c r="M2043" i="44"/>
  <c r="M2044" i="44"/>
  <c r="M2045" i="44"/>
  <c r="M2046" i="44"/>
  <c r="M2047" i="44"/>
  <c r="M2048" i="44"/>
  <c r="M2049" i="44"/>
  <c r="M2050" i="44"/>
  <c r="M2051" i="44"/>
  <c r="M2052" i="44"/>
  <c r="M2053" i="44"/>
  <c r="M2054" i="44"/>
  <c r="M2055" i="44"/>
  <c r="M2056" i="44"/>
  <c r="M2057" i="44"/>
  <c r="M2058" i="44"/>
  <c r="M2059" i="44"/>
  <c r="M2060" i="44"/>
  <c r="M2061" i="44"/>
  <c r="M2062" i="44"/>
  <c r="M2063" i="44"/>
  <c r="M2064" i="44"/>
  <c r="M2065" i="44"/>
  <c r="M2066" i="44"/>
  <c r="M2067" i="44"/>
  <c r="M2068" i="44"/>
  <c r="M2069" i="44"/>
  <c r="M2070" i="44"/>
  <c r="M2071" i="44"/>
  <c r="M2072" i="44"/>
  <c r="M2073" i="44"/>
  <c r="M2074" i="44"/>
  <c r="M2075" i="44"/>
  <c r="M2076" i="44"/>
  <c r="M2077" i="44"/>
  <c r="M2078" i="44"/>
  <c r="M2079" i="44"/>
  <c r="M2080" i="44"/>
  <c r="M2081" i="44"/>
  <c r="M2082" i="44"/>
  <c r="M2083" i="44"/>
  <c r="M2084" i="44"/>
  <c r="M2085" i="44"/>
  <c r="M2086" i="44"/>
  <c r="M2087" i="44"/>
  <c r="M2088" i="44"/>
  <c r="M2089" i="44"/>
  <c r="M2090" i="44"/>
  <c r="M2091" i="44"/>
  <c r="M2092" i="44"/>
  <c r="M2093" i="44"/>
  <c r="M2094" i="44"/>
  <c r="M2095" i="44"/>
  <c r="M2096" i="44"/>
  <c r="M2097" i="44"/>
  <c r="M2098" i="44"/>
  <c r="M2099" i="44"/>
  <c r="M2100" i="44"/>
  <c r="M2101" i="44"/>
  <c r="M2102" i="44"/>
  <c r="M2103" i="44"/>
  <c r="M2104" i="44"/>
  <c r="M2105" i="44"/>
  <c r="M2106" i="44"/>
  <c r="M2107" i="44"/>
  <c r="M2108" i="44"/>
  <c r="M2109" i="44"/>
  <c r="M2110" i="44"/>
  <c r="M2111" i="44"/>
  <c r="M2112" i="44"/>
  <c r="M2113" i="44"/>
  <c r="M2114" i="44"/>
  <c r="M2115" i="44"/>
  <c r="M2116" i="44"/>
  <c r="M2117" i="44"/>
  <c r="M2118" i="44"/>
  <c r="M2119" i="44"/>
  <c r="M2120" i="44"/>
  <c r="M2121" i="44"/>
  <c r="M2122" i="44"/>
  <c r="M2123" i="44"/>
  <c r="M2124" i="44"/>
  <c r="M2125" i="44"/>
  <c r="M2126" i="44"/>
  <c r="M2127" i="44"/>
  <c r="M2128" i="44"/>
  <c r="M2129" i="44"/>
  <c r="M2130" i="44"/>
  <c r="M2131" i="44"/>
  <c r="M2132" i="44"/>
  <c r="M2133" i="44"/>
  <c r="M2134" i="44"/>
  <c r="M2135" i="44"/>
  <c r="M2136" i="44"/>
  <c r="M2137" i="44"/>
  <c r="M2138" i="44"/>
  <c r="M2139" i="44"/>
  <c r="M2140" i="44"/>
  <c r="M2141" i="44"/>
  <c r="M3" i="44"/>
  <c r="M4" i="44"/>
  <c r="M5" i="44"/>
  <c r="AC166" i="40"/>
  <c r="AD166" i="40"/>
  <c r="AE166" i="40"/>
  <c r="AF166" i="40"/>
  <c r="AG166" i="40"/>
  <c r="AH166" i="40"/>
  <c r="AI166" i="40"/>
  <c r="AJ166" i="40"/>
  <c r="S166" i="40"/>
  <c r="T166" i="40"/>
  <c r="U166" i="40"/>
  <c r="V166" i="40"/>
  <c r="W166" i="40"/>
  <c r="X166" i="40"/>
  <c r="Y166" i="40"/>
  <c r="Z166" i="40"/>
  <c r="AA166" i="40"/>
  <c r="AB166" i="40"/>
  <c r="R166" i="40"/>
  <c r="C134" i="2"/>
  <c r="C133" i="2"/>
  <c r="J133" i="2" s="1"/>
  <c r="C132" i="2"/>
  <c r="J132" i="2" s="1"/>
  <c r="C128" i="2"/>
  <c r="B128" i="2" s="1"/>
  <c r="C127" i="2"/>
  <c r="J127" i="2" s="1"/>
  <c r="C126" i="2"/>
  <c r="J126" i="2" s="1"/>
  <c r="C122" i="2"/>
  <c r="J122" i="2" s="1"/>
  <c r="C121" i="2"/>
  <c r="B121" i="2" s="1"/>
  <c r="C120" i="2"/>
  <c r="J120" i="2" s="1"/>
  <c r="C116" i="2"/>
  <c r="B116" i="2" s="1"/>
  <c r="C115" i="2"/>
  <c r="B115" i="2" s="1"/>
  <c r="C114" i="2"/>
  <c r="B114" i="2" s="1"/>
  <c r="C110" i="2"/>
  <c r="J110" i="2" s="1"/>
  <c r="C109" i="2"/>
  <c r="J109" i="2" s="1"/>
  <c r="C108" i="2"/>
  <c r="J108" i="2" s="1"/>
  <c r="C104" i="2"/>
  <c r="J104" i="2" s="1"/>
  <c r="C103" i="2"/>
  <c r="B103" i="2" s="1"/>
  <c r="C102" i="2"/>
  <c r="B102" i="2" s="1"/>
  <c r="C98" i="2"/>
  <c r="J98" i="2" s="1"/>
  <c r="C97" i="2"/>
  <c r="B97" i="2" s="1"/>
  <c r="C96" i="2"/>
  <c r="J96" i="2" s="1"/>
  <c r="C92" i="2"/>
  <c r="B92" i="2" s="1"/>
  <c r="C91" i="2"/>
  <c r="J91" i="2" s="1"/>
  <c r="C90" i="2"/>
  <c r="J90" i="2" s="1"/>
  <c r="C86" i="2"/>
  <c r="J86" i="2" s="1"/>
  <c r="C85" i="2"/>
  <c r="B85" i="2" s="1"/>
  <c r="C84" i="2"/>
  <c r="B84" i="2" s="1"/>
  <c r="C80" i="2"/>
  <c r="B80" i="2" s="1"/>
  <c r="C79" i="2"/>
  <c r="J79" i="2" s="1"/>
  <c r="C78" i="2"/>
  <c r="J78" i="2" s="1"/>
  <c r="C74" i="2"/>
  <c r="C73" i="2"/>
  <c r="J73" i="2" s="1"/>
  <c r="C72" i="2"/>
  <c r="B72" i="2" s="1"/>
  <c r="C68" i="2"/>
  <c r="B68" i="2" s="1"/>
  <c r="C67" i="2"/>
  <c r="J67" i="2" s="1"/>
  <c r="C66" i="2"/>
  <c r="B66" i="2" s="1"/>
  <c r="C62" i="2"/>
  <c r="J62" i="2" s="1"/>
  <c r="C61" i="2"/>
  <c r="J61" i="2" s="1"/>
  <c r="C60" i="2"/>
  <c r="J60" i="2" s="1"/>
  <c r="C131" i="2"/>
  <c r="J131" i="2" s="1"/>
  <c r="C130" i="2"/>
  <c r="J130" i="2" s="1"/>
  <c r="C125" i="2"/>
  <c r="J125" i="2" s="1"/>
  <c r="C124" i="2"/>
  <c r="C119" i="2"/>
  <c r="B119" i="2" s="1"/>
  <c r="C118" i="2"/>
  <c r="C113" i="2"/>
  <c r="B113" i="2" s="1"/>
  <c r="C112" i="2"/>
  <c r="C107" i="2"/>
  <c r="J107" i="2" s="1"/>
  <c r="C106" i="2"/>
  <c r="C101" i="2"/>
  <c r="J101" i="2" s="1"/>
  <c r="C100" i="2"/>
  <c r="C95" i="2"/>
  <c r="B95" i="2" s="1"/>
  <c r="C94" i="2"/>
  <c r="C89" i="2"/>
  <c r="J89" i="2" s="1"/>
  <c r="C88" i="2"/>
  <c r="B88" i="2" s="1"/>
  <c r="C83" i="2"/>
  <c r="J83" i="2" s="1"/>
  <c r="C82" i="2"/>
  <c r="J82" i="2" s="1"/>
  <c r="C77" i="2"/>
  <c r="J77" i="2" s="1"/>
  <c r="C76" i="2"/>
  <c r="C71" i="2"/>
  <c r="J71" i="2" s="1"/>
  <c r="C70" i="2"/>
  <c r="C65" i="2"/>
  <c r="C64" i="2"/>
  <c r="B64" i="2" s="1"/>
  <c r="C59" i="2"/>
  <c r="J59" i="2" s="1"/>
  <c r="C58" i="2"/>
  <c r="C53" i="2"/>
  <c r="B53" i="2" s="1"/>
  <c r="C52" i="2"/>
  <c r="J52" i="2" s="1"/>
  <c r="C56" i="2"/>
  <c r="J56" i="2" s="1"/>
  <c r="C55" i="2"/>
  <c r="B55" i="2" s="1"/>
  <c r="C54" i="2"/>
  <c r="B54" i="2" s="1"/>
  <c r="C47" i="2"/>
  <c r="B47" i="2" s="1"/>
  <c r="C46" i="2"/>
  <c r="C50" i="2"/>
  <c r="J50" i="2" s="1"/>
  <c r="C49" i="2"/>
  <c r="B49" i="2" s="1"/>
  <c r="C48" i="2"/>
  <c r="J48" i="2" s="1"/>
  <c r="C41" i="2"/>
  <c r="J41" i="2" s="1"/>
  <c r="C40" i="2"/>
  <c r="C44" i="2"/>
  <c r="J44" i="2" s="1"/>
  <c r="C43" i="2"/>
  <c r="J43" i="2" s="1"/>
  <c r="C42" i="2"/>
  <c r="J42" i="2" s="1"/>
  <c r="C38" i="2"/>
  <c r="B38" i="2" s="1"/>
  <c r="C37" i="2"/>
  <c r="J37" i="2" s="1"/>
  <c r="C36" i="2"/>
  <c r="J36" i="2" s="1"/>
  <c r="C35" i="2"/>
  <c r="J35" i="2" s="1"/>
  <c r="C34" i="2"/>
  <c r="J34" i="2" s="1"/>
  <c r="C32" i="2"/>
  <c r="J32" i="2" s="1"/>
  <c r="C31" i="2"/>
  <c r="J31" i="2" s="1"/>
  <c r="C30" i="2"/>
  <c r="B30" i="2" s="1"/>
  <c r="C29" i="2"/>
  <c r="B29" i="2" s="1"/>
  <c r="C28" i="2"/>
  <c r="P6" i="40"/>
  <c r="P13" i="40"/>
  <c r="AE174" i="40" s="1"/>
  <c r="AC174" i="40"/>
  <c r="AD174" i="40"/>
  <c r="AF174" i="40"/>
  <c r="AI174" i="40"/>
  <c r="AJ174" i="40"/>
  <c r="P29" i="40"/>
  <c r="AG190" i="40" s="1"/>
  <c r="P30" i="40"/>
  <c r="AC191" i="40" s="1"/>
  <c r="AF191" i="40"/>
  <c r="P128" i="40"/>
  <c r="AJ289" i="40"/>
  <c r="P137" i="40"/>
  <c r="AB174" i="40"/>
  <c r="S174" i="40"/>
  <c r="T174" i="40"/>
  <c r="U174" i="40"/>
  <c r="V174" i="40"/>
  <c r="W174" i="40"/>
  <c r="X174" i="40"/>
  <c r="Y174" i="40"/>
  <c r="Z174" i="40"/>
  <c r="AA174" i="40"/>
  <c r="T178" i="40"/>
  <c r="T190" i="40"/>
  <c r="U190" i="40"/>
  <c r="V190" i="40"/>
  <c r="W190" i="40"/>
  <c r="X190" i="40"/>
  <c r="Y190" i="40"/>
  <c r="T191" i="40"/>
  <c r="U191" i="40"/>
  <c r="V191" i="40"/>
  <c r="X191" i="40"/>
  <c r="S289" i="40"/>
  <c r="T289" i="40"/>
  <c r="U289" i="40"/>
  <c r="V289" i="40"/>
  <c r="W289" i="40"/>
  <c r="X289" i="40"/>
  <c r="Y289" i="40"/>
  <c r="Z289" i="40"/>
  <c r="AA289" i="40"/>
  <c r="V298" i="40"/>
  <c r="R174" i="40"/>
  <c r="R190" i="40"/>
  <c r="R289" i="40"/>
  <c r="K167" i="40"/>
  <c r="L167" i="40"/>
  <c r="J167" i="40"/>
  <c r="K168" i="40"/>
  <c r="L168" i="40"/>
  <c r="K169" i="40"/>
  <c r="M169" i="40" s="1"/>
  <c r="L169" i="40"/>
  <c r="K170" i="40"/>
  <c r="L170" i="40"/>
  <c r="J170" i="40"/>
  <c r="I170" i="40"/>
  <c r="K171" i="40"/>
  <c r="L171" i="40"/>
  <c r="J171" i="40"/>
  <c r="I171" i="40"/>
  <c r="K172" i="40"/>
  <c r="L172" i="40"/>
  <c r="J172" i="40"/>
  <c r="I172" i="40"/>
  <c r="K173" i="40"/>
  <c r="L173" i="40"/>
  <c r="J173" i="40"/>
  <c r="I173" i="40"/>
  <c r="K174" i="40"/>
  <c r="L174" i="40"/>
  <c r="K175" i="40"/>
  <c r="L175" i="40"/>
  <c r="J175" i="40"/>
  <c r="I175" i="40"/>
  <c r="K176" i="40"/>
  <c r="L176" i="40"/>
  <c r="J176" i="40"/>
  <c r="I176" i="40"/>
  <c r="K177" i="40"/>
  <c r="L177" i="40"/>
  <c r="J177" i="40"/>
  <c r="I177" i="40"/>
  <c r="K178" i="40"/>
  <c r="L178" i="40"/>
  <c r="J178" i="40"/>
  <c r="I178" i="40"/>
  <c r="K179" i="40"/>
  <c r="L179" i="40"/>
  <c r="J179" i="40"/>
  <c r="I179" i="40"/>
  <c r="K180" i="40"/>
  <c r="L180" i="40"/>
  <c r="J180" i="40"/>
  <c r="I180" i="40"/>
  <c r="K181" i="40"/>
  <c r="L181" i="40"/>
  <c r="J181" i="40"/>
  <c r="I181" i="40"/>
  <c r="K182" i="40"/>
  <c r="L182" i="40"/>
  <c r="J182" i="40"/>
  <c r="I182" i="40"/>
  <c r="K183" i="40"/>
  <c r="L183" i="40"/>
  <c r="J183" i="40"/>
  <c r="I183" i="40"/>
  <c r="K184" i="40"/>
  <c r="L184" i="40"/>
  <c r="J184" i="40"/>
  <c r="I184" i="40"/>
  <c r="K185" i="40"/>
  <c r="L185" i="40"/>
  <c r="J185" i="40"/>
  <c r="I185" i="40"/>
  <c r="K186" i="40"/>
  <c r="L186" i="40"/>
  <c r="J186" i="40"/>
  <c r="I186" i="40"/>
  <c r="K187" i="40"/>
  <c r="L187" i="40"/>
  <c r="J187" i="40"/>
  <c r="I187" i="40"/>
  <c r="K188" i="40"/>
  <c r="M188" i="40" s="1"/>
  <c r="L188" i="40"/>
  <c r="K189" i="40"/>
  <c r="L189" i="40"/>
  <c r="J189" i="40"/>
  <c r="I189" i="40"/>
  <c r="K190" i="40"/>
  <c r="L190" i="40"/>
  <c r="J190" i="40"/>
  <c r="I190" i="40"/>
  <c r="K191" i="40"/>
  <c r="L191" i="40"/>
  <c r="J191" i="40"/>
  <c r="I191" i="40"/>
  <c r="K192" i="40"/>
  <c r="L192" i="40"/>
  <c r="J192" i="40"/>
  <c r="I192" i="40"/>
  <c r="K193" i="40"/>
  <c r="L193" i="40"/>
  <c r="J193" i="40"/>
  <c r="I193" i="40"/>
  <c r="K194" i="40"/>
  <c r="L194" i="40"/>
  <c r="J194" i="40"/>
  <c r="I194" i="40"/>
  <c r="K195" i="40"/>
  <c r="L195" i="40"/>
  <c r="M195" i="40" s="1"/>
  <c r="K196" i="40"/>
  <c r="L196" i="40"/>
  <c r="J196" i="40"/>
  <c r="M196" i="40"/>
  <c r="K197" i="40"/>
  <c r="L197" i="40"/>
  <c r="J197" i="40"/>
  <c r="I197" i="40"/>
  <c r="K198" i="40"/>
  <c r="L198" i="40"/>
  <c r="J198" i="40"/>
  <c r="I198" i="40"/>
  <c r="K199" i="40"/>
  <c r="L199" i="40"/>
  <c r="J199" i="40"/>
  <c r="I199" i="40"/>
  <c r="K200" i="40"/>
  <c r="L200" i="40"/>
  <c r="J200" i="40"/>
  <c r="I200" i="40"/>
  <c r="K201" i="40"/>
  <c r="L201" i="40"/>
  <c r="J201" i="40"/>
  <c r="M201" i="40"/>
  <c r="K202" i="40"/>
  <c r="L202" i="40"/>
  <c r="K203" i="40"/>
  <c r="L203" i="40"/>
  <c r="K204" i="40"/>
  <c r="L204" i="40"/>
  <c r="J204" i="40"/>
  <c r="K205" i="40"/>
  <c r="L205" i="40"/>
  <c r="J205" i="40"/>
  <c r="I205" i="40"/>
  <c r="K206" i="40"/>
  <c r="L206" i="40"/>
  <c r="J206" i="40"/>
  <c r="K207" i="40"/>
  <c r="L207" i="40"/>
  <c r="J207" i="40"/>
  <c r="K208" i="40"/>
  <c r="L208" i="40"/>
  <c r="J208" i="40"/>
  <c r="K209" i="40"/>
  <c r="L209" i="40"/>
  <c r="J209" i="40"/>
  <c r="K210" i="40"/>
  <c r="M210" i="40" s="1"/>
  <c r="L210" i="40"/>
  <c r="J210" i="40"/>
  <c r="I210" i="40"/>
  <c r="K211" i="40"/>
  <c r="L211" i="40"/>
  <c r="J211" i="40"/>
  <c r="I211" i="40"/>
  <c r="K212" i="40"/>
  <c r="L212" i="40"/>
  <c r="J212" i="40"/>
  <c r="I212" i="40"/>
  <c r="K213" i="40"/>
  <c r="L213" i="40"/>
  <c r="J213" i="40"/>
  <c r="K214" i="40"/>
  <c r="L214" i="40"/>
  <c r="J214" i="40"/>
  <c r="I214" i="40"/>
  <c r="K215" i="40"/>
  <c r="L215" i="40"/>
  <c r="J215" i="40"/>
  <c r="M215" i="40" s="1"/>
  <c r="K216" i="40"/>
  <c r="L216" i="40"/>
  <c r="J216" i="40"/>
  <c r="K217" i="40"/>
  <c r="M217" i="40" s="1"/>
  <c r="L217" i="40"/>
  <c r="J217" i="40"/>
  <c r="K218" i="40"/>
  <c r="L218" i="40"/>
  <c r="J218" i="40"/>
  <c r="K219" i="40"/>
  <c r="L219" i="40"/>
  <c r="J219" i="40"/>
  <c r="K220" i="40"/>
  <c r="L220" i="40"/>
  <c r="J220" i="40"/>
  <c r="M220" i="40" s="1"/>
  <c r="K221" i="40"/>
  <c r="L221" i="40"/>
  <c r="J221" i="40"/>
  <c r="K222" i="40"/>
  <c r="M222" i="40" s="1"/>
  <c r="L222" i="40"/>
  <c r="K223" i="40"/>
  <c r="L223" i="40"/>
  <c r="M223" i="40"/>
  <c r="K224" i="40"/>
  <c r="L224" i="40"/>
  <c r="K225" i="40"/>
  <c r="L225" i="40"/>
  <c r="J225" i="40"/>
  <c r="K226" i="40"/>
  <c r="L226" i="40"/>
  <c r="J226" i="40"/>
  <c r="K227" i="40"/>
  <c r="L227" i="40"/>
  <c r="J227" i="40"/>
  <c r="I227" i="40"/>
  <c r="K228" i="40"/>
  <c r="L228" i="40"/>
  <c r="J228" i="40"/>
  <c r="K229" i="40"/>
  <c r="L229" i="40"/>
  <c r="J229" i="40"/>
  <c r="K230" i="40"/>
  <c r="L230" i="40"/>
  <c r="J230" i="40"/>
  <c r="K231" i="40"/>
  <c r="L231" i="40"/>
  <c r="J231" i="40"/>
  <c r="I231" i="40"/>
  <c r="K232" i="40"/>
  <c r="M232" i="40" s="1"/>
  <c r="L232" i="40"/>
  <c r="K233" i="40"/>
  <c r="M233" i="40" s="1"/>
  <c r="L233" i="40"/>
  <c r="K234" i="40"/>
  <c r="L234" i="40"/>
  <c r="J234" i="40"/>
  <c r="I234" i="40"/>
  <c r="K235" i="40"/>
  <c r="L235" i="40"/>
  <c r="K236" i="40"/>
  <c r="M236" i="40" s="1"/>
  <c r="L236" i="40"/>
  <c r="K237" i="40"/>
  <c r="M237" i="40" s="1"/>
  <c r="L237" i="40"/>
  <c r="K238" i="40"/>
  <c r="M238" i="40" s="1"/>
  <c r="L238" i="40"/>
  <c r="J238" i="40"/>
  <c r="K239" i="40"/>
  <c r="L239" i="40"/>
  <c r="J239" i="40"/>
  <c r="K240" i="40"/>
  <c r="L240" i="40"/>
  <c r="J240" i="40"/>
  <c r="K241" i="40"/>
  <c r="L241" i="40"/>
  <c r="K242" i="40"/>
  <c r="L242" i="40"/>
  <c r="J242" i="40"/>
  <c r="K243" i="40"/>
  <c r="L243" i="40"/>
  <c r="K244" i="40"/>
  <c r="L244" i="40"/>
  <c r="K245" i="40"/>
  <c r="L245" i="40"/>
  <c r="K246" i="40"/>
  <c r="M246" i="40" s="1"/>
  <c r="L246" i="40"/>
  <c r="K247" i="40"/>
  <c r="L247" i="40"/>
  <c r="J247" i="40"/>
  <c r="K248" i="40"/>
  <c r="L248" i="40"/>
  <c r="M248" i="40" s="1"/>
  <c r="K249" i="40"/>
  <c r="L249" i="40"/>
  <c r="J249" i="40"/>
  <c r="K250" i="40"/>
  <c r="M250" i="40" s="1"/>
  <c r="L250" i="40"/>
  <c r="K251" i="40"/>
  <c r="L251" i="40"/>
  <c r="K252" i="40"/>
  <c r="L252" i="40"/>
  <c r="J252" i="40"/>
  <c r="K253" i="40"/>
  <c r="L253" i="40"/>
  <c r="J253" i="40"/>
  <c r="M253" i="40"/>
  <c r="K254" i="40"/>
  <c r="L254" i="40"/>
  <c r="K255" i="40"/>
  <c r="M255" i="40" s="1"/>
  <c r="L255" i="40"/>
  <c r="J255" i="40"/>
  <c r="I255" i="40"/>
  <c r="K256" i="40"/>
  <c r="M256" i="40" s="1"/>
  <c r="L256" i="40"/>
  <c r="K257" i="40"/>
  <c r="L257" i="40"/>
  <c r="K258" i="40"/>
  <c r="L258" i="40"/>
  <c r="K259" i="40"/>
  <c r="L259" i="40"/>
  <c r="K260" i="40"/>
  <c r="M260" i="40" s="1"/>
  <c r="L260" i="40"/>
  <c r="K261" i="40"/>
  <c r="L261" i="40"/>
  <c r="K262" i="40"/>
  <c r="L262" i="40"/>
  <c r="J262" i="40"/>
  <c r="K263" i="40"/>
  <c r="L263" i="40"/>
  <c r="K264" i="40"/>
  <c r="L264" i="40"/>
  <c r="K265" i="40"/>
  <c r="M265" i="40" s="1"/>
  <c r="L265" i="40"/>
  <c r="K266" i="40"/>
  <c r="M266" i="40" s="1"/>
  <c r="L266" i="40"/>
  <c r="K267" i="40"/>
  <c r="M267" i="40" s="1"/>
  <c r="L267" i="40"/>
  <c r="K268" i="40"/>
  <c r="L268" i="40"/>
  <c r="K269" i="40"/>
  <c r="M269" i="40" s="1"/>
  <c r="L269" i="40"/>
  <c r="K270" i="40"/>
  <c r="L270" i="40"/>
  <c r="K271" i="40"/>
  <c r="L271" i="40"/>
  <c r="K272" i="40"/>
  <c r="M272" i="40" s="1"/>
  <c r="L272" i="40"/>
  <c r="K273" i="40"/>
  <c r="L273" i="40"/>
  <c r="J273" i="40"/>
  <c r="K274" i="40"/>
  <c r="M274" i="40" s="1"/>
  <c r="L274" i="40"/>
  <c r="K275" i="40"/>
  <c r="L275" i="40"/>
  <c r="K276" i="40"/>
  <c r="L276" i="40"/>
  <c r="M276" i="40" s="1"/>
  <c r="K277" i="40"/>
  <c r="L277" i="40"/>
  <c r="J277" i="40"/>
  <c r="K278" i="40"/>
  <c r="L278" i="40"/>
  <c r="M278" i="40"/>
  <c r="K279" i="40"/>
  <c r="M279" i="40" s="1"/>
  <c r="L279" i="40"/>
  <c r="K280" i="40"/>
  <c r="L280" i="40"/>
  <c r="J280" i="40"/>
  <c r="K281" i="40"/>
  <c r="L281" i="40"/>
  <c r="K282" i="40"/>
  <c r="L282" i="40"/>
  <c r="K283" i="40"/>
  <c r="L283" i="40"/>
  <c r="K284" i="40"/>
  <c r="L284" i="40"/>
  <c r="M284" i="40" s="1"/>
  <c r="K285" i="40"/>
  <c r="L285" i="40"/>
  <c r="K286" i="40"/>
  <c r="L286" i="40"/>
  <c r="K287" i="40"/>
  <c r="L287" i="40"/>
  <c r="K288" i="40"/>
  <c r="L288" i="40"/>
  <c r="K289" i="40"/>
  <c r="M289" i="40" s="1"/>
  <c r="L289" i="40"/>
  <c r="K290" i="40"/>
  <c r="M290" i="40" s="1"/>
  <c r="L290" i="40"/>
  <c r="K291" i="40"/>
  <c r="L291" i="40"/>
  <c r="K292" i="40"/>
  <c r="L292" i="40"/>
  <c r="M292" i="40" s="1"/>
  <c r="K293" i="40"/>
  <c r="L293" i="40"/>
  <c r="K294" i="40"/>
  <c r="L294" i="40"/>
  <c r="K295" i="40"/>
  <c r="M295" i="40" s="1"/>
  <c r="L295" i="40"/>
  <c r="K296" i="40"/>
  <c r="L296" i="40"/>
  <c r="K297" i="40"/>
  <c r="M297" i="40" s="1"/>
  <c r="L297" i="40"/>
  <c r="K298" i="40"/>
  <c r="L298" i="40"/>
  <c r="K299" i="40"/>
  <c r="M299" i="40" s="1"/>
  <c r="L299" i="40"/>
  <c r="K300" i="40"/>
  <c r="L300" i="40"/>
  <c r="K301" i="40"/>
  <c r="L301" i="40"/>
  <c r="J301" i="40"/>
  <c r="I301" i="40"/>
  <c r="K302" i="40"/>
  <c r="L302" i="40"/>
  <c r="K303" i="40"/>
  <c r="L303" i="40"/>
  <c r="K304" i="40"/>
  <c r="L304" i="40"/>
  <c r="M304" i="40" s="1"/>
  <c r="K305" i="40"/>
  <c r="L305" i="40"/>
  <c r="K306" i="40"/>
  <c r="L306" i="40"/>
  <c r="I167" i="40"/>
  <c r="I168" i="40"/>
  <c r="J168" i="40"/>
  <c r="I169" i="40"/>
  <c r="J169" i="40"/>
  <c r="I174" i="40"/>
  <c r="J174" i="40"/>
  <c r="I188" i="40"/>
  <c r="J188" i="40"/>
  <c r="I195" i="40"/>
  <c r="J195" i="40"/>
  <c r="I196" i="40"/>
  <c r="I201" i="40"/>
  <c r="I202" i="40"/>
  <c r="J202" i="40"/>
  <c r="I203" i="40"/>
  <c r="J203" i="40"/>
  <c r="I204" i="40"/>
  <c r="I206" i="40"/>
  <c r="I207" i="40"/>
  <c r="I208" i="40"/>
  <c r="I209" i="40"/>
  <c r="I213" i="40"/>
  <c r="I215" i="40"/>
  <c r="I216" i="40"/>
  <c r="I217" i="40"/>
  <c r="I218" i="40"/>
  <c r="I219" i="40"/>
  <c r="I220" i="40"/>
  <c r="I221" i="40"/>
  <c r="I222" i="40"/>
  <c r="J222" i="40"/>
  <c r="I223" i="40"/>
  <c r="J223" i="40"/>
  <c r="I224" i="40"/>
  <c r="J224" i="40"/>
  <c r="I225" i="40"/>
  <c r="I226" i="40"/>
  <c r="I228" i="40"/>
  <c r="I229" i="40"/>
  <c r="I230" i="40"/>
  <c r="I232" i="40"/>
  <c r="J232" i="40"/>
  <c r="I233" i="40"/>
  <c r="J233" i="40"/>
  <c r="I235" i="40"/>
  <c r="J235" i="40"/>
  <c r="I236" i="40"/>
  <c r="J236" i="40"/>
  <c r="I237" i="40"/>
  <c r="J237" i="40"/>
  <c r="I238" i="40"/>
  <c r="I239" i="40"/>
  <c r="I240" i="40"/>
  <c r="I241" i="40"/>
  <c r="J241" i="40"/>
  <c r="I242" i="40"/>
  <c r="I243" i="40"/>
  <c r="J243" i="40"/>
  <c r="I244" i="40"/>
  <c r="J244" i="40"/>
  <c r="I245" i="40"/>
  <c r="J245" i="40"/>
  <c r="I246" i="40"/>
  <c r="J246" i="40"/>
  <c r="I247" i="40"/>
  <c r="I248" i="40"/>
  <c r="J248" i="40"/>
  <c r="I249" i="40"/>
  <c r="I250" i="40"/>
  <c r="J250" i="40"/>
  <c r="I251" i="40"/>
  <c r="J251" i="40"/>
  <c r="I252" i="40"/>
  <c r="I253" i="40"/>
  <c r="I254" i="40"/>
  <c r="J254" i="40"/>
  <c r="I256" i="40"/>
  <c r="J256" i="40"/>
  <c r="I257" i="40"/>
  <c r="J257" i="40"/>
  <c r="I258" i="40"/>
  <c r="J258" i="40"/>
  <c r="I259" i="40"/>
  <c r="J259" i="40"/>
  <c r="I260" i="40"/>
  <c r="J260" i="40"/>
  <c r="I261" i="40"/>
  <c r="J261" i="40"/>
  <c r="I262" i="40"/>
  <c r="I263" i="40"/>
  <c r="J263" i="40"/>
  <c r="I264" i="40"/>
  <c r="J264" i="40"/>
  <c r="I265" i="40"/>
  <c r="J265" i="40"/>
  <c r="I266" i="40"/>
  <c r="J266" i="40"/>
  <c r="I267" i="40"/>
  <c r="J267" i="40"/>
  <c r="I268" i="40"/>
  <c r="J268" i="40"/>
  <c r="I269" i="40"/>
  <c r="J269" i="40"/>
  <c r="I270" i="40"/>
  <c r="J270" i="40"/>
  <c r="I271" i="40"/>
  <c r="J271" i="40"/>
  <c r="I272" i="40"/>
  <c r="J272" i="40"/>
  <c r="I273" i="40"/>
  <c r="I274" i="40"/>
  <c r="J274" i="40"/>
  <c r="I275" i="40"/>
  <c r="J275" i="40"/>
  <c r="I276" i="40"/>
  <c r="J276" i="40"/>
  <c r="I277" i="40"/>
  <c r="I278" i="40"/>
  <c r="J278" i="40"/>
  <c r="I279" i="40"/>
  <c r="J279" i="40"/>
  <c r="I280" i="40"/>
  <c r="I281" i="40"/>
  <c r="J281" i="40"/>
  <c r="I282" i="40"/>
  <c r="J282" i="40"/>
  <c r="I283" i="40"/>
  <c r="J283" i="40"/>
  <c r="I284" i="40"/>
  <c r="J284" i="40"/>
  <c r="I285" i="40"/>
  <c r="J285" i="40"/>
  <c r="I286" i="40"/>
  <c r="J286" i="40"/>
  <c r="I287" i="40"/>
  <c r="J287" i="40"/>
  <c r="I288" i="40"/>
  <c r="J288" i="40"/>
  <c r="I289" i="40"/>
  <c r="J289" i="40"/>
  <c r="I290" i="40"/>
  <c r="J290" i="40"/>
  <c r="I291" i="40"/>
  <c r="J291" i="40"/>
  <c r="I292" i="40"/>
  <c r="J292" i="40"/>
  <c r="I293" i="40"/>
  <c r="J293" i="40"/>
  <c r="I294" i="40"/>
  <c r="J294" i="40"/>
  <c r="I295" i="40"/>
  <c r="J295" i="40"/>
  <c r="I296" i="40"/>
  <c r="J296" i="40"/>
  <c r="I297" i="40"/>
  <c r="J297" i="40"/>
  <c r="I298" i="40"/>
  <c r="J298" i="40"/>
  <c r="I299" i="40"/>
  <c r="J299" i="40"/>
  <c r="I300" i="40"/>
  <c r="J300" i="40"/>
  <c r="I302" i="40"/>
  <c r="J302" i="40"/>
  <c r="I303" i="40"/>
  <c r="J303" i="40"/>
  <c r="I304" i="40"/>
  <c r="J304" i="40"/>
  <c r="I305" i="40"/>
  <c r="J305" i="40"/>
  <c r="I306" i="40"/>
  <c r="J306" i="40"/>
  <c r="J166" i="40"/>
  <c r="K166" i="40"/>
  <c r="L166" i="40"/>
  <c r="I166" i="40"/>
  <c r="AO137" i="40"/>
  <c r="O137" i="40"/>
  <c r="AO128" i="40"/>
  <c r="O128" i="40"/>
  <c r="AO6" i="40"/>
  <c r="O6" i="40"/>
  <c r="AO29" i="40"/>
  <c r="O29" i="40"/>
  <c r="AO13" i="40"/>
  <c r="O13" i="40"/>
  <c r="Q167" i="40"/>
  <c r="Q168" i="40"/>
  <c r="Q169" i="40"/>
  <c r="Q170" i="40"/>
  <c r="Q171" i="40"/>
  <c r="Q172" i="40"/>
  <c r="Q173" i="40"/>
  <c r="P174" i="40"/>
  <c r="Q174" i="40"/>
  <c r="Q175" i="40"/>
  <c r="Q176" i="40"/>
  <c r="Q177" i="40"/>
  <c r="Q178" i="40"/>
  <c r="Q179" i="40"/>
  <c r="Q180" i="40"/>
  <c r="Q181" i="40"/>
  <c r="Q182" i="40"/>
  <c r="Q183" i="40"/>
  <c r="Q184" i="40"/>
  <c r="Q185" i="40"/>
  <c r="Q186" i="40"/>
  <c r="Q187" i="40"/>
  <c r="Q188" i="40"/>
  <c r="Q189" i="40"/>
  <c r="P190" i="40"/>
  <c r="Q190" i="40"/>
  <c r="P191" i="40"/>
  <c r="Q191" i="40"/>
  <c r="Q192" i="40"/>
  <c r="Q193" i="40"/>
  <c r="Q194" i="40"/>
  <c r="Q195" i="40"/>
  <c r="Q196" i="40"/>
  <c r="Q197" i="40"/>
  <c r="Q198" i="40"/>
  <c r="Q199" i="40"/>
  <c r="Q200" i="40"/>
  <c r="Q201" i="40"/>
  <c r="Q202" i="40"/>
  <c r="Q203" i="40"/>
  <c r="Q204" i="40"/>
  <c r="Q205" i="40"/>
  <c r="Q206" i="40"/>
  <c r="Q207" i="40"/>
  <c r="Q208" i="40"/>
  <c r="Q209" i="40"/>
  <c r="Q210" i="40"/>
  <c r="Q211" i="40"/>
  <c r="Q212" i="40"/>
  <c r="Q213" i="40"/>
  <c r="Q214" i="40"/>
  <c r="Q215" i="40"/>
  <c r="Q216" i="40"/>
  <c r="Q217" i="40"/>
  <c r="Q218" i="40"/>
  <c r="Q219" i="40"/>
  <c r="Q220" i="40"/>
  <c r="Q221" i="40"/>
  <c r="Q222" i="40"/>
  <c r="Q223" i="40"/>
  <c r="Q224" i="40"/>
  <c r="Q225" i="40"/>
  <c r="Q226" i="40"/>
  <c r="Q227" i="40"/>
  <c r="Q228" i="40"/>
  <c r="Q229" i="40"/>
  <c r="Q230" i="40"/>
  <c r="Q231" i="40"/>
  <c r="Q232" i="40"/>
  <c r="Q233" i="40"/>
  <c r="Q234" i="40"/>
  <c r="Q235" i="40"/>
  <c r="Q236" i="40"/>
  <c r="Q237" i="40"/>
  <c r="Q238" i="40"/>
  <c r="Q239" i="40"/>
  <c r="Q240" i="40"/>
  <c r="Q241" i="40"/>
  <c r="Q242" i="40"/>
  <c r="Q243" i="40"/>
  <c r="Q244" i="40"/>
  <c r="Q245" i="40"/>
  <c r="Q246" i="40"/>
  <c r="Q247" i="40"/>
  <c r="Q248" i="40"/>
  <c r="Q249" i="40"/>
  <c r="Q250" i="40"/>
  <c r="Q251" i="40"/>
  <c r="Q252" i="40"/>
  <c r="Q253" i="40"/>
  <c r="Q254" i="40"/>
  <c r="Q255" i="40"/>
  <c r="Q256" i="40"/>
  <c r="Q257" i="40"/>
  <c r="Q258" i="40"/>
  <c r="Q259" i="40"/>
  <c r="Q260" i="40"/>
  <c r="Q261" i="40"/>
  <c r="Q262" i="40"/>
  <c r="Q263" i="40"/>
  <c r="Q264" i="40"/>
  <c r="Q265" i="40"/>
  <c r="Q266" i="40"/>
  <c r="Q267" i="40"/>
  <c r="Q268" i="40"/>
  <c r="Q269" i="40"/>
  <c r="Q270" i="40"/>
  <c r="Q271" i="40"/>
  <c r="Q272" i="40"/>
  <c r="Q273" i="40"/>
  <c r="Q274" i="40"/>
  <c r="Q275" i="40"/>
  <c r="Q276" i="40"/>
  <c r="Q277" i="40"/>
  <c r="Q278" i="40"/>
  <c r="Q279" i="40"/>
  <c r="Q280" i="40"/>
  <c r="Q281" i="40"/>
  <c r="Q282" i="40"/>
  <c r="Q283" i="40"/>
  <c r="Q284" i="40"/>
  <c r="Q285" i="40"/>
  <c r="Q286" i="40"/>
  <c r="Q287" i="40"/>
  <c r="Q288" i="40"/>
  <c r="P289" i="40"/>
  <c r="Q289" i="40"/>
  <c r="Q290" i="40"/>
  <c r="Q291" i="40"/>
  <c r="Q292" i="40"/>
  <c r="Q293" i="40"/>
  <c r="Q294" i="40"/>
  <c r="Q295" i="40"/>
  <c r="Q296" i="40"/>
  <c r="Q297" i="40"/>
  <c r="Q298" i="40"/>
  <c r="Q299" i="40"/>
  <c r="Q300" i="40"/>
  <c r="Q301" i="40"/>
  <c r="Q302" i="40"/>
  <c r="Q303" i="40"/>
  <c r="Q304" i="40"/>
  <c r="Q305" i="40"/>
  <c r="Q306" i="40"/>
  <c r="E25" i="2"/>
  <c r="E26" i="2"/>
  <c r="B218" i="2"/>
  <c r="C273" i="2"/>
  <c r="B216" i="2"/>
  <c r="D271" i="2"/>
  <c r="D270" i="2"/>
  <c r="C269" i="2"/>
  <c r="B212" i="2"/>
  <c r="B211" i="2"/>
  <c r="C266" i="2"/>
  <c r="B209" i="2"/>
  <c r="C264" i="2"/>
  <c r="D263" i="2"/>
  <c r="B206" i="2"/>
  <c r="B205" i="2"/>
  <c r="D260" i="2"/>
  <c r="C259" i="2"/>
  <c r="C258" i="2"/>
  <c r="C257" i="2"/>
  <c r="C863" i="2" s="1"/>
  <c r="C256" i="2"/>
  <c r="C862" i="2" s="1"/>
  <c r="D255" i="2"/>
  <c r="C254" i="2"/>
  <c r="C860" i="2" s="1"/>
  <c r="D253" i="2"/>
  <c r="B196" i="2"/>
  <c r="B195" i="2"/>
  <c r="B194" i="2"/>
  <c r="D249" i="2"/>
  <c r="C248" i="2"/>
  <c r="C247" i="2"/>
  <c r="B190" i="2"/>
  <c r="C245" i="2"/>
  <c r="D244" i="2"/>
  <c r="B187" i="2"/>
  <c r="B186" i="2"/>
  <c r="B185" i="2"/>
  <c r="D240" i="2"/>
  <c r="C239" i="2"/>
  <c r="B239" i="2" s="1"/>
  <c r="C238" i="2"/>
  <c r="C844" i="2" s="1"/>
  <c r="D237" i="2"/>
  <c r="D236" i="2"/>
  <c r="B179" i="2"/>
  <c r="B178" i="2"/>
  <c r="D233" i="2"/>
  <c r="C232" i="2"/>
  <c r="B175" i="2"/>
  <c r="B174" i="2"/>
  <c r="C229" i="2"/>
  <c r="D228" i="2"/>
  <c r="B171" i="2"/>
  <c r="C226" i="2"/>
  <c r="C225" i="2"/>
  <c r="B225" i="2" s="1"/>
  <c r="D224" i="2"/>
  <c r="C223" i="2"/>
  <c r="B223" i="2" s="1"/>
  <c r="B166" i="2"/>
  <c r="C221" i="2"/>
  <c r="D220" i="2"/>
  <c r="D219" i="2"/>
  <c r="B135" i="2"/>
  <c r="B99" i="2"/>
  <c r="B63" i="2"/>
  <c r="B33" i="2"/>
  <c r="C806" i="2"/>
  <c r="C807" i="2"/>
  <c r="C808" i="2"/>
  <c r="C809" i="2"/>
  <c r="C810" i="2"/>
  <c r="C811" i="2"/>
  <c r="C812" i="2"/>
  <c r="C813" i="2"/>
  <c r="C814" i="2"/>
  <c r="C815" i="2"/>
  <c r="C816" i="2"/>
  <c r="C817" i="2"/>
  <c r="C818" i="2"/>
  <c r="C819" i="2"/>
  <c r="C821" i="2"/>
  <c r="C822" i="2"/>
  <c r="C823" i="2"/>
  <c r="C824" i="2"/>
  <c r="C805" i="2"/>
  <c r="K9" i="5"/>
  <c r="J9" i="5"/>
  <c r="I9" i="5"/>
  <c r="K8" i="5"/>
  <c r="J8" i="5"/>
  <c r="I8" i="5"/>
  <c r="B804" i="2"/>
  <c r="B162" i="2"/>
  <c r="B27" i="2"/>
  <c r="B26" i="2"/>
  <c r="B25" i="2"/>
  <c r="B23" i="2"/>
  <c r="AO10" i="40"/>
  <c r="AO34" i="40"/>
  <c r="AO42" i="40"/>
  <c r="AO62" i="40"/>
  <c r="AO75" i="40"/>
  <c r="AO77" i="40"/>
  <c r="AO11" i="40"/>
  <c r="AO143" i="40"/>
  <c r="AO122" i="40"/>
  <c r="AO131" i="40"/>
  <c r="AO126" i="40"/>
  <c r="AO46" i="40"/>
  <c r="AO38" i="40"/>
  <c r="AO12" i="40"/>
  <c r="AO114" i="40"/>
  <c r="AO14" i="40"/>
  <c r="AO44" i="40"/>
  <c r="AO135" i="40"/>
  <c r="AO15" i="40"/>
  <c r="AO134" i="40"/>
  <c r="AO16" i="40"/>
  <c r="AO139" i="40"/>
  <c r="AO138" i="40"/>
  <c r="AO54" i="40"/>
  <c r="AO95" i="40"/>
  <c r="AO17" i="40"/>
  <c r="AO41" i="40"/>
  <c r="AO48" i="40"/>
  <c r="AO113" i="40"/>
  <c r="AO93" i="40"/>
  <c r="AO102" i="40"/>
  <c r="AO120" i="40"/>
  <c r="AO82" i="40"/>
  <c r="AO81" i="40"/>
  <c r="AO107" i="40"/>
  <c r="AO110" i="40"/>
  <c r="AO142" i="40"/>
  <c r="AO119" i="40"/>
  <c r="AO39" i="40"/>
  <c r="AO18" i="40"/>
  <c r="AO129" i="40"/>
  <c r="AO36" i="40"/>
  <c r="AO68" i="40"/>
  <c r="AO47" i="40"/>
  <c r="AO7" i="40"/>
  <c r="AO74" i="40"/>
  <c r="AO90" i="40"/>
  <c r="AO97" i="40"/>
  <c r="AO8" i="40"/>
  <c r="AO96" i="40"/>
  <c r="AO108" i="40"/>
  <c r="AO35" i="40"/>
  <c r="AO111" i="40"/>
  <c r="AO52" i="40"/>
  <c r="AO125" i="40"/>
  <c r="AO94" i="40"/>
  <c r="AO121" i="40"/>
  <c r="AO60" i="40"/>
  <c r="AO100" i="40"/>
  <c r="AO116" i="40"/>
  <c r="AO140" i="40"/>
  <c r="AO19" i="40"/>
  <c r="AO20" i="40"/>
  <c r="AO124" i="40"/>
  <c r="AO98" i="40"/>
  <c r="AO133" i="40"/>
  <c r="AO92" i="40"/>
  <c r="AO117" i="40"/>
  <c r="AO66" i="40"/>
  <c r="AO71" i="40"/>
  <c r="AO21" i="40"/>
  <c r="AO22" i="40"/>
  <c r="AO101" i="40"/>
  <c r="AO9" i="40"/>
  <c r="AO23" i="40"/>
  <c r="AO88" i="40"/>
  <c r="AO24" i="40"/>
  <c r="AO25" i="40"/>
  <c r="AO51" i="40"/>
  <c r="AO26" i="40"/>
  <c r="AO79" i="40"/>
  <c r="AO27" i="40"/>
  <c r="AO99" i="40"/>
  <c r="AO28" i="40"/>
  <c r="AO118" i="40"/>
  <c r="AO72" i="40"/>
  <c r="AO104" i="40"/>
  <c r="AO30" i="40"/>
  <c r="AO86" i="40"/>
  <c r="AO50" i="40"/>
  <c r="AO64" i="40"/>
  <c r="AO69" i="40"/>
  <c r="AO63" i="40"/>
  <c r="AO53" i="40"/>
  <c r="AO37" i="40"/>
  <c r="AO70" i="40"/>
  <c r="AO80" i="40"/>
  <c r="AO106" i="40"/>
  <c r="AO84" i="40"/>
  <c r="AO87" i="40"/>
  <c r="AO31" i="40"/>
  <c r="AO132" i="40"/>
  <c r="AO123" i="40"/>
  <c r="AO136" i="40"/>
  <c r="AO141" i="40"/>
  <c r="AO127" i="40"/>
  <c r="AO145" i="40"/>
  <c r="AO103" i="40"/>
  <c r="AO115" i="40"/>
  <c r="AO61" i="40"/>
  <c r="AO130" i="40"/>
  <c r="AO105" i="40"/>
  <c r="AO78" i="40"/>
  <c r="AO144" i="40"/>
  <c r="AO85" i="40"/>
  <c r="AO112" i="40"/>
  <c r="AO32" i="40"/>
  <c r="AO45" i="40"/>
  <c r="AO91" i="40"/>
  <c r="AO73" i="40"/>
  <c r="AO49" i="40"/>
  <c r="AO83" i="40"/>
  <c r="AO55" i="40"/>
  <c r="AO33" i="40"/>
  <c r="AO65" i="40"/>
  <c r="AO59" i="40"/>
  <c r="AO43" i="40"/>
  <c r="AO109" i="40"/>
  <c r="AO89" i="40"/>
  <c r="AO67" i="40"/>
  <c r="AO56" i="40"/>
  <c r="AO76" i="40"/>
  <c r="AO57" i="40"/>
  <c r="AO58" i="40"/>
  <c r="AO40" i="40"/>
  <c r="A85" i="33"/>
  <c r="A88" i="33"/>
  <c r="B10" i="43"/>
  <c r="B25" i="43" s="1"/>
  <c r="B27" i="43"/>
  <c r="B19" i="43"/>
  <c r="B13" i="43"/>
  <c r="A13" i="43" s="1"/>
  <c r="A12" i="43"/>
  <c r="B33" i="43"/>
  <c r="B37" i="43"/>
  <c r="B44" i="43"/>
  <c r="B48" i="43"/>
  <c r="B54" i="43"/>
  <c r="B58" i="43"/>
  <c r="B448" i="43"/>
  <c r="B445" i="43"/>
  <c r="D445" i="43" s="1"/>
  <c r="E445" i="43" s="1"/>
  <c r="F445" i="43" s="1"/>
  <c r="G445" i="43" s="1"/>
  <c r="H445" i="43" s="1"/>
  <c r="I445" i="43" s="1"/>
  <c r="J445" i="43" s="1"/>
  <c r="K445" i="43" s="1"/>
  <c r="B437" i="43"/>
  <c r="B431" i="43"/>
  <c r="B423" i="43"/>
  <c r="B417" i="43"/>
  <c r="B409" i="43"/>
  <c r="B406" i="43"/>
  <c r="B398" i="43"/>
  <c r="B392" i="43"/>
  <c r="A392" i="43" s="1"/>
  <c r="B384" i="43"/>
  <c r="D384" i="43" s="1"/>
  <c r="E384" i="43" s="1"/>
  <c r="F384" i="43" s="1"/>
  <c r="G384" i="43" s="1"/>
  <c r="H384" i="43" s="1"/>
  <c r="I384" i="43" s="1"/>
  <c r="J384" i="43" s="1"/>
  <c r="K384" i="43" s="1"/>
  <c r="B381" i="43"/>
  <c r="B373" i="43"/>
  <c r="B367" i="43"/>
  <c r="B359" i="43"/>
  <c r="B353" i="43"/>
  <c r="B345" i="43"/>
  <c r="A345" i="43" s="1"/>
  <c r="B342" i="43"/>
  <c r="B334" i="43"/>
  <c r="B328" i="43"/>
  <c r="B320" i="43"/>
  <c r="B317" i="43"/>
  <c r="B309" i="43"/>
  <c r="B303" i="43"/>
  <c r="C303" i="43" s="1"/>
  <c r="B295" i="43"/>
  <c r="A295" i="43" s="1"/>
  <c r="B289" i="43"/>
  <c r="C289" i="43" s="1"/>
  <c r="B281" i="43"/>
  <c r="B278" i="43"/>
  <c r="B270" i="43"/>
  <c r="B264" i="43"/>
  <c r="B256" i="43"/>
  <c r="B253" i="43"/>
  <c r="B245" i="43"/>
  <c r="A245" i="43" s="1"/>
  <c r="B239" i="43"/>
  <c r="C239" i="43" s="1"/>
  <c r="B231" i="43"/>
  <c r="D231" i="43" s="1"/>
  <c r="E231" i="43" s="1"/>
  <c r="F231" i="43" s="1"/>
  <c r="G231" i="43" s="1"/>
  <c r="H231" i="43" s="1"/>
  <c r="I231" i="43" s="1"/>
  <c r="J231" i="43" s="1"/>
  <c r="K231" i="43" s="1"/>
  <c r="B225" i="43"/>
  <c r="B217" i="43"/>
  <c r="B214" i="43"/>
  <c r="B206" i="43"/>
  <c r="A206" i="43" s="1"/>
  <c r="B200" i="43"/>
  <c r="B192" i="43"/>
  <c r="A192" i="43" s="1"/>
  <c r="B189" i="43"/>
  <c r="B181" i="43"/>
  <c r="B175" i="43"/>
  <c r="B169" i="43"/>
  <c r="D169" i="43" s="1"/>
  <c r="E169" i="43" s="1"/>
  <c r="F169" i="43" s="1"/>
  <c r="G169" i="43" s="1"/>
  <c r="H169" i="43" s="1"/>
  <c r="I169" i="43" s="1"/>
  <c r="J169" i="43" s="1"/>
  <c r="K169" i="43" s="1"/>
  <c r="B166" i="43"/>
  <c r="B161" i="43"/>
  <c r="B158" i="43"/>
  <c r="B153" i="43"/>
  <c r="B150" i="43"/>
  <c r="B145" i="43"/>
  <c r="B142" i="43"/>
  <c r="B137" i="43"/>
  <c r="B134" i="43"/>
  <c r="B129" i="43"/>
  <c r="B126" i="43"/>
  <c r="B121" i="43"/>
  <c r="D121" i="43" s="1"/>
  <c r="E121" i="43" s="1"/>
  <c r="F121" i="43" s="1"/>
  <c r="G121" i="43" s="1"/>
  <c r="H121" i="43" s="1"/>
  <c r="I121" i="43" s="1"/>
  <c r="J121" i="43" s="1"/>
  <c r="K121" i="43" s="1"/>
  <c r="B118" i="43"/>
  <c r="B113" i="43"/>
  <c r="D113" i="43" s="1"/>
  <c r="E113" i="43" s="1"/>
  <c r="F113" i="43" s="1"/>
  <c r="G113" i="43" s="1"/>
  <c r="H113" i="43" s="1"/>
  <c r="I113" i="43" s="1"/>
  <c r="J113" i="43" s="1"/>
  <c r="K113" i="43" s="1"/>
  <c r="B110" i="43"/>
  <c r="B105" i="43"/>
  <c r="B102" i="43"/>
  <c r="B97" i="43"/>
  <c r="B94" i="43"/>
  <c r="B89" i="43"/>
  <c r="B86" i="43"/>
  <c r="B81" i="43"/>
  <c r="B78" i="43"/>
  <c r="B73" i="43"/>
  <c r="B70" i="43"/>
  <c r="B65" i="43"/>
  <c r="D65" i="43" s="1"/>
  <c r="E65" i="43" s="1"/>
  <c r="F65" i="43" s="1"/>
  <c r="G65" i="43" s="1"/>
  <c r="H65" i="43" s="1"/>
  <c r="I65" i="43" s="1"/>
  <c r="J65" i="43" s="1"/>
  <c r="K65" i="43" s="1"/>
  <c r="C437" i="43"/>
  <c r="C423" i="43"/>
  <c r="C398" i="43"/>
  <c r="C384" i="43"/>
  <c r="C231" i="43"/>
  <c r="C225" i="43"/>
  <c r="C169" i="43"/>
  <c r="C65" i="43"/>
  <c r="J451" i="43"/>
  <c r="A406" i="43"/>
  <c r="A384" i="43"/>
  <c r="A381" i="43"/>
  <c r="A359" i="43"/>
  <c r="A342" i="43"/>
  <c r="A334" i="43"/>
  <c r="A328" i="43"/>
  <c r="A320" i="43"/>
  <c r="A309" i="43"/>
  <c r="A281" i="43"/>
  <c r="A278" i="43"/>
  <c r="A270" i="43"/>
  <c r="A256" i="43"/>
  <c r="A253" i="43"/>
  <c r="A231" i="43"/>
  <c r="A217" i="43"/>
  <c r="A189" i="43"/>
  <c r="A181" i="43"/>
  <c r="A169" i="43"/>
  <c r="A161" i="43"/>
  <c r="A150" i="43"/>
  <c r="A73" i="43"/>
  <c r="A81" i="43"/>
  <c r="A89" i="43"/>
  <c r="A97" i="43"/>
  <c r="A105" i="43"/>
  <c r="A113" i="43"/>
  <c r="A129" i="43"/>
  <c r="A137" i="43"/>
  <c r="A145" i="43"/>
  <c r="AN12" i="40"/>
  <c r="AN114" i="40"/>
  <c r="AN54" i="40"/>
  <c r="AN95" i="40"/>
  <c r="AN102" i="40"/>
  <c r="AN120" i="40"/>
  <c r="AN82" i="40"/>
  <c r="AN129" i="40"/>
  <c r="AN7" i="40"/>
  <c r="AN97" i="40"/>
  <c r="AN8" i="40"/>
  <c r="AN125" i="40"/>
  <c r="AN140" i="40"/>
  <c r="AN20" i="40"/>
  <c r="AN98" i="40"/>
  <c r="AN21" i="40"/>
  <c r="AN22" i="40"/>
  <c r="AN51" i="40"/>
  <c r="AN26" i="40"/>
  <c r="AN104" i="40"/>
  <c r="AN30" i="40"/>
  <c r="AN86" i="40"/>
  <c r="AN70" i="40"/>
  <c r="AN80" i="40"/>
  <c r="AN136" i="40"/>
  <c r="AN141" i="40"/>
  <c r="AN115" i="40"/>
  <c r="AN78" i="40"/>
  <c r="AN91" i="40"/>
  <c r="AN49" i="40"/>
  <c r="AN65" i="40"/>
  <c r="AN43" i="40"/>
  <c r="AN40" i="40"/>
  <c r="AN34" i="40"/>
  <c r="AN11" i="40"/>
  <c r="AN122" i="40"/>
  <c r="AN131" i="40"/>
  <c r="AN126" i="40"/>
  <c r="D5" i="39"/>
  <c r="AN113" i="40" s="1"/>
  <c r="D4" i="39"/>
  <c r="AL138" i="40" s="1"/>
  <c r="AL108" i="40"/>
  <c r="AL19" i="40"/>
  <c r="AL88" i="40"/>
  <c r="AL31" i="40"/>
  <c r="AL85" i="40"/>
  <c r="O26" i="40"/>
  <c r="O67" i="40"/>
  <c r="O30" i="40"/>
  <c r="E40" i="41"/>
  <c r="N42" i="40" s="1"/>
  <c r="P42" i="40" s="1"/>
  <c r="E38" i="41"/>
  <c r="E16" i="41"/>
  <c r="E14" i="41"/>
  <c r="N56" i="40" s="1"/>
  <c r="E28" i="41"/>
  <c r="E26" i="41"/>
  <c r="N67" i="40" s="1"/>
  <c r="P67" i="40" s="1"/>
  <c r="E44" i="41"/>
  <c r="E15" i="41"/>
  <c r="E13" i="41"/>
  <c r="N33" i="40" s="1"/>
  <c r="P33" i="40" s="1"/>
  <c r="E39" i="41"/>
  <c r="E37" i="41"/>
  <c r="E35" i="41"/>
  <c r="N54" i="40" s="1"/>
  <c r="E33" i="41"/>
  <c r="N105" i="40" s="1"/>
  <c r="E27" i="41"/>
  <c r="E25" i="41"/>
  <c r="N53" i="40" s="1"/>
  <c r="P53" i="40" s="1"/>
  <c r="E12" i="41"/>
  <c r="E24" i="41"/>
  <c r="E23" i="41"/>
  <c r="E43" i="41"/>
  <c r="N26" i="40" s="1"/>
  <c r="P26" i="40" s="1"/>
  <c r="AB187" i="40" s="1"/>
  <c r="E34" i="41"/>
  <c r="E32" i="41"/>
  <c r="E11" i="41"/>
  <c r="E22" i="41"/>
  <c r="N66" i="40" s="1"/>
  <c r="P66" i="40" s="1"/>
  <c r="AC227" i="40" s="1"/>
  <c r="E36" i="41"/>
  <c r="N117" i="40" s="1"/>
  <c r="E31" i="41"/>
  <c r="E21" i="41"/>
  <c r="E20" i="41"/>
  <c r="N60" i="40" s="1"/>
  <c r="O60" i="40" s="1"/>
  <c r="E30" i="41"/>
  <c r="E19" i="41"/>
  <c r="E18" i="41"/>
  <c r="N142" i="40" s="1"/>
  <c r="P142" i="40" s="1"/>
  <c r="E17" i="41"/>
  <c r="E42" i="41"/>
  <c r="E10" i="41"/>
  <c r="N17" i="40" s="1"/>
  <c r="P17" i="40" s="1"/>
  <c r="E9" i="41"/>
  <c r="N95" i="40" s="1"/>
  <c r="P95" i="40" s="1"/>
  <c r="E41" i="41"/>
  <c r="E29" i="41"/>
  <c r="N77" i="40" s="1"/>
  <c r="E8" i="41"/>
  <c r="E7" i="41"/>
  <c r="D3" i="1"/>
  <c r="C31" i="1" s="1"/>
  <c r="B142" i="2"/>
  <c r="A6" i="33"/>
  <c r="A7" i="33"/>
  <c r="A9" i="33"/>
  <c r="A11" i="33"/>
  <c r="A12" i="33"/>
  <c r="A17" i="33"/>
  <c r="A27" i="33"/>
  <c r="A34" i="33"/>
  <c r="A38" i="33"/>
  <c r="A43" i="33"/>
  <c r="A55" i="33"/>
  <c r="A60" i="33"/>
  <c r="A62" i="33"/>
  <c r="A63" i="33"/>
  <c r="A64" i="33"/>
  <c r="A65" i="33"/>
  <c r="A66" i="33"/>
  <c r="A67" i="33"/>
  <c r="A68" i="33"/>
  <c r="A69" i="33"/>
  <c r="A70" i="33"/>
  <c r="A71" i="33"/>
  <c r="A72" i="33"/>
  <c r="A75" i="33"/>
  <c r="A76" i="33"/>
  <c r="A79" i="33"/>
  <c r="A80" i="33"/>
  <c r="A81" i="33"/>
  <c r="A82" i="33"/>
  <c r="B138" i="2"/>
  <c r="B137" i="2"/>
  <c r="B136" i="2"/>
  <c r="B129" i="2"/>
  <c r="B123" i="2"/>
  <c r="B117" i="2"/>
  <c r="B111" i="2"/>
  <c r="B105" i="2"/>
  <c r="B93" i="2"/>
  <c r="B87" i="2"/>
  <c r="B81" i="2"/>
  <c r="B75" i="2"/>
  <c r="B69" i="2"/>
  <c r="B57" i="2"/>
  <c r="B51" i="2"/>
  <c r="B45" i="2"/>
  <c r="B39" i="2"/>
  <c r="B798" i="2"/>
  <c r="B139" i="2"/>
  <c r="B156" i="2"/>
  <c r="B143" i="2"/>
  <c r="I11" i="5"/>
  <c r="N5" i="2" s="1"/>
  <c r="K7" i="5"/>
  <c r="J7" i="5"/>
  <c r="I7" i="5"/>
  <c r="K6" i="5"/>
  <c r="J6" i="5"/>
  <c r="I6" i="5"/>
  <c r="K5" i="5"/>
  <c r="J5" i="5"/>
  <c r="I5" i="5"/>
  <c r="K4" i="5"/>
  <c r="J4" i="5"/>
  <c r="I4" i="5"/>
  <c r="IK2" i="4"/>
  <c r="IJ2" i="4"/>
  <c r="II2" i="4"/>
  <c r="IH2" i="4"/>
  <c r="IG2" i="4"/>
  <c r="IF2" i="4"/>
  <c r="IE2" i="4"/>
  <c r="ID2" i="4"/>
  <c r="IC2" i="4"/>
  <c r="IB2" i="4"/>
  <c r="IA2" i="4"/>
  <c r="HZ2" i="4"/>
  <c r="HY2" i="4"/>
  <c r="HX2" i="4"/>
  <c r="HW2" i="4"/>
  <c r="HV2" i="4"/>
  <c r="HU2" i="4"/>
  <c r="HT2" i="4"/>
  <c r="HS2" i="4"/>
  <c r="HR2" i="4"/>
  <c r="HQ2" i="4"/>
  <c r="HP2" i="4"/>
  <c r="HO2" i="4"/>
  <c r="HN2" i="4"/>
  <c r="HM2" i="4"/>
  <c r="HL2" i="4"/>
  <c r="HK2" i="4"/>
  <c r="HJ2" i="4"/>
  <c r="HI2" i="4"/>
  <c r="HH2" i="4"/>
  <c r="HG2" i="4"/>
  <c r="HF2" i="4"/>
  <c r="HE2" i="4"/>
  <c r="HD2" i="4"/>
  <c r="HC2" i="4"/>
  <c r="HB2" i="4"/>
  <c r="HA2" i="4"/>
  <c r="GZ2" i="4"/>
  <c r="GY2" i="4"/>
  <c r="GX2" i="4"/>
  <c r="GW2" i="4"/>
  <c r="GV2" i="4"/>
  <c r="GU2" i="4"/>
  <c r="GT2" i="4"/>
  <c r="GS2" i="4"/>
  <c r="GR2" i="4"/>
  <c r="GQ2" i="4"/>
  <c r="GP2" i="4"/>
  <c r="GO2" i="4"/>
  <c r="GN2" i="4"/>
  <c r="GM2" i="4"/>
  <c r="GL2" i="4"/>
  <c r="GK2" i="4"/>
  <c r="GJ2" i="4"/>
  <c r="GI2" i="4"/>
  <c r="GH2" i="4"/>
  <c r="GG2" i="4"/>
  <c r="GF2" i="4"/>
  <c r="GE2" i="4"/>
  <c r="GD2" i="4"/>
  <c r="GC2" i="4"/>
  <c r="GB2" i="4"/>
  <c r="GA2" i="4"/>
  <c r="FZ2" i="4"/>
  <c r="FY2" i="4"/>
  <c r="FX2" i="4"/>
  <c r="FW2" i="4"/>
  <c r="FV2" i="4"/>
  <c r="FU2" i="4"/>
  <c r="FT2" i="4"/>
  <c r="FS2" i="4"/>
  <c r="FR2" i="4"/>
  <c r="FQ2" i="4"/>
  <c r="FP2" i="4"/>
  <c r="FO2" i="4"/>
  <c r="FN2" i="4"/>
  <c r="FM2" i="4"/>
  <c r="FL2" i="4"/>
  <c r="FK2" i="4"/>
  <c r="FJ2" i="4"/>
  <c r="FI2" i="4"/>
  <c r="FH2" i="4"/>
  <c r="FG2" i="4"/>
  <c r="FF2" i="4"/>
  <c r="FE2" i="4"/>
  <c r="FD2" i="4"/>
  <c r="FC2" i="4"/>
  <c r="FB2" i="4"/>
  <c r="FA2" i="4"/>
  <c r="EZ2" i="4"/>
  <c r="EY2" i="4"/>
  <c r="EX2" i="4"/>
  <c r="EW2" i="4"/>
  <c r="EV2" i="4"/>
  <c r="EU2" i="4"/>
  <c r="ET2" i="4"/>
  <c r="ES2" i="4"/>
  <c r="ER2" i="4"/>
  <c r="EQ2" i="4"/>
  <c r="EP2" i="4"/>
  <c r="EO2" i="4"/>
  <c r="EN2" i="4"/>
  <c r="EM2" i="4"/>
  <c r="EL2" i="4"/>
  <c r="EK2" i="4"/>
  <c r="EJ2" i="4"/>
  <c r="EI2" i="4"/>
  <c r="EH2" i="4"/>
  <c r="EG2" i="4"/>
  <c r="EF2" i="4"/>
  <c r="EE2" i="4"/>
  <c r="ED2" i="4"/>
  <c r="EC2" i="4"/>
  <c r="EB2" i="4"/>
  <c r="EA2" i="4"/>
  <c r="DZ2" i="4"/>
  <c r="DY2" i="4"/>
  <c r="DX2" i="4"/>
  <c r="DW2" i="4"/>
  <c r="DV2" i="4"/>
  <c r="DU2" i="4"/>
  <c r="DT2" i="4"/>
  <c r="DS2" i="4"/>
  <c r="DR2" i="4"/>
  <c r="DQ2" i="4"/>
  <c r="DP2" i="4"/>
  <c r="DO2" i="4"/>
  <c r="DN2" i="4"/>
  <c r="DM2" i="4"/>
  <c r="DL2" i="4"/>
  <c r="DK2" i="4"/>
  <c r="DJ2" i="4"/>
  <c r="DI2" i="4"/>
  <c r="DH2" i="4"/>
  <c r="DG2" i="4"/>
  <c r="DF2" i="4"/>
  <c r="DE2" i="4"/>
  <c r="DD2" i="4"/>
  <c r="DC2" i="4"/>
  <c r="DB2" i="4"/>
  <c r="DA2" i="4"/>
  <c r="CZ2" i="4"/>
  <c r="CY2" i="4"/>
  <c r="CX2" i="4"/>
  <c r="CW2" i="4"/>
  <c r="CV2" i="4"/>
  <c r="CU2" i="4"/>
  <c r="CT2" i="4"/>
  <c r="CS2" i="4"/>
  <c r="CR2" i="4"/>
  <c r="CQ2" i="4"/>
  <c r="CP2" i="4"/>
  <c r="CO2" i="4"/>
  <c r="CN2" i="4"/>
  <c r="CM2" i="4"/>
  <c r="CL2" i="4"/>
  <c r="CK2" i="4"/>
  <c r="CJ2" i="4"/>
  <c r="CI2" i="4"/>
  <c r="CH2" i="4"/>
  <c r="CG2" i="4"/>
  <c r="CF2" i="4"/>
  <c r="CE2" i="4"/>
  <c r="CD2" i="4"/>
  <c r="CC2" i="4"/>
  <c r="CB2" i="4"/>
  <c r="CA2" i="4"/>
  <c r="BZ2" i="4"/>
  <c r="BY2" i="4"/>
  <c r="BX2" i="4"/>
  <c r="BW2" i="4"/>
  <c r="BV2" i="4"/>
  <c r="BU2" i="4"/>
  <c r="BT2" i="4"/>
  <c r="BS2" i="4"/>
  <c r="BR2" i="4"/>
  <c r="BQ2" i="4"/>
  <c r="BP2" i="4"/>
  <c r="BO2" i="4"/>
  <c r="BN2" i="4"/>
  <c r="BM2" i="4"/>
  <c r="BL2" i="4"/>
  <c r="BK2" i="4"/>
  <c r="BJ2" i="4"/>
  <c r="BI2" i="4"/>
  <c r="BH2" i="4"/>
  <c r="BG2" i="4"/>
  <c r="BF2" i="4"/>
  <c r="BE2" i="4"/>
  <c r="BD2" i="4"/>
  <c r="BC2" i="4"/>
  <c r="BB2" i="4"/>
  <c r="BA2" i="4"/>
  <c r="AZ2" i="4"/>
  <c r="AY2" i="4"/>
  <c r="AX2" i="4"/>
  <c r="AW2" i="4"/>
  <c r="AV2" i="4"/>
  <c r="AU2" i="4"/>
  <c r="AT2" i="4"/>
  <c r="AS2" i="4"/>
  <c r="AR2" i="4"/>
  <c r="AQ2" i="4"/>
  <c r="AP2" i="4"/>
  <c r="AO2" i="4"/>
  <c r="AN2" i="4"/>
  <c r="AM2" i="4"/>
  <c r="AL2" i="4"/>
  <c r="AK2" i="4"/>
  <c r="G11" i="2"/>
  <c r="D4" i="1"/>
  <c r="B141" i="2"/>
  <c r="B151" i="2"/>
  <c r="B149" i="2"/>
  <c r="B153" i="2"/>
  <c r="B147" i="2"/>
  <c r="B145" i="2"/>
  <c r="B158" i="2"/>
  <c r="B160" i="2"/>
  <c r="B140" i="2"/>
  <c r="B148" i="2"/>
  <c r="B154" i="2"/>
  <c r="B161" i="2"/>
  <c r="B159" i="2"/>
  <c r="B150" i="2"/>
  <c r="B144" i="2"/>
  <c r="B146" i="2"/>
  <c r="B157" i="2"/>
  <c r="B155" i="2"/>
  <c r="CI22" i="45"/>
  <c r="AL28" i="45"/>
  <c r="BS29" i="45"/>
  <c r="M18" i="45"/>
  <c r="H25" i="45"/>
  <c r="BO32" i="45"/>
  <c r="CN30" i="45"/>
  <c r="BK24" i="45"/>
  <c r="BE32" i="45"/>
  <c r="CG27" i="45"/>
  <c r="CN29" i="45"/>
  <c r="BY32" i="45"/>
  <c r="CM18" i="45"/>
  <c r="CM26" i="45"/>
  <c r="BY22" i="45"/>
  <c r="AY23" i="45"/>
  <c r="CG21" i="45"/>
  <c r="AZ32" i="45"/>
  <c r="BF27" i="45"/>
  <c r="CL25" i="45"/>
  <c r="X28" i="45"/>
  <c r="BW25" i="45"/>
  <c r="AN31" i="45"/>
  <c r="I22" i="45"/>
  <c r="AS19" i="45"/>
  <c r="CG23" i="45"/>
  <c r="AO24" i="45"/>
  <c r="X32" i="45"/>
  <c r="AJ32" i="45"/>
  <c r="AW20" i="45"/>
  <c r="R23" i="45"/>
  <c r="Z32" i="45"/>
  <c r="CM28" i="45"/>
  <c r="AR25" i="45"/>
  <c r="BX25" i="45"/>
  <c r="Z20" i="45"/>
  <c r="CC28" i="45"/>
  <c r="BV20" i="45"/>
  <c r="AX32" i="45"/>
  <c r="AG27" i="45"/>
  <c r="BT27" i="45"/>
  <c r="BS21" i="45"/>
  <c r="AQ29" i="45"/>
  <c r="AU30" i="45"/>
  <c r="AK23" i="45"/>
  <c r="AO30" i="45"/>
  <c r="AY26" i="45"/>
  <c r="BN20" i="45"/>
  <c r="AH25" i="45"/>
  <c r="BL26" i="45"/>
  <c r="I27" i="45"/>
  <c r="U22" i="45"/>
  <c r="BY28" i="45"/>
  <c r="BB24" i="45"/>
  <c r="Y23" i="45"/>
  <c r="T29" i="45"/>
  <c r="BN28" i="45"/>
  <c r="AD32" i="45"/>
  <c r="BC30" i="45"/>
  <c r="K30" i="45"/>
  <c r="Q29" i="45"/>
  <c r="AO22" i="45"/>
  <c r="S24" i="45"/>
  <c r="BM29" i="45"/>
  <c r="AB32" i="45"/>
  <c r="BP29" i="45"/>
  <c r="AV32" i="45"/>
  <c r="AT20" i="45"/>
  <c r="BC21" i="45"/>
  <c r="BP27" i="45"/>
  <c r="AX24" i="45"/>
  <c r="CD21" i="45"/>
  <c r="BY23" i="45"/>
  <c r="BW21" i="45"/>
  <c r="F29" i="45"/>
  <c r="CA27" i="45"/>
  <c r="BC28" i="45"/>
  <c r="AX25" i="45"/>
  <c r="BE31" i="45"/>
  <c r="AH27" i="45"/>
  <c r="AZ22" i="45"/>
  <c r="CN21" i="45"/>
  <c r="G32" i="45"/>
  <c r="AS23" i="45"/>
  <c r="L30" i="45"/>
  <c r="AD20" i="45"/>
  <c r="BB27" i="45"/>
  <c r="X31" i="45"/>
  <c r="AI26" i="45"/>
  <c r="AK30" i="45"/>
  <c r="CF28" i="45"/>
  <c r="F19" i="45"/>
  <c r="BV22" i="45"/>
  <c r="AF21" i="45"/>
  <c r="W24" i="45"/>
  <c r="AI19" i="45"/>
  <c r="CC32" i="45"/>
  <c r="H28" i="45"/>
  <c r="I25" i="45"/>
  <c r="CI25" i="45"/>
  <c r="BR19" i="45"/>
  <c r="H19" i="45"/>
  <c r="AH28" i="45"/>
  <c r="T32" i="45"/>
  <c r="CQ31" i="45"/>
  <c r="CP18" i="45"/>
  <c r="BB31" i="45"/>
  <c r="AE24" i="45"/>
  <c r="AR32" i="45"/>
  <c r="BF29" i="45"/>
  <c r="W23" i="45"/>
  <c r="BS32" i="45"/>
  <c r="BS26" i="45"/>
  <c r="I23" i="45"/>
  <c r="BP18" i="45"/>
  <c r="CI23" i="45"/>
  <c r="BO21" i="45"/>
  <c r="AC18" i="45"/>
  <c r="BU26" i="45"/>
  <c r="AP26" i="45"/>
  <c r="S27" i="45"/>
  <c r="CN24" i="45"/>
  <c r="BB30" i="45"/>
  <c r="BN23" i="45"/>
  <c r="L22" i="45"/>
  <c r="BQ27" i="45"/>
  <c r="L24" i="45"/>
  <c r="L27" i="45"/>
  <c r="CN32" i="45"/>
  <c r="N25" i="45"/>
  <c r="AQ19" i="45"/>
  <c r="CA20" i="45"/>
  <c r="BI25" i="45"/>
  <c r="BO22" i="45"/>
  <c r="BM31" i="45"/>
  <c r="S19" i="45"/>
  <c r="BP20" i="45"/>
  <c r="X29" i="45"/>
  <c r="BV21" i="45"/>
  <c r="AJ23" i="45"/>
  <c r="AC29" i="45"/>
  <c r="AW28" i="45"/>
  <c r="Y24" i="45"/>
  <c r="CM23" i="45"/>
  <c r="BC32" i="45"/>
  <c r="F22" i="45"/>
  <c r="AQ23" i="45"/>
  <c r="BJ24" i="45"/>
  <c r="Q32" i="45"/>
  <c r="AC31" i="45"/>
  <c r="BP21" i="45"/>
  <c r="I18" i="45"/>
  <c r="BS22" i="45"/>
  <c r="M30" i="45"/>
  <c r="BP22" i="45"/>
  <c r="CK31" i="45"/>
  <c r="CQ28" i="45"/>
  <c r="CI20" i="45"/>
  <c r="Y30" i="45"/>
  <c r="G25" i="45"/>
  <c r="R28" i="45"/>
  <c r="CD20" i="45"/>
  <c r="AE30" i="45"/>
  <c r="BA23" i="45"/>
  <c r="BF30" i="45"/>
  <c r="BY21" i="45"/>
  <c r="BL22" i="45"/>
  <c r="S26" i="45"/>
  <c r="AV28" i="45"/>
  <c r="X27" i="45"/>
  <c r="AD24" i="45"/>
  <c r="AZ18" i="45"/>
  <c r="S18" i="45"/>
  <c r="X30" i="45"/>
  <c r="BY31" i="45"/>
  <c r="H27" i="45"/>
  <c r="CL21" i="45"/>
  <c r="BE25" i="45"/>
  <c r="BQ24" i="45"/>
  <c r="AM25" i="45"/>
  <c r="BU28" i="45"/>
  <c r="AA29" i="45"/>
  <c r="BF19" i="45"/>
  <c r="BL25" i="45"/>
  <c r="N20" i="45"/>
  <c r="V30" i="45"/>
  <c r="BC26" i="45"/>
  <c r="AO23" i="45"/>
  <c r="AB18" i="45"/>
  <c r="AD25" i="45"/>
  <c r="BN21" i="45"/>
  <c r="BW18" i="45"/>
  <c r="CH19" i="45"/>
  <c r="CN22" i="45"/>
  <c r="CA19" i="45"/>
  <c r="AF23" i="45"/>
  <c r="AD30" i="45"/>
  <c r="AX26" i="45"/>
  <c r="BL31" i="45"/>
  <c r="X24" i="45"/>
  <c r="CE27" i="45"/>
  <c r="BA20" i="45"/>
  <c r="AN26" i="45"/>
  <c r="AB23" i="45"/>
  <c r="R29" i="45"/>
  <c r="AS30" i="45"/>
  <c r="AK29" i="45"/>
  <c r="AC25" i="45"/>
  <c r="BH26" i="45"/>
  <c r="BQ25" i="45"/>
  <c r="BJ18" i="45"/>
  <c r="AM19" i="45"/>
  <c r="BG18" i="45"/>
  <c r="BL32" i="45"/>
  <c r="W30" i="45"/>
  <c r="BA27" i="45"/>
  <c r="V31" i="45"/>
  <c r="H29" i="45"/>
  <c r="O19" i="45"/>
  <c r="CM21" i="45"/>
  <c r="CC29" i="45"/>
  <c r="AG24" i="45"/>
  <c r="BR24" i="45"/>
  <c r="F27" i="45"/>
  <c r="BT23" i="45"/>
  <c r="M22" i="45"/>
  <c r="AK28" i="45"/>
  <c r="F18" i="45"/>
  <c r="BX22" i="45"/>
  <c r="AO25" i="45"/>
  <c r="BH27" i="45"/>
  <c r="CN23" i="45"/>
  <c r="AJ21" i="45"/>
  <c r="BM30" i="45"/>
  <c r="CA31" i="45"/>
  <c r="AR21" i="45"/>
  <c r="BE18" i="45"/>
  <c r="J21" i="45"/>
  <c r="CC24" i="45"/>
  <c r="BJ32" i="45"/>
  <c r="BW26" i="45"/>
  <c r="O18" i="45"/>
  <c r="AD23" i="45"/>
  <c r="H31" i="45"/>
  <c r="I24" i="45"/>
  <c r="AR31" i="45"/>
  <c r="CO23" i="45"/>
  <c r="AM32" i="45"/>
  <c r="BJ27" i="45"/>
  <c r="T31" i="45"/>
  <c r="BH21" i="45"/>
  <c r="BD19" i="45"/>
  <c r="BQ23" i="45"/>
  <c r="AQ27" i="45"/>
  <c r="CA24" i="45"/>
  <c r="AW26" i="45"/>
  <c r="AZ25" i="45"/>
  <c r="AG26" i="45"/>
  <c r="BT18" i="45"/>
  <c r="CF25" i="45"/>
  <c r="BG27" i="45"/>
  <c r="AF32" i="45"/>
  <c r="P25" i="45"/>
  <c r="AL31" i="45"/>
  <c r="BY20" i="45"/>
  <c r="BU23" i="45"/>
  <c r="CP26" i="45"/>
  <c r="AC28" i="45"/>
  <c r="AT24" i="45"/>
  <c r="U24" i="45"/>
  <c r="BC24" i="45"/>
  <c r="AG30" i="45"/>
  <c r="BX32" i="45"/>
  <c r="AL30" i="45"/>
  <c r="BA26" i="45"/>
  <c r="BY30" i="45"/>
  <c r="BW31" i="45"/>
  <c r="BX28" i="45"/>
  <c r="AP30" i="45"/>
  <c r="AK24" i="45"/>
  <c r="BQ21" i="45"/>
  <c r="AZ19" i="45"/>
  <c r="Y29" i="45"/>
  <c r="U20" i="45"/>
  <c r="AT22" i="45"/>
  <c r="G18" i="45"/>
  <c r="AZ23" i="45"/>
  <c r="BT31" i="45"/>
  <c r="AC20" i="45"/>
  <c r="CI26" i="45"/>
  <c r="CI28" i="45"/>
  <c r="R32" i="45"/>
  <c r="AA19" i="45"/>
  <c r="BU30" i="45"/>
  <c r="AE28" i="45"/>
  <c r="CQ19" i="45"/>
  <c r="BO25" i="45"/>
  <c r="CN27" i="45"/>
  <c r="BT21" i="45"/>
  <c r="CL24" i="45"/>
  <c r="G30" i="45"/>
  <c r="N30" i="45"/>
  <c r="AA27" i="45"/>
  <c r="AV27" i="45"/>
  <c r="R30" i="45"/>
  <c r="CC25" i="45"/>
  <c r="BS28" i="45"/>
  <c r="Q30" i="45"/>
  <c r="AM22" i="45"/>
  <c r="CH21" i="45"/>
  <c r="BW19" i="45"/>
  <c r="CD23" i="45"/>
  <c r="AP20" i="45"/>
  <c r="CP24" i="45"/>
  <c r="O32" i="45"/>
  <c r="R18" i="45"/>
  <c r="M20" i="45"/>
  <c r="CA22" i="45"/>
  <c r="F21" i="45"/>
  <c r="CB32" i="45"/>
  <c r="AK26" i="45"/>
  <c r="BL24" i="45"/>
  <c r="AC27" i="45"/>
  <c r="BF18" i="45"/>
  <c r="CK27" i="45"/>
  <c r="BG19" i="45"/>
  <c r="BP23" i="45"/>
  <c r="BC20" i="45"/>
  <c r="BO19" i="45"/>
  <c r="AT27" i="45"/>
  <c r="BG30" i="45"/>
  <c r="BS23" i="45"/>
  <c r="T25" i="45"/>
  <c r="AS27" i="45"/>
  <c r="R22" i="45"/>
  <c r="BW23" i="45"/>
  <c r="AX29" i="45"/>
  <c r="AV29" i="45"/>
  <c r="CF23" i="45"/>
  <c r="CP22" i="45"/>
  <c r="BG24" i="45"/>
  <c r="M32" i="45"/>
  <c r="T22" i="45"/>
  <c r="BX23" i="45"/>
  <c r="BD24" i="45"/>
  <c r="CF27" i="45"/>
  <c r="BQ18" i="45"/>
  <c r="BG25" i="45"/>
  <c r="AS21" i="45"/>
  <c r="AG21" i="45"/>
  <c r="AH22" i="45"/>
  <c r="BP32" i="45"/>
  <c r="CI30" i="45"/>
  <c r="CK22" i="45"/>
  <c r="BD31" i="45"/>
  <c r="J23" i="45"/>
  <c r="BD20" i="45"/>
  <c r="AW25" i="45"/>
  <c r="L31" i="45"/>
  <c r="BO20" i="45"/>
  <c r="CQ20" i="45"/>
  <c r="AA23" i="45"/>
  <c r="BU20" i="45"/>
  <c r="CQ24" i="45"/>
  <c r="CA18" i="45"/>
  <c r="BX31" i="45"/>
  <c r="CG29" i="45"/>
  <c r="AJ24" i="45"/>
  <c r="CC21" i="45"/>
  <c r="AO19" i="45"/>
  <c r="CP23" i="45"/>
  <c r="U29" i="45"/>
  <c r="AN19" i="45"/>
  <c r="CE20" i="45"/>
  <c r="CK23" i="45"/>
  <c r="BA24" i="45"/>
  <c r="CA30" i="45"/>
  <c r="CA26" i="45"/>
  <c r="AL26" i="45"/>
  <c r="AX21" i="45"/>
  <c r="AI21" i="45"/>
  <c r="BC23" i="45"/>
  <c r="T20" i="45"/>
  <c r="AV19" i="45"/>
  <c r="BJ29" i="45"/>
  <c r="BF25" i="45"/>
  <c r="AT21" i="45"/>
  <c r="AN21" i="45"/>
  <c r="BD32" i="45"/>
  <c r="AD31" i="45"/>
  <c r="AX27" i="45"/>
  <c r="BF28" i="45"/>
  <c r="AT25" i="45"/>
  <c r="BV31" i="45"/>
  <c r="AM23" i="45"/>
  <c r="AL23" i="45"/>
  <c r="AM24" i="45"/>
  <c r="CP21" i="45"/>
  <c r="Y22" i="45"/>
  <c r="AV21" i="45"/>
  <c r="AP32" i="45"/>
  <c r="S21" i="45"/>
  <c r="AX31" i="45"/>
  <c r="BS25" i="45"/>
  <c r="AM18" i="45"/>
  <c r="W22" i="45"/>
  <c r="CC31" i="45"/>
  <c r="AA22" i="45"/>
  <c r="BI22" i="45"/>
  <c r="BO31" i="45"/>
  <c r="N22" i="45"/>
  <c r="Y31" i="45"/>
  <c r="AN29" i="45"/>
  <c r="AO27" i="45"/>
  <c r="AM31" i="45"/>
  <c r="BR25" i="45"/>
  <c r="O28" i="45"/>
  <c r="AM27" i="45"/>
  <c r="AU27" i="45"/>
  <c r="BE22" i="45"/>
  <c r="BR30" i="45"/>
  <c r="BU19" i="45"/>
  <c r="CF30" i="45"/>
  <c r="S29" i="45"/>
  <c r="K23" i="45"/>
  <c r="AF24" i="45"/>
  <c r="BG26" i="45"/>
  <c r="AE32" i="45"/>
  <c r="L18" i="45"/>
  <c r="AP18" i="45"/>
  <c r="CE30" i="45"/>
  <c r="N29" i="45"/>
  <c r="AV30" i="45"/>
  <c r="BQ20" i="45"/>
  <c r="P31" i="45"/>
  <c r="Z31" i="45"/>
  <c r="CP28" i="45"/>
  <c r="V21" i="45"/>
  <c r="BK19" i="45"/>
  <c r="BJ30" i="45"/>
  <c r="AW31" i="45"/>
  <c r="CD32" i="45"/>
  <c r="K27" i="45"/>
  <c r="AJ19" i="45"/>
  <c r="BK31" i="45"/>
  <c r="BT26" i="45"/>
  <c r="K24" i="45"/>
  <c r="AT29" i="45"/>
  <c r="BB28" i="45"/>
  <c r="BX20" i="45"/>
  <c r="Y18" i="45"/>
  <c r="AY28" i="45"/>
  <c r="AO32" i="45"/>
  <c r="CD28" i="45"/>
  <c r="CC19" i="45"/>
  <c r="R21" i="45"/>
  <c r="AH21" i="45"/>
  <c r="H32" i="45"/>
  <c r="G26" i="45"/>
  <c r="X26" i="45"/>
  <c r="BO26" i="45"/>
  <c r="BC29" i="45"/>
  <c r="BL28" i="45"/>
  <c r="CA23" i="45"/>
  <c r="BK23" i="45"/>
  <c r="AN24" i="45"/>
  <c r="BY27" i="45"/>
  <c r="BQ22" i="45"/>
  <c r="AE21" i="45"/>
  <c r="G27" i="45"/>
  <c r="N27" i="45"/>
  <c r="AI29" i="45"/>
  <c r="CL31" i="45"/>
  <c r="AR24" i="45"/>
  <c r="CE24" i="45"/>
  <c r="AR30" i="45"/>
  <c r="H22" i="45"/>
  <c r="AU31" i="45"/>
  <c r="I26" i="45"/>
  <c r="AB24" i="45"/>
  <c r="P23" i="45"/>
  <c r="BO18" i="45"/>
  <c r="AM21" i="45"/>
  <c r="AA28" i="45"/>
  <c r="AG25" i="45"/>
  <c r="AL22" i="45"/>
  <c r="AM26" i="45"/>
  <c r="BD18" i="45"/>
  <c r="G31" i="45"/>
  <c r="AE29" i="45"/>
  <c r="CQ21" i="45"/>
  <c r="K21" i="45"/>
  <c r="J225" i="2"/>
  <c r="J247" i="2"/>
  <c r="CI24" i="45"/>
  <c r="BB19" i="45"/>
  <c r="BE27" i="45"/>
  <c r="BU25" i="45"/>
  <c r="BH18" i="45"/>
  <c r="AD28" i="45"/>
  <c r="AQ20" i="45"/>
  <c r="W31" i="45"/>
  <c r="CH32" i="45"/>
  <c r="CB21" i="45"/>
  <c r="AC30" i="45"/>
  <c r="AP23" i="45"/>
  <c r="BP28" i="45"/>
  <c r="AU22" i="45"/>
  <c r="CP25" i="45"/>
  <c r="L28" i="45"/>
  <c r="CL27" i="45"/>
  <c r="CI19" i="45"/>
  <c r="BB20" i="45"/>
  <c r="J24" i="45"/>
  <c r="K32" i="45"/>
  <c r="Z24" i="45"/>
  <c r="BF21" i="45"/>
  <c r="BM19" i="45"/>
  <c r="CH28" i="45"/>
  <c r="BV19" i="45"/>
  <c r="AD18" i="45"/>
  <c r="BQ31" i="45"/>
  <c r="V26" i="45"/>
  <c r="T18" i="45"/>
  <c r="CO20" i="45"/>
  <c r="BM20" i="45"/>
  <c r="BM22" i="45"/>
  <c r="BN32" i="45"/>
  <c r="AN30" i="45"/>
  <c r="BP25" i="45"/>
  <c r="CE18" i="45"/>
  <c r="CL30" i="45"/>
  <c r="CM19" i="45"/>
  <c r="Q28" i="45"/>
  <c r="BK32" i="45"/>
  <c r="AW29" i="45"/>
  <c r="AO29" i="45"/>
  <c r="T26" i="45"/>
  <c r="BB23" i="45"/>
  <c r="CM32" i="45"/>
  <c r="BK26" i="45"/>
  <c r="CQ22" i="45"/>
  <c r="AV22" i="45"/>
  <c r="BF26" i="45"/>
  <c r="BJ28" i="45"/>
  <c r="L26" i="45"/>
  <c r="AA20" i="45"/>
  <c r="AB29" i="45"/>
  <c r="O24" i="45"/>
  <c r="X20" i="45"/>
  <c r="N32" i="45"/>
  <c r="BG22" i="45"/>
  <c r="Q20" i="45"/>
  <c r="G29" i="45"/>
  <c r="CO27" i="45"/>
  <c r="BN25" i="45"/>
  <c r="AM20" i="45"/>
  <c r="CL18" i="45"/>
  <c r="G24" i="45"/>
  <c r="AT23" i="45"/>
  <c r="AF27" i="45"/>
  <c r="S30" i="45"/>
  <c r="BV27" i="45"/>
  <c r="AU28" i="45"/>
  <c r="S28" i="45"/>
  <c r="H18" i="45"/>
  <c r="BP26" i="45"/>
  <c r="AW24" i="45"/>
  <c r="I32" i="45"/>
  <c r="AE19" i="45"/>
  <c r="AH29" i="45"/>
  <c r="BR22" i="45"/>
  <c r="BK28" i="45"/>
  <c r="CF20" i="45"/>
  <c r="CG28" i="45"/>
  <c r="CD24" i="45"/>
  <c r="BQ26" i="45"/>
  <c r="P19" i="45"/>
  <c r="BE20" i="45"/>
  <c r="U30" i="45"/>
  <c r="F31" i="45"/>
  <c r="CG32" i="45"/>
  <c r="BH30" i="45"/>
  <c r="X18" i="45"/>
  <c r="BX19" i="45"/>
  <c r="V22" i="45"/>
  <c r="BC19" i="45"/>
  <c r="CB31" i="45"/>
  <c r="BR21" i="45"/>
  <c r="BK22" i="45"/>
  <c r="P26" i="45"/>
  <c r="CC20" i="45"/>
  <c r="K26" i="45"/>
  <c r="X21" i="45"/>
  <c r="CK26" i="45"/>
  <c r="F30" i="45"/>
  <c r="BO27" i="45"/>
  <c r="BA29" i="45"/>
  <c r="AK21" i="45"/>
  <c r="AL29" i="45"/>
  <c r="AU19" i="45"/>
  <c r="N21" i="45"/>
  <c r="AA21" i="45"/>
  <c r="CE25" i="45"/>
  <c r="BI32" i="45"/>
  <c r="BC18" i="45"/>
  <c r="AT32" i="45"/>
  <c r="CQ27" i="45"/>
  <c r="AP25" i="45"/>
  <c r="CQ26" i="45"/>
  <c r="CP20" i="45"/>
  <c r="I28" i="45"/>
  <c r="J190" i="2"/>
  <c r="J223" i="2"/>
  <c r="J199" i="2"/>
  <c r="J238" i="2"/>
  <c r="BF32" i="45"/>
  <c r="P32" i="45"/>
  <c r="W32" i="45"/>
  <c r="BJ23" i="45"/>
  <c r="N24" i="45"/>
  <c r="CL23" i="45"/>
  <c r="BW20" i="45"/>
  <c r="AW32" i="45"/>
  <c r="AS31" i="45"/>
  <c r="AF22" i="45"/>
  <c r="BY26" i="45"/>
  <c r="CK24" i="45"/>
  <c r="BS18" i="45"/>
  <c r="U21" i="45"/>
  <c r="BQ32" i="45"/>
  <c r="W21" i="45"/>
  <c r="Z19" i="45"/>
  <c r="X25" i="45"/>
  <c r="BI19" i="45"/>
  <c r="AR20" i="45"/>
  <c r="Z29" i="45"/>
  <c r="F32" i="45"/>
  <c r="N26" i="45"/>
  <c r="AH30" i="45"/>
  <c r="CG22" i="45"/>
  <c r="CD19" i="45"/>
  <c r="BC31" i="45"/>
  <c r="AN18" i="45"/>
  <c r="AC24" i="45"/>
  <c r="BH24" i="45"/>
  <c r="I21" i="45"/>
  <c r="W19" i="45"/>
  <c r="BB32" i="45"/>
  <c r="AW18" i="45"/>
  <c r="BM18" i="45"/>
  <c r="BE24" i="45"/>
  <c r="J32" i="45"/>
  <c r="CI21" i="45"/>
  <c r="F28" i="45"/>
  <c r="R26" i="45"/>
  <c r="AI30" i="45"/>
  <c r="Y19" i="45"/>
  <c r="V18" i="45"/>
  <c r="BL18" i="45"/>
  <c r="BG29" i="45"/>
  <c r="CO28" i="45"/>
  <c r="BS31" i="45"/>
  <c r="BA18" i="45"/>
  <c r="R20" i="45"/>
  <c r="AX23" i="45"/>
  <c r="AR23" i="45"/>
  <c r="BS24" i="45"/>
  <c r="BM26" i="45"/>
  <c r="AK18" i="45"/>
  <c r="AV26" i="45"/>
  <c r="BJ21" i="45"/>
  <c r="BE30" i="45"/>
  <c r="M27" i="45"/>
  <c r="BJ26" i="45"/>
  <c r="BB22" i="45"/>
  <c r="BT30" i="45"/>
  <c r="AB27" i="45"/>
  <c r="J31" i="45"/>
  <c r="BX18" i="45"/>
  <c r="AZ26" i="45"/>
  <c r="AQ26" i="45"/>
  <c r="P28" i="45"/>
  <c r="AR19" i="45"/>
  <c r="W25" i="45"/>
  <c r="Y28" i="45"/>
  <c r="CD22" i="45"/>
  <c r="L19" i="45"/>
  <c r="AG31" i="45"/>
  <c r="P20" i="45"/>
  <c r="AU21" i="45"/>
  <c r="BT29" i="45"/>
  <c r="AE18" i="45"/>
  <c r="AG22" i="45"/>
  <c r="V23" i="45"/>
  <c r="CM30" i="45"/>
  <c r="AK32" i="45"/>
  <c r="BF23" i="45"/>
  <c r="Y27" i="45"/>
  <c r="U23" i="45"/>
  <c r="AC19" i="45"/>
  <c r="BG23" i="45"/>
  <c r="R31" i="45"/>
  <c r="AZ31" i="45"/>
  <c r="BW29" i="45"/>
  <c r="M28" i="45"/>
  <c r="AF31" i="45"/>
  <c r="CF18" i="45"/>
  <c r="BA22" i="45"/>
  <c r="BI21" i="45"/>
  <c r="CO25" i="45"/>
  <c r="AR18" i="45"/>
  <c r="J19" i="45"/>
  <c r="BV24" i="45"/>
  <c r="N31" i="45"/>
  <c r="BY18" i="45"/>
  <c r="BS27" i="45"/>
  <c r="CL20" i="45"/>
  <c r="J22" i="45"/>
  <c r="BB21" i="45"/>
  <c r="BI24" i="45"/>
  <c r="BJ20" i="45"/>
  <c r="T27" i="45"/>
  <c r="AB22" i="45"/>
  <c r="CG20" i="45"/>
  <c r="BT25" i="45"/>
  <c r="BT24" i="45"/>
  <c r="CI31" i="45"/>
  <c r="J29" i="45"/>
  <c r="O22" i="45"/>
  <c r="AO20" i="45"/>
  <c r="AP28" i="45"/>
  <c r="K29" i="45"/>
  <c r="CK29" i="45"/>
  <c r="J258" i="2"/>
  <c r="J254" i="2"/>
  <c r="Q31" i="45"/>
  <c r="BH25" i="45"/>
  <c r="BR29" i="45"/>
  <c r="AS20" i="45"/>
  <c r="CN28" i="45"/>
  <c r="W26" i="45"/>
  <c r="V24" i="45"/>
  <c r="AV25" i="45"/>
  <c r="Y25" i="45"/>
  <c r="P29" i="45"/>
  <c r="S22" i="45"/>
  <c r="P24" i="45"/>
  <c r="BG21" i="45"/>
  <c r="O27" i="45"/>
  <c r="U26" i="45"/>
  <c r="Z28" i="45"/>
  <c r="AF28" i="45"/>
  <c r="AH19" i="45"/>
  <c r="BD30" i="45"/>
  <c r="BI29" i="45"/>
  <c r="AN32" i="45"/>
  <c r="Y26" i="45"/>
  <c r="AP27" i="45"/>
  <c r="M19" i="45"/>
  <c r="CO18" i="45"/>
  <c r="BP30" i="45"/>
  <c r="CA32" i="45"/>
  <c r="AT26" i="45"/>
  <c r="BN31" i="45"/>
  <c r="AX28" i="45"/>
  <c r="CH30" i="45"/>
  <c r="CK25" i="45"/>
  <c r="CN19" i="45"/>
  <c r="AE26" i="45"/>
  <c r="BH29" i="45"/>
  <c r="AU29" i="45"/>
  <c r="BI28" i="45"/>
  <c r="CH25" i="45"/>
  <c r="CA28" i="45"/>
  <c r="BM32" i="45"/>
  <c r="W27" i="45"/>
  <c r="BY29" i="45"/>
  <c r="BU24" i="45"/>
  <c r="AB26" i="45"/>
  <c r="BG32" i="45"/>
  <c r="BM25" i="45"/>
  <c r="AS25" i="45"/>
  <c r="CH29" i="45"/>
  <c r="BY24" i="45"/>
  <c r="CI18" i="45"/>
  <c r="AR27" i="45"/>
  <c r="CL22" i="45"/>
  <c r="Y20" i="45"/>
  <c r="AL18" i="45"/>
  <c r="N28" i="45"/>
  <c r="S32" i="45"/>
  <c r="AV18" i="45"/>
  <c r="AN25" i="45"/>
  <c r="BA28" i="45"/>
  <c r="P22" i="45"/>
  <c r="CH23" i="45"/>
  <c r="M21" i="45"/>
  <c r="CI32" i="45"/>
  <c r="BA31" i="45"/>
  <c r="AY32" i="45"/>
  <c r="BI26" i="45"/>
  <c r="Q22" i="45"/>
  <c r="AG18" i="45"/>
  <c r="BI23" i="45"/>
  <c r="M26" i="45"/>
  <c r="BE19" i="45"/>
  <c r="BR23" i="45"/>
  <c r="AS22" i="45"/>
  <c r="CG26" i="45"/>
  <c r="AI28" i="45"/>
  <c r="BU18" i="45"/>
  <c r="Z18" i="45"/>
  <c r="L25" i="45"/>
  <c r="AI22" i="45"/>
  <c r="AY25" i="45"/>
  <c r="BO30" i="45"/>
  <c r="M24" i="45"/>
  <c r="BA32" i="45"/>
  <c r="AQ32" i="45"/>
  <c r="AF20" i="45"/>
  <c r="BD27" i="45"/>
  <c r="CD30" i="45"/>
  <c r="Z22" i="45"/>
  <c r="G28" i="45"/>
  <c r="BE21" i="45"/>
  <c r="W28" i="45"/>
  <c r="X22" i="45"/>
  <c r="AF25" i="45"/>
  <c r="AH26" i="45"/>
  <c r="CE31" i="45"/>
  <c r="M25" i="45"/>
  <c r="K22" i="45"/>
  <c r="BI27" i="45"/>
  <c r="BL30" i="45"/>
  <c r="BW30" i="45"/>
  <c r="CF19" i="45"/>
  <c r="AJ30" i="45"/>
  <c r="Q18" i="45"/>
  <c r="AH18" i="45"/>
  <c r="AW19" i="45"/>
  <c r="AY24" i="45"/>
  <c r="K20" i="45"/>
  <c r="BO29" i="45"/>
  <c r="CG25" i="45"/>
  <c r="CC26" i="45"/>
  <c r="BE29" i="45"/>
  <c r="AH20" i="45"/>
  <c r="AY22" i="45"/>
  <c r="CD27" i="45"/>
  <c r="CO30" i="45"/>
  <c r="AL32" i="45"/>
  <c r="CO19" i="45"/>
  <c r="CQ18" i="45"/>
  <c r="J269" i="2"/>
  <c r="J182" i="2"/>
  <c r="Q21" i="45"/>
  <c r="AX19" i="45"/>
  <c r="AK27" i="45"/>
  <c r="AA30" i="45"/>
  <c r="AK22" i="45"/>
  <c r="BH32" i="45"/>
  <c r="AY29" i="45"/>
  <c r="BI30" i="45"/>
  <c r="AB31" i="45"/>
  <c r="AI32" i="45"/>
  <c r="U25" i="45"/>
  <c r="BR27" i="45"/>
  <c r="BW28" i="45"/>
  <c r="AH31" i="45"/>
  <c r="BL27" i="45"/>
  <c r="BU32" i="45"/>
  <c r="CK30" i="45"/>
  <c r="AX30" i="45"/>
  <c r="AU24" i="45"/>
  <c r="AM30" i="45"/>
  <c r="BN26" i="45"/>
  <c r="AB28" i="45"/>
  <c r="AE27" i="45"/>
  <c r="AS24" i="45"/>
  <c r="BV32" i="45"/>
  <c r="CQ32" i="45"/>
  <c r="BR18" i="45"/>
  <c r="AU23" i="45"/>
  <c r="BA19" i="45"/>
  <c r="BE26" i="45"/>
  <c r="CB27" i="45"/>
  <c r="BM23" i="45"/>
  <c r="AO21" i="45"/>
  <c r="AQ24" i="45"/>
  <c r="G20" i="45"/>
  <c r="BD21" i="45"/>
  <c r="CH20" i="45"/>
  <c r="AV20" i="45"/>
  <c r="AF30" i="45"/>
  <c r="M31" i="45"/>
  <c r="CE23" i="45"/>
  <c r="F20" i="45"/>
  <c r="X19" i="45"/>
  <c r="AA18" i="45"/>
  <c r="BE28" i="45"/>
  <c r="CM29" i="45"/>
  <c r="AQ28" i="45"/>
  <c r="BG28" i="45"/>
  <c r="AH24" i="45"/>
  <c r="BB26" i="45"/>
  <c r="BN27" i="45"/>
  <c r="AC23" i="45"/>
  <c r="BH28" i="45"/>
  <c r="CF21" i="45"/>
  <c r="CB19" i="45"/>
  <c r="AI24" i="45"/>
  <c r="Z21" i="45"/>
  <c r="AU32" i="45"/>
  <c r="BL19" i="45"/>
  <c r="F26" i="45"/>
  <c r="AL24" i="45"/>
  <c r="CM27" i="45"/>
  <c r="CN25" i="45"/>
  <c r="BJ25" i="45"/>
  <c r="N18" i="45"/>
  <c r="BJ31" i="45"/>
  <c r="BH22" i="45"/>
  <c r="CO32" i="45"/>
  <c r="Z26" i="45"/>
  <c r="Y21" i="45"/>
  <c r="BM28" i="45"/>
  <c r="V32" i="45"/>
  <c r="AI31" i="45"/>
  <c r="CE29" i="45"/>
  <c r="CO26" i="45"/>
  <c r="AP22" i="45"/>
  <c r="BD28" i="45"/>
  <c r="AR22" i="45"/>
  <c r="CB22" i="45"/>
  <c r="BN29" i="45"/>
  <c r="N23" i="45"/>
  <c r="AS32" i="45"/>
  <c r="Z30" i="45"/>
  <c r="AO26" i="45"/>
  <c r="CE32" i="45"/>
  <c r="CE26" i="45"/>
  <c r="CH26" i="45"/>
  <c r="AY18" i="45"/>
  <c r="BT19" i="45"/>
  <c r="AN23" i="45"/>
  <c r="AN20" i="45"/>
  <c r="P18" i="45"/>
  <c r="CM22" i="45"/>
  <c r="G21" i="45"/>
  <c r="T28" i="45"/>
  <c r="V29" i="45"/>
  <c r="BF24" i="45"/>
  <c r="CG24" i="45"/>
  <c r="CD29" i="45"/>
  <c r="BS20" i="45"/>
  <c r="AP24" i="45"/>
  <c r="CI27" i="45"/>
  <c r="BW32" i="45"/>
  <c r="BH19" i="45"/>
  <c r="H21" i="45"/>
  <c r="J25" i="45"/>
  <c r="K28" i="45"/>
  <c r="CB24" i="45"/>
  <c r="V28" i="45"/>
  <c r="S31" i="45"/>
  <c r="CP30" i="45"/>
  <c r="BV28" i="45"/>
  <c r="H20" i="45"/>
  <c r="U19" i="45"/>
  <c r="AN27" i="45"/>
  <c r="CE21" i="45"/>
  <c r="AJ29" i="45"/>
  <c r="CB26" i="45"/>
  <c r="J195" i="2"/>
  <c r="F25" i="45"/>
  <c r="CK32" i="45"/>
  <c r="AI27" i="45"/>
  <c r="AF29" i="45"/>
  <c r="AT19" i="45"/>
  <c r="AE23" i="45"/>
  <c r="AO28" i="45"/>
  <c r="L20" i="45"/>
  <c r="AE20" i="45"/>
  <c r="K19" i="45"/>
  <c r="J30" i="45"/>
  <c r="BS30" i="45"/>
  <c r="AG20" i="45"/>
  <c r="BN18" i="45"/>
  <c r="BM21" i="45"/>
  <c r="R24" i="45"/>
  <c r="AK31" i="45"/>
  <c r="BI18" i="45"/>
  <c r="AX20" i="45"/>
  <c r="CH22" i="45"/>
  <c r="CM20" i="45"/>
  <c r="CI29" i="45"/>
  <c r="Q24" i="45"/>
  <c r="O29" i="45"/>
  <c r="AQ25" i="45"/>
  <c r="T30" i="45"/>
  <c r="AS26" i="45"/>
  <c r="BB25" i="45"/>
  <c r="CP29" i="45"/>
  <c r="AA24" i="45"/>
  <c r="AP19" i="45"/>
  <c r="P27" i="45"/>
  <c r="BX21" i="45"/>
  <c r="Q23" i="45"/>
  <c r="BQ30" i="45"/>
  <c r="CH24" i="45"/>
  <c r="CB30" i="45"/>
  <c r="O25" i="45"/>
  <c r="AJ26" i="45"/>
  <c r="BM24" i="45"/>
  <c r="V25" i="45"/>
  <c r="AJ18" i="45"/>
  <c r="O31" i="45"/>
  <c r="CN31" i="45"/>
  <c r="BV29" i="45"/>
  <c r="BI31" i="45"/>
  <c r="CL28" i="45"/>
  <c r="BF22" i="45"/>
  <c r="BU29" i="45"/>
  <c r="S20" i="45"/>
  <c r="Q26" i="45"/>
  <c r="BQ29" i="45"/>
  <c r="AI18" i="45"/>
  <c r="T24" i="45"/>
  <c r="BR20" i="45"/>
  <c r="BM27" i="45"/>
  <c r="BF20" i="45"/>
  <c r="AX18" i="45"/>
  <c r="Q27" i="45"/>
  <c r="BV30" i="45"/>
  <c r="AZ29" i="45"/>
  <c r="CL26" i="45"/>
  <c r="CM25" i="45"/>
  <c r="BV25" i="45"/>
  <c r="CM31" i="45"/>
  <c r="AO31" i="45"/>
  <c r="BN24" i="45"/>
  <c r="BT32" i="45"/>
  <c r="BL23" i="45"/>
  <c r="BH20" i="45"/>
  <c r="AA32" i="45"/>
  <c r="CB23" i="45"/>
  <c r="AU25" i="45"/>
  <c r="S25" i="45"/>
  <c r="AL19" i="45"/>
  <c r="AG28" i="45"/>
  <c r="AY30" i="45"/>
  <c r="BW27" i="45"/>
  <c r="BK25" i="45"/>
  <c r="L21" i="45"/>
  <c r="CA21" i="45"/>
  <c r="BY25" i="45"/>
  <c r="BP31" i="45"/>
  <c r="CK20" i="45"/>
  <c r="X23" i="45"/>
  <c r="CN18" i="45"/>
  <c r="AR26" i="45"/>
  <c r="F23" i="45"/>
  <c r="BN30" i="45"/>
  <c r="S23" i="45"/>
  <c r="AV24" i="45"/>
  <c r="U18" i="45"/>
  <c r="AO18" i="45"/>
  <c r="CG19" i="45"/>
  <c r="AP29" i="45"/>
  <c r="CG30" i="45"/>
  <c r="Z23" i="45"/>
  <c r="J26" i="45"/>
  <c r="AD21" i="45"/>
  <c r="AN28" i="45"/>
  <c r="CA29" i="45"/>
  <c r="BV23" i="45"/>
  <c r="V27" i="45"/>
  <c r="AA25" i="45"/>
  <c r="T21" i="45"/>
  <c r="AA26" i="45"/>
  <c r="CO24" i="45"/>
  <c r="CO22" i="45"/>
  <c r="AD29" i="45"/>
  <c r="AL27" i="45"/>
  <c r="BA30" i="45"/>
  <c r="BD22" i="45"/>
  <c r="CG18" i="45"/>
  <c r="AZ24" i="45"/>
  <c r="AR28" i="45"/>
  <c r="CK28" i="45"/>
  <c r="CH31" i="45"/>
  <c r="L32" i="45"/>
  <c r="BB29" i="45"/>
  <c r="J213" i="2"/>
  <c r="J209" i="2"/>
  <c r="J212" i="2"/>
  <c r="O23" i="45"/>
  <c r="T19" i="45"/>
  <c r="BL29" i="45"/>
  <c r="AZ30" i="45"/>
  <c r="BN19" i="45"/>
  <c r="CN26" i="45"/>
  <c r="J28" i="45"/>
  <c r="AS18" i="45"/>
  <c r="Z25" i="45"/>
  <c r="BX30" i="45"/>
  <c r="BT20" i="45"/>
  <c r="AK19" i="45"/>
  <c r="CC23" i="45"/>
  <c r="AV31" i="45"/>
  <c r="R27" i="45"/>
  <c r="CP19" i="45"/>
  <c r="L29" i="45"/>
  <c r="Y32" i="45"/>
  <c r="AJ27" i="45"/>
  <c r="BD25" i="45"/>
  <c r="AZ20" i="45"/>
  <c r="CM24" i="45"/>
  <c r="AQ31" i="45"/>
  <c r="AY31" i="45"/>
  <c r="Q25" i="45"/>
  <c r="BO28" i="45"/>
  <c r="CF29" i="45"/>
  <c r="CO21" i="45"/>
  <c r="I30" i="45"/>
  <c r="AD19" i="45"/>
  <c r="CC18" i="45"/>
  <c r="V19" i="45"/>
  <c r="AD26" i="45"/>
  <c r="BL21" i="45"/>
  <c r="CC22" i="45"/>
  <c r="CF22" i="45"/>
  <c r="BD26" i="45"/>
  <c r="CF26" i="45"/>
  <c r="AB20" i="45"/>
  <c r="BC27" i="45"/>
  <c r="J18" i="45"/>
  <c r="BU27" i="45"/>
  <c r="AS28" i="45"/>
  <c r="CG31" i="45"/>
  <c r="G19" i="45"/>
  <c r="F24" i="45"/>
  <c r="O21" i="45"/>
  <c r="AB19" i="45"/>
  <c r="AU20" i="45"/>
  <c r="BH31" i="45"/>
  <c r="P21" i="45"/>
  <c r="R19" i="45"/>
  <c r="CB18" i="45"/>
  <c r="AW23" i="45"/>
  <c r="AT18" i="45"/>
  <c r="V20" i="45"/>
  <c r="BC22" i="45"/>
  <c r="AJ25" i="45"/>
  <c r="AF19" i="45"/>
  <c r="CB25" i="45"/>
  <c r="AF26" i="45"/>
  <c r="J20" i="45"/>
  <c r="CQ23" i="45"/>
  <c r="AG19" i="45"/>
  <c r="AH23" i="45"/>
  <c r="AC21" i="45"/>
  <c r="BK20" i="45"/>
  <c r="AD22" i="45"/>
  <c r="T23" i="45"/>
  <c r="AA31" i="45"/>
  <c r="BB18" i="45"/>
  <c r="AT30" i="45"/>
  <c r="AP31" i="45"/>
  <c r="AB25" i="45"/>
  <c r="AX22" i="45"/>
  <c r="BU22" i="45"/>
  <c r="AV23" i="45"/>
  <c r="CL29" i="45"/>
  <c r="AE22" i="45"/>
  <c r="AT28" i="45"/>
  <c r="AY21" i="45"/>
  <c r="CF32" i="45"/>
  <c r="BN22" i="45"/>
  <c r="CF31" i="45"/>
  <c r="BL20" i="45"/>
  <c r="H24" i="45"/>
  <c r="O20" i="45"/>
  <c r="U28" i="45"/>
  <c r="CC27" i="45"/>
  <c r="AL25" i="45"/>
  <c r="CL19" i="45"/>
  <c r="K18" i="45"/>
  <c r="AJ20" i="45"/>
  <c r="AE31" i="45"/>
  <c r="CO29" i="45"/>
  <c r="CP31" i="45"/>
  <c r="L23" i="45"/>
  <c r="AY20" i="45"/>
  <c r="CA25" i="45"/>
  <c r="W20" i="45"/>
  <c r="BR28" i="45"/>
  <c r="CK18" i="45"/>
  <c r="AB30" i="45"/>
  <c r="AI20" i="45"/>
  <c r="AH32" i="45"/>
  <c r="CH27" i="45"/>
  <c r="AJ31" i="45"/>
  <c r="BT28" i="45"/>
  <c r="K31" i="45"/>
  <c r="CK21" i="45"/>
  <c r="CE28" i="45"/>
  <c r="CN20" i="45"/>
  <c r="CC30" i="45"/>
  <c r="AC26" i="45"/>
  <c r="AK25" i="45"/>
  <c r="BG20" i="45"/>
  <c r="CD25" i="45"/>
  <c r="BI20" i="45"/>
  <c r="AK20" i="45"/>
  <c r="J168" i="2"/>
  <c r="J164" i="2"/>
  <c r="J206" i="2"/>
  <c r="BK30" i="45"/>
  <c r="M29" i="45"/>
  <c r="BF31" i="45"/>
  <c r="AE25" i="45"/>
  <c r="N19" i="45"/>
  <c r="J27" i="45"/>
  <c r="AU18" i="45"/>
  <c r="CF24" i="45"/>
  <c r="W29" i="45"/>
  <c r="AM29" i="45"/>
  <c r="AQ18" i="45"/>
  <c r="BW22" i="45"/>
  <c r="U27" i="45"/>
  <c r="AD27" i="45"/>
  <c r="CH18" i="45"/>
  <c r="J273" i="2"/>
  <c r="J203" i="2"/>
  <c r="J226" i="2"/>
  <c r="J215" i="2"/>
  <c r="J172" i="2"/>
  <c r="D13" i="43"/>
  <c r="J176" i="2"/>
  <c r="J167" i="2"/>
  <c r="BR32" i="45"/>
  <c r="J201" i="2"/>
  <c r="CE22" i="45"/>
  <c r="BD23" i="45"/>
  <c r="CK19" i="45"/>
  <c r="I19" i="45"/>
  <c r="P30" i="45"/>
  <c r="AJ28" i="45"/>
  <c r="AG23" i="45"/>
  <c r="BC25" i="45"/>
  <c r="BG31" i="45"/>
  <c r="AR29" i="45"/>
  <c r="BJ22" i="45"/>
  <c r="AL21" i="45"/>
  <c r="CB28" i="45"/>
  <c r="K25" i="45"/>
  <c r="BE23" i="45"/>
  <c r="J239" i="2"/>
  <c r="J232" i="2"/>
  <c r="J266" i="2"/>
  <c r="J179" i="2"/>
  <c r="J185" i="2"/>
  <c r="J245" i="2"/>
  <c r="J173" i="2"/>
  <c r="J194" i="2"/>
  <c r="J229" i="2"/>
  <c r="BX24" i="45"/>
  <c r="BX26" i="45"/>
  <c r="BQ19" i="45"/>
  <c r="J221" i="2"/>
  <c r="J205" i="2"/>
  <c r="U32" i="45"/>
  <c r="E14" i="45"/>
  <c r="BH23" i="45"/>
  <c r="AW21" i="45"/>
  <c r="AC32" i="45"/>
  <c r="AT31" i="45"/>
  <c r="BR31" i="45"/>
  <c r="CB29" i="45"/>
  <c r="BX27" i="45"/>
  <c r="BV26" i="45"/>
  <c r="CL32" i="45"/>
  <c r="I29" i="45"/>
  <c r="G22" i="45"/>
  <c r="AQ21" i="45"/>
  <c r="AQ22" i="45"/>
  <c r="J188" i="2"/>
  <c r="J191" i="2"/>
  <c r="J257" i="2"/>
  <c r="J175" i="2"/>
  <c r="J198" i="2"/>
  <c r="J218" i="2"/>
  <c r="Z27" i="45"/>
  <c r="J202" i="2"/>
  <c r="AY27" i="45"/>
  <c r="CQ30" i="45"/>
  <c r="AY19" i="45"/>
  <c r="H23" i="45"/>
  <c r="CO31" i="45"/>
  <c r="AJ22" i="45"/>
  <c r="R25" i="45"/>
  <c r="BX29" i="45"/>
  <c r="AW30" i="45"/>
  <c r="AM28" i="45"/>
  <c r="BK29" i="45"/>
  <c r="BS19" i="45"/>
  <c r="BW24" i="45"/>
  <c r="Q19" i="45"/>
  <c r="CB20" i="45"/>
  <c r="J183" i="2"/>
  <c r="J256" i="2"/>
  <c r="J171" i="2"/>
  <c r="J217" i="2"/>
  <c r="J214" i="2"/>
  <c r="J174" i="2"/>
  <c r="CP27" i="45"/>
  <c r="J193" i="2"/>
  <c r="U31" i="45"/>
  <c r="BJ19" i="45"/>
  <c r="H26" i="45"/>
  <c r="BT22" i="45"/>
  <c r="BD29" i="45"/>
  <c r="W18" i="45"/>
  <c r="M23" i="45"/>
  <c r="AI23" i="45"/>
  <c r="BR26" i="45"/>
  <c r="I31" i="45"/>
  <c r="AS29" i="45"/>
  <c r="AL20" i="45"/>
  <c r="H30" i="45"/>
  <c r="AU26" i="45"/>
  <c r="AW27" i="45"/>
  <c r="J187" i="2"/>
  <c r="J181" i="2"/>
  <c r="J184" i="2"/>
  <c r="J189" i="2"/>
  <c r="J186" i="2"/>
  <c r="J163" i="2"/>
  <c r="J200" i="2"/>
  <c r="J207" i="2"/>
  <c r="G23" i="45"/>
  <c r="AW22" i="45"/>
  <c r="CE19" i="45"/>
  <c r="J210" i="2"/>
  <c r="BV18" i="45"/>
  <c r="AZ28" i="45"/>
  <c r="BO24" i="45"/>
  <c r="O30" i="45"/>
  <c r="BU21" i="45"/>
  <c r="BK21" i="45"/>
  <c r="AG29" i="45"/>
  <c r="BP19" i="45"/>
  <c r="AC22" i="45"/>
  <c r="CQ29" i="45"/>
  <c r="BA25" i="45"/>
  <c r="AP21" i="45"/>
  <c r="AZ21" i="45"/>
  <c r="BK27" i="45"/>
  <c r="J264" i="2"/>
  <c r="J204" i="2"/>
  <c r="J169" i="2"/>
  <c r="J196" i="2"/>
  <c r="J165" i="2"/>
  <c r="J197" i="2"/>
  <c r="J211" i="2"/>
  <c r="J192" i="2"/>
  <c r="O26" i="45"/>
  <c r="AG32" i="45"/>
  <c r="BU31" i="45"/>
  <c r="J178" i="2"/>
  <c r="AB21" i="45"/>
  <c r="CD26" i="45"/>
  <c r="AF18" i="45"/>
  <c r="AQ30" i="45"/>
  <c r="BQ28" i="45"/>
  <c r="AI25" i="45"/>
  <c r="AN22" i="45"/>
  <c r="BK18" i="45"/>
  <c r="BO23" i="45"/>
  <c r="CQ25" i="45"/>
  <c r="CD31" i="45"/>
  <c r="CP32" i="45"/>
  <c r="AZ27" i="45"/>
  <c r="BY19" i="45"/>
  <c r="I20" i="45"/>
  <c r="J180" i="2"/>
  <c r="J248" i="2"/>
  <c r="J259" i="2"/>
  <c r="J216" i="2"/>
  <c r="J166" i="2"/>
  <c r="J208" i="2"/>
  <c r="J170" i="2"/>
  <c r="BA21" i="45"/>
  <c r="CD18" i="45"/>
  <c r="BP24" i="45"/>
  <c r="J177" i="2"/>
  <c r="AI167" i="40" l="1"/>
  <c r="AC167" i="40"/>
  <c r="V167" i="40"/>
  <c r="AE167" i="40"/>
  <c r="W167" i="40"/>
  <c r="P167" i="40"/>
  <c r="AF167" i="40"/>
  <c r="X167" i="40"/>
  <c r="AH167" i="40"/>
  <c r="Y167" i="40"/>
  <c r="AJ167" i="40"/>
  <c r="AB167" i="40"/>
  <c r="Z167" i="40"/>
  <c r="S167" i="40"/>
  <c r="AA167" i="40"/>
  <c r="T167" i="40"/>
  <c r="R167" i="40"/>
  <c r="U167" i="40"/>
  <c r="AL77" i="40"/>
  <c r="AL142" i="40"/>
  <c r="AL59" i="40"/>
  <c r="AL14" i="40"/>
  <c r="AL38" i="40"/>
  <c r="AL41" i="40"/>
  <c r="AL119" i="40"/>
  <c r="AL35" i="40"/>
  <c r="AL20" i="40"/>
  <c r="AL24" i="40"/>
  <c r="AL64" i="40"/>
  <c r="AL132" i="40"/>
  <c r="AL112" i="40"/>
  <c r="AL43" i="40"/>
  <c r="AL11" i="40"/>
  <c r="AL12" i="40"/>
  <c r="AL48" i="40"/>
  <c r="AL39" i="40"/>
  <c r="AL111" i="40"/>
  <c r="AL92" i="40"/>
  <c r="AL25" i="40"/>
  <c r="AL69" i="40"/>
  <c r="AL123" i="40"/>
  <c r="AL32" i="40"/>
  <c r="AL56" i="40"/>
  <c r="AL143" i="40"/>
  <c r="AL114" i="40"/>
  <c r="AL113" i="40"/>
  <c r="AL68" i="40"/>
  <c r="AL52" i="40"/>
  <c r="AL117" i="40"/>
  <c r="AL51" i="40"/>
  <c r="AL63" i="40"/>
  <c r="AL145" i="40"/>
  <c r="AL45" i="40"/>
  <c r="AL76" i="40"/>
  <c r="AL122" i="40"/>
  <c r="AL15" i="40"/>
  <c r="AL93" i="40"/>
  <c r="AL47" i="40"/>
  <c r="AL125" i="40"/>
  <c r="AL66" i="40"/>
  <c r="AL99" i="40"/>
  <c r="AL53" i="40"/>
  <c r="AL103" i="40"/>
  <c r="AL91" i="40"/>
  <c r="AL57" i="40"/>
  <c r="AL10" i="40"/>
  <c r="AL134" i="40"/>
  <c r="AL102" i="40"/>
  <c r="AL7" i="40"/>
  <c r="AL100" i="40"/>
  <c r="AL71" i="40"/>
  <c r="AL28" i="40"/>
  <c r="AL37" i="40"/>
  <c r="AL115" i="40"/>
  <c r="AL55" i="40"/>
  <c r="AL58" i="40"/>
  <c r="AL16" i="40"/>
  <c r="AL107" i="40"/>
  <c r="AL74" i="40"/>
  <c r="AL116" i="40"/>
  <c r="AL21" i="40"/>
  <c r="AL118" i="40"/>
  <c r="AL84" i="40"/>
  <c r="AL61" i="40"/>
  <c r="AL33" i="40"/>
  <c r="AL40" i="40"/>
  <c r="AL139" i="40"/>
  <c r="AL110" i="40"/>
  <c r="AL90" i="40"/>
  <c r="AL140" i="40"/>
  <c r="AL23" i="40"/>
  <c r="AL72" i="40"/>
  <c r="AL87" i="40"/>
  <c r="AL130" i="40"/>
  <c r="AL65" i="40"/>
  <c r="AL75" i="40"/>
  <c r="AL104" i="40"/>
  <c r="D264" i="43"/>
  <c r="E264" i="43" s="1"/>
  <c r="F264" i="43" s="1"/>
  <c r="G264" i="43" s="1"/>
  <c r="H264" i="43" s="1"/>
  <c r="I264" i="43" s="1"/>
  <c r="J264" i="43" s="1"/>
  <c r="K264" i="43" s="1"/>
  <c r="C264" i="43"/>
  <c r="A264" i="43"/>
  <c r="C317" i="43"/>
  <c r="A317" i="43"/>
  <c r="O66" i="40"/>
  <c r="AN89" i="40"/>
  <c r="AN105" i="40"/>
  <c r="AN37" i="40"/>
  <c r="AN24" i="40"/>
  <c r="AN121" i="40"/>
  <c r="AN18" i="40"/>
  <c r="AN138" i="40"/>
  <c r="D73" i="43"/>
  <c r="E73" i="43" s="1"/>
  <c r="F73" i="43" s="1"/>
  <c r="G73" i="43" s="1"/>
  <c r="H73" i="43" s="1"/>
  <c r="I73" i="43" s="1"/>
  <c r="J73" i="43" s="1"/>
  <c r="K73" i="43" s="1"/>
  <c r="C73" i="43"/>
  <c r="D105" i="43"/>
  <c r="E105" i="43" s="1"/>
  <c r="F105" i="43" s="1"/>
  <c r="G105" i="43" s="1"/>
  <c r="H105" i="43" s="1"/>
  <c r="I105" i="43" s="1"/>
  <c r="J105" i="43" s="1"/>
  <c r="K105" i="43" s="1"/>
  <c r="C105" i="43"/>
  <c r="D137" i="43"/>
  <c r="E137" i="43" s="1"/>
  <c r="F137" i="43" s="1"/>
  <c r="G137" i="43" s="1"/>
  <c r="H137" i="43" s="1"/>
  <c r="I137" i="43" s="1"/>
  <c r="J137" i="43" s="1"/>
  <c r="K137" i="43" s="1"/>
  <c r="C137" i="43"/>
  <c r="D217" i="43"/>
  <c r="E217" i="43" s="1"/>
  <c r="F217" i="43" s="1"/>
  <c r="G217" i="43" s="1"/>
  <c r="H217" i="43" s="1"/>
  <c r="I217" i="43" s="1"/>
  <c r="J217" i="43" s="1"/>
  <c r="K217" i="43" s="1"/>
  <c r="C217" i="43"/>
  <c r="D270" i="43"/>
  <c r="E270" i="43" s="1"/>
  <c r="F270" i="43" s="1"/>
  <c r="G270" i="43" s="1"/>
  <c r="H270" i="43" s="1"/>
  <c r="I270" i="43" s="1"/>
  <c r="J270" i="43" s="1"/>
  <c r="K270" i="43" s="1"/>
  <c r="C270" i="43"/>
  <c r="D320" i="43"/>
  <c r="E320" i="43" s="1"/>
  <c r="F320" i="43" s="1"/>
  <c r="G320" i="43" s="1"/>
  <c r="H320" i="43" s="1"/>
  <c r="I320" i="43" s="1"/>
  <c r="J320" i="43" s="1"/>
  <c r="K320" i="43" s="1"/>
  <c r="C320" i="43"/>
  <c r="D373" i="43"/>
  <c r="E373" i="43" s="1"/>
  <c r="F373" i="43" s="1"/>
  <c r="G373" i="43" s="1"/>
  <c r="H373" i="43" s="1"/>
  <c r="I373" i="43" s="1"/>
  <c r="J373" i="43" s="1"/>
  <c r="K373" i="43" s="1"/>
  <c r="C373" i="43"/>
  <c r="A373" i="43"/>
  <c r="D423" i="43"/>
  <c r="E423" i="43" s="1"/>
  <c r="F423" i="43" s="1"/>
  <c r="G423" i="43" s="1"/>
  <c r="H423" i="43" s="1"/>
  <c r="I423" i="43" s="1"/>
  <c r="J423" i="43" s="1"/>
  <c r="K423" i="43" s="1"/>
  <c r="A423" i="43"/>
  <c r="O17" i="40"/>
  <c r="AN109" i="40"/>
  <c r="AN130" i="40"/>
  <c r="AN63" i="40"/>
  <c r="AN101" i="40"/>
  <c r="AN94" i="40"/>
  <c r="AN39" i="40"/>
  <c r="AN44" i="40"/>
  <c r="C113" i="43"/>
  <c r="C381" i="43"/>
  <c r="D381" i="43"/>
  <c r="E381" i="43" s="1"/>
  <c r="F381" i="43" s="1"/>
  <c r="G381" i="43" s="1"/>
  <c r="H381" i="43" s="1"/>
  <c r="I381" i="43" s="1"/>
  <c r="J381" i="43" s="1"/>
  <c r="K381" i="43" s="1"/>
  <c r="N72" i="40"/>
  <c r="N118" i="40"/>
  <c r="T194" i="40"/>
  <c r="AB194" i="40"/>
  <c r="V194" i="40"/>
  <c r="AA194" i="40"/>
  <c r="O42" i="40"/>
  <c r="C121" i="43"/>
  <c r="D81" i="43"/>
  <c r="E81" i="43" s="1"/>
  <c r="F81" i="43" s="1"/>
  <c r="G81" i="43" s="1"/>
  <c r="H81" i="43" s="1"/>
  <c r="I81" i="43" s="1"/>
  <c r="J81" i="43" s="1"/>
  <c r="K81" i="43" s="1"/>
  <c r="C81" i="43"/>
  <c r="D145" i="43"/>
  <c r="E145" i="43" s="1"/>
  <c r="F145" i="43" s="1"/>
  <c r="G145" i="43" s="1"/>
  <c r="H145" i="43" s="1"/>
  <c r="I145" i="43" s="1"/>
  <c r="J145" i="43" s="1"/>
  <c r="K145" i="43" s="1"/>
  <c r="C145" i="43"/>
  <c r="D181" i="43"/>
  <c r="E181" i="43" s="1"/>
  <c r="F181" i="43" s="1"/>
  <c r="G181" i="43" s="1"/>
  <c r="H181" i="43" s="1"/>
  <c r="I181" i="43" s="1"/>
  <c r="J181" i="43" s="1"/>
  <c r="K181" i="43" s="1"/>
  <c r="C181" i="43"/>
  <c r="D281" i="43"/>
  <c r="E281" i="43" s="1"/>
  <c r="F281" i="43" s="1"/>
  <c r="G281" i="43" s="1"/>
  <c r="H281" i="43" s="1"/>
  <c r="I281" i="43" s="1"/>
  <c r="J281" i="43" s="1"/>
  <c r="K281" i="43" s="1"/>
  <c r="C281" i="43"/>
  <c r="C334" i="43"/>
  <c r="D334" i="43"/>
  <c r="E334" i="43" s="1"/>
  <c r="F334" i="43" s="1"/>
  <c r="G334" i="43" s="1"/>
  <c r="H334" i="43" s="1"/>
  <c r="I334" i="43" s="1"/>
  <c r="J334" i="43" s="1"/>
  <c r="K334" i="43" s="1"/>
  <c r="D437" i="43"/>
  <c r="E437" i="43" s="1"/>
  <c r="F437" i="43" s="1"/>
  <c r="G437" i="43" s="1"/>
  <c r="H437" i="43" s="1"/>
  <c r="I437" i="43" s="1"/>
  <c r="J437" i="43" s="1"/>
  <c r="K437" i="43" s="1"/>
  <c r="A437" i="43"/>
  <c r="AJ298" i="40"/>
  <c r="W298" i="40"/>
  <c r="X298" i="40"/>
  <c r="P298" i="40"/>
  <c r="C89" i="43"/>
  <c r="D89" i="43"/>
  <c r="E89" i="43" s="1"/>
  <c r="F89" i="43" s="1"/>
  <c r="G89" i="43" s="1"/>
  <c r="H89" i="43" s="1"/>
  <c r="I89" i="43" s="1"/>
  <c r="J89" i="43" s="1"/>
  <c r="K89" i="43" s="1"/>
  <c r="D153" i="43"/>
  <c r="E153" i="43" s="1"/>
  <c r="F153" i="43" s="1"/>
  <c r="G153" i="43" s="1"/>
  <c r="H153" i="43" s="1"/>
  <c r="I153" i="43" s="1"/>
  <c r="J153" i="43" s="1"/>
  <c r="K153" i="43" s="1"/>
  <c r="C153" i="43"/>
  <c r="D192" i="43"/>
  <c r="E192" i="43" s="1"/>
  <c r="F192" i="43" s="1"/>
  <c r="G192" i="43" s="1"/>
  <c r="H192" i="43" s="1"/>
  <c r="I192" i="43" s="1"/>
  <c r="J192" i="43" s="1"/>
  <c r="K192" i="43" s="1"/>
  <c r="C192" i="43"/>
  <c r="D245" i="43"/>
  <c r="E245" i="43" s="1"/>
  <c r="F245" i="43" s="1"/>
  <c r="G245" i="43" s="1"/>
  <c r="H245" i="43" s="1"/>
  <c r="I245" i="43" s="1"/>
  <c r="J245" i="43" s="1"/>
  <c r="K245" i="43" s="1"/>
  <c r="C245" i="43"/>
  <c r="D295" i="43"/>
  <c r="E295" i="43" s="1"/>
  <c r="F295" i="43" s="1"/>
  <c r="G295" i="43" s="1"/>
  <c r="H295" i="43" s="1"/>
  <c r="I295" i="43" s="1"/>
  <c r="J295" i="43" s="1"/>
  <c r="K295" i="43" s="1"/>
  <c r="C295" i="43"/>
  <c r="D345" i="43"/>
  <c r="E345" i="43" s="1"/>
  <c r="F345" i="43" s="1"/>
  <c r="G345" i="43" s="1"/>
  <c r="H345" i="43" s="1"/>
  <c r="I345" i="43" s="1"/>
  <c r="J345" i="43" s="1"/>
  <c r="K345" i="43" s="1"/>
  <c r="C345" i="43"/>
  <c r="D398" i="43"/>
  <c r="E398" i="43" s="1"/>
  <c r="F398" i="43" s="1"/>
  <c r="G398" i="43" s="1"/>
  <c r="H398" i="43" s="1"/>
  <c r="I398" i="43" s="1"/>
  <c r="J398" i="43" s="1"/>
  <c r="K398" i="43" s="1"/>
  <c r="A398" i="43"/>
  <c r="D448" i="43"/>
  <c r="E448" i="43" s="1"/>
  <c r="F448" i="43" s="1"/>
  <c r="G448" i="43" s="1"/>
  <c r="H448" i="43" s="1"/>
  <c r="I448" i="43" s="1"/>
  <c r="J448" i="43" s="1"/>
  <c r="K448" i="43" s="1"/>
  <c r="A448" i="43"/>
  <c r="C448" i="43"/>
  <c r="AA303" i="40"/>
  <c r="R303" i="40"/>
  <c r="N9" i="40"/>
  <c r="N22" i="40"/>
  <c r="P22" i="40" s="1"/>
  <c r="O53" i="40"/>
  <c r="AN42" i="40"/>
  <c r="AN73" i="40"/>
  <c r="AN123" i="40"/>
  <c r="AN79" i="40"/>
  <c r="AN124" i="40"/>
  <c r="AN90" i="40"/>
  <c r="A121" i="43"/>
  <c r="A65" i="43"/>
  <c r="A153" i="43"/>
  <c r="M281" i="40"/>
  <c r="D97" i="43"/>
  <c r="E97" i="43" s="1"/>
  <c r="F97" i="43" s="1"/>
  <c r="G97" i="43" s="1"/>
  <c r="H97" i="43" s="1"/>
  <c r="I97" i="43" s="1"/>
  <c r="J97" i="43" s="1"/>
  <c r="K97" i="43" s="1"/>
  <c r="C97" i="43"/>
  <c r="D129" i="43"/>
  <c r="E129" i="43" s="1"/>
  <c r="F129" i="43" s="1"/>
  <c r="G129" i="43" s="1"/>
  <c r="H129" i="43" s="1"/>
  <c r="I129" i="43" s="1"/>
  <c r="J129" i="43" s="1"/>
  <c r="K129" i="43" s="1"/>
  <c r="C129" i="43"/>
  <c r="D161" i="43"/>
  <c r="E161" i="43" s="1"/>
  <c r="F161" i="43" s="1"/>
  <c r="G161" i="43" s="1"/>
  <c r="H161" i="43" s="1"/>
  <c r="I161" i="43" s="1"/>
  <c r="J161" i="43" s="1"/>
  <c r="K161" i="43" s="1"/>
  <c r="C161" i="43"/>
  <c r="C206" i="43"/>
  <c r="D206" i="43"/>
  <c r="E206" i="43" s="1"/>
  <c r="F206" i="43" s="1"/>
  <c r="G206" i="43" s="1"/>
  <c r="H206" i="43" s="1"/>
  <c r="I206" i="43" s="1"/>
  <c r="J206" i="43" s="1"/>
  <c r="K206" i="43" s="1"/>
  <c r="D256" i="43"/>
  <c r="E256" i="43" s="1"/>
  <c r="F256" i="43" s="1"/>
  <c r="G256" i="43" s="1"/>
  <c r="H256" i="43" s="1"/>
  <c r="I256" i="43" s="1"/>
  <c r="J256" i="43" s="1"/>
  <c r="K256" i="43" s="1"/>
  <c r="C256" i="43"/>
  <c r="D309" i="43"/>
  <c r="E309" i="43" s="1"/>
  <c r="F309" i="43" s="1"/>
  <c r="G309" i="43" s="1"/>
  <c r="H309" i="43" s="1"/>
  <c r="I309" i="43" s="1"/>
  <c r="J309" i="43" s="1"/>
  <c r="K309" i="43" s="1"/>
  <c r="C309" i="43"/>
  <c r="D359" i="43"/>
  <c r="E359" i="43" s="1"/>
  <c r="F359" i="43" s="1"/>
  <c r="G359" i="43" s="1"/>
  <c r="H359" i="43" s="1"/>
  <c r="I359" i="43" s="1"/>
  <c r="J359" i="43" s="1"/>
  <c r="K359" i="43" s="1"/>
  <c r="C359" i="43"/>
  <c r="D409" i="43"/>
  <c r="E409" i="43" s="1"/>
  <c r="F409" i="43" s="1"/>
  <c r="G409" i="43" s="1"/>
  <c r="H409" i="43" s="1"/>
  <c r="I409" i="43" s="1"/>
  <c r="J409" i="43" s="1"/>
  <c r="K409" i="43" s="1"/>
  <c r="C409" i="43"/>
  <c r="A409" i="43"/>
  <c r="B63" i="43"/>
  <c r="B71" i="43"/>
  <c r="B79" i="43"/>
  <c r="B87" i="43"/>
  <c r="B95" i="43"/>
  <c r="B103" i="43"/>
  <c r="B111" i="43"/>
  <c r="B119" i="43"/>
  <c r="B127" i="43"/>
  <c r="B135" i="43"/>
  <c r="B143" i="43"/>
  <c r="B151" i="43"/>
  <c r="B159" i="43"/>
  <c r="B167" i="43"/>
  <c r="B176" i="43"/>
  <c r="B190" i="43"/>
  <c r="B201" i="43"/>
  <c r="B215" i="43"/>
  <c r="B229" i="43"/>
  <c r="B240" i="43"/>
  <c r="B254" i="43"/>
  <c r="B265" i="43"/>
  <c r="B279" i="43"/>
  <c r="B293" i="43"/>
  <c r="B304" i="43"/>
  <c r="B318" i="43"/>
  <c r="B329" i="43"/>
  <c r="B343" i="43"/>
  <c r="B357" i="43"/>
  <c r="B368" i="43"/>
  <c r="B382" i="43"/>
  <c r="B393" i="43"/>
  <c r="B407" i="43"/>
  <c r="B421" i="43"/>
  <c r="B432" i="43"/>
  <c r="B446" i="43"/>
  <c r="B57" i="43"/>
  <c r="B46" i="43"/>
  <c r="B36" i="43"/>
  <c r="B14" i="43"/>
  <c r="B28" i="43"/>
  <c r="M268" i="40"/>
  <c r="M261" i="40"/>
  <c r="M245" i="40"/>
  <c r="M235" i="40"/>
  <c r="M172" i="40"/>
  <c r="B64" i="43"/>
  <c r="B72" i="43"/>
  <c r="B80" i="43"/>
  <c r="B88" i="43"/>
  <c r="B96" i="43"/>
  <c r="B104" i="43"/>
  <c r="B112" i="43"/>
  <c r="B120" i="43"/>
  <c r="B128" i="43"/>
  <c r="B136" i="43"/>
  <c r="B144" i="43"/>
  <c r="B152" i="43"/>
  <c r="B160" i="43"/>
  <c r="B168" i="43"/>
  <c r="B177" i="43"/>
  <c r="B191" i="43"/>
  <c r="B205" i="43"/>
  <c r="B216" i="43"/>
  <c r="B230" i="43"/>
  <c r="B241" i="43"/>
  <c r="B255" i="43"/>
  <c r="B269" i="43"/>
  <c r="B280" i="43"/>
  <c r="B294" i="43"/>
  <c r="B305" i="43"/>
  <c r="B319" i="43"/>
  <c r="B333" i="43"/>
  <c r="B344" i="43"/>
  <c r="B358" i="43"/>
  <c r="B369" i="43"/>
  <c r="B383" i="43"/>
  <c r="B397" i="43"/>
  <c r="B408" i="43"/>
  <c r="B422" i="43"/>
  <c r="B433" i="43"/>
  <c r="B447" i="43"/>
  <c r="B56" i="43"/>
  <c r="B45" i="43"/>
  <c r="B34" i="43"/>
  <c r="B18" i="43"/>
  <c r="B29" i="43"/>
  <c r="M302" i="40"/>
  <c r="M291" i="40"/>
  <c r="M264" i="40"/>
  <c r="M254" i="40"/>
  <c r="M251" i="40"/>
  <c r="M211" i="40"/>
  <c r="M184" i="40"/>
  <c r="M186" i="40"/>
  <c r="M176" i="40"/>
  <c r="B66" i="43"/>
  <c r="A66" i="43" s="1"/>
  <c r="B74" i="43"/>
  <c r="A74" i="43" s="1"/>
  <c r="B82" i="43"/>
  <c r="A82" i="43" s="1"/>
  <c r="B90" i="43"/>
  <c r="A90" i="43" s="1"/>
  <c r="B98" i="43"/>
  <c r="B106" i="43"/>
  <c r="A106" i="43" s="1"/>
  <c r="B114" i="43"/>
  <c r="B122" i="43"/>
  <c r="A122" i="43" s="1"/>
  <c r="B130" i="43"/>
  <c r="A130" i="43" s="1"/>
  <c r="B138" i="43"/>
  <c r="A138" i="43" s="1"/>
  <c r="B146" i="43"/>
  <c r="B154" i="43"/>
  <c r="D154" i="43" s="1"/>
  <c r="E154" i="43" s="1"/>
  <c r="F154" i="43" s="1"/>
  <c r="G154" i="43" s="1"/>
  <c r="H154" i="43" s="1"/>
  <c r="I154" i="43" s="1"/>
  <c r="J154" i="43" s="1"/>
  <c r="K154" i="43" s="1"/>
  <c r="B162" i="43"/>
  <c r="D162" i="43" s="1"/>
  <c r="E162" i="43" s="1"/>
  <c r="F162" i="43" s="1"/>
  <c r="G162" i="43" s="1"/>
  <c r="H162" i="43" s="1"/>
  <c r="I162" i="43" s="1"/>
  <c r="J162" i="43" s="1"/>
  <c r="K162" i="43" s="1"/>
  <c r="B170" i="43"/>
  <c r="D170" i="43" s="1"/>
  <c r="E170" i="43" s="1"/>
  <c r="F170" i="43" s="1"/>
  <c r="G170" i="43" s="1"/>
  <c r="H170" i="43" s="1"/>
  <c r="I170" i="43" s="1"/>
  <c r="J170" i="43" s="1"/>
  <c r="K170" i="43" s="1"/>
  <c r="B182" i="43"/>
  <c r="A182" i="43" s="1"/>
  <c r="B193" i="43"/>
  <c r="C193" i="43" s="1"/>
  <c r="B207" i="43"/>
  <c r="B221" i="43"/>
  <c r="A221" i="43" s="1"/>
  <c r="B232" i="43"/>
  <c r="B246" i="43"/>
  <c r="A246" i="43" s="1"/>
  <c r="B257" i="43"/>
  <c r="C257" i="43" s="1"/>
  <c r="B271" i="43"/>
  <c r="C271" i="43" s="1"/>
  <c r="B285" i="43"/>
  <c r="A285" i="43" s="1"/>
  <c r="B296" i="43"/>
  <c r="B310" i="43"/>
  <c r="A310" i="43" s="1"/>
  <c r="B321" i="43"/>
  <c r="C321" i="43" s="1"/>
  <c r="B335" i="43"/>
  <c r="C335" i="43" s="1"/>
  <c r="B349" i="43"/>
  <c r="B360" i="43"/>
  <c r="B374" i="43"/>
  <c r="B385" i="43"/>
  <c r="C385" i="43" s="1"/>
  <c r="B399" i="43"/>
  <c r="C399" i="43" s="1"/>
  <c r="B413" i="43"/>
  <c r="B424" i="43"/>
  <c r="B438" i="43"/>
  <c r="B449" i="43"/>
  <c r="C449" i="43" s="1"/>
  <c r="B53" i="43"/>
  <c r="B42" i="43"/>
  <c r="B32" i="43"/>
  <c r="B20" i="43"/>
  <c r="M287" i="40"/>
  <c r="M283" i="40"/>
  <c r="M229" i="40"/>
  <c r="M206" i="40"/>
  <c r="B67" i="43"/>
  <c r="B75" i="43"/>
  <c r="B83" i="43"/>
  <c r="B91" i="43"/>
  <c r="B99" i="43"/>
  <c r="B107" i="43"/>
  <c r="B115" i="43"/>
  <c r="B123" i="43"/>
  <c r="B131" i="43"/>
  <c r="B139" i="43"/>
  <c r="B147" i="43"/>
  <c r="B155" i="43"/>
  <c r="C155" i="43" s="1"/>
  <c r="B163" i="43"/>
  <c r="B171" i="43"/>
  <c r="C171" i="43" s="1"/>
  <c r="B183" i="43"/>
  <c r="C183" i="43" s="1"/>
  <c r="B197" i="43"/>
  <c r="A197" i="43" s="1"/>
  <c r="B208" i="43"/>
  <c r="B222" i="43"/>
  <c r="A222" i="43" s="1"/>
  <c r="B233" i="43"/>
  <c r="C233" i="43" s="1"/>
  <c r="B247" i="43"/>
  <c r="B261" i="43"/>
  <c r="C261" i="43" s="1"/>
  <c r="B272" i="43"/>
  <c r="B286" i="43"/>
  <c r="A286" i="43" s="1"/>
  <c r="B297" i="43"/>
  <c r="B311" i="43"/>
  <c r="C311" i="43" s="1"/>
  <c r="B325" i="43"/>
  <c r="A325" i="43" s="1"/>
  <c r="B336" i="43"/>
  <c r="B350" i="43"/>
  <c r="B361" i="43"/>
  <c r="C361" i="43" s="1"/>
  <c r="B375" i="43"/>
  <c r="C375" i="43" s="1"/>
  <c r="B389" i="43"/>
  <c r="A389" i="43" s="1"/>
  <c r="B400" i="43"/>
  <c r="B414" i="43"/>
  <c r="B425" i="43"/>
  <c r="C425" i="43" s="1"/>
  <c r="B439" i="43"/>
  <c r="C439" i="43" s="1"/>
  <c r="B62" i="43"/>
  <c r="B52" i="43"/>
  <c r="B41" i="43"/>
  <c r="B30" i="43"/>
  <c r="B21" i="43"/>
  <c r="M301" i="40"/>
  <c r="M286" i="40"/>
  <c r="M234" i="40"/>
  <c r="B68" i="43"/>
  <c r="A68" i="43" s="1"/>
  <c r="B76" i="43"/>
  <c r="A76" i="43" s="1"/>
  <c r="B84" i="43"/>
  <c r="A84" i="43" s="1"/>
  <c r="B92" i="43"/>
  <c r="A92" i="43" s="1"/>
  <c r="B100" i="43"/>
  <c r="A100" i="43" s="1"/>
  <c r="B108" i="43"/>
  <c r="B116" i="43"/>
  <c r="B124" i="43"/>
  <c r="A124" i="43" s="1"/>
  <c r="B132" i="43"/>
  <c r="A132" i="43" s="1"/>
  <c r="B140" i="43"/>
  <c r="A140" i="43" s="1"/>
  <c r="B148" i="43"/>
  <c r="A148" i="43" s="1"/>
  <c r="B156" i="43"/>
  <c r="A156" i="43" s="1"/>
  <c r="B164" i="43"/>
  <c r="A164" i="43" s="1"/>
  <c r="B173" i="43"/>
  <c r="A173" i="43" s="1"/>
  <c r="B184" i="43"/>
  <c r="B198" i="43"/>
  <c r="A198" i="43" s="1"/>
  <c r="B209" i="43"/>
  <c r="C209" i="43" s="1"/>
  <c r="B223" i="43"/>
  <c r="C223" i="43" s="1"/>
  <c r="B237" i="43"/>
  <c r="A237" i="43" s="1"/>
  <c r="B248" i="43"/>
  <c r="B262" i="43"/>
  <c r="B273" i="43"/>
  <c r="C273" i="43" s="1"/>
  <c r="B287" i="43"/>
  <c r="C287" i="43" s="1"/>
  <c r="B301" i="43"/>
  <c r="A301" i="43" s="1"/>
  <c r="B312" i="43"/>
  <c r="B326" i="43"/>
  <c r="B337" i="43"/>
  <c r="C337" i="43" s="1"/>
  <c r="B351" i="43"/>
  <c r="C351" i="43" s="1"/>
  <c r="B365" i="43"/>
  <c r="B376" i="43"/>
  <c r="B390" i="43"/>
  <c r="B401" i="43"/>
  <c r="C401" i="43" s="1"/>
  <c r="B415" i="43"/>
  <c r="C415" i="43" s="1"/>
  <c r="B429" i="43"/>
  <c r="B440" i="43"/>
  <c r="B61" i="43"/>
  <c r="B50" i="43"/>
  <c r="B40" i="43"/>
  <c r="B22" i="43"/>
  <c r="AI191" i="40"/>
  <c r="AH174" i="40"/>
  <c r="B69" i="43"/>
  <c r="A69" i="43" s="1"/>
  <c r="B77" i="43"/>
  <c r="A77" i="43" s="1"/>
  <c r="B85" i="43"/>
  <c r="D85" i="43" s="1"/>
  <c r="E85" i="43" s="1"/>
  <c r="F85" i="43" s="1"/>
  <c r="G85" i="43" s="1"/>
  <c r="H85" i="43" s="1"/>
  <c r="I85" i="43" s="1"/>
  <c r="J85" i="43" s="1"/>
  <c r="K85" i="43" s="1"/>
  <c r="B93" i="43"/>
  <c r="D93" i="43" s="1"/>
  <c r="E93" i="43" s="1"/>
  <c r="F93" i="43" s="1"/>
  <c r="G93" i="43" s="1"/>
  <c r="H93" i="43" s="1"/>
  <c r="I93" i="43" s="1"/>
  <c r="J93" i="43" s="1"/>
  <c r="K93" i="43" s="1"/>
  <c r="B101" i="43"/>
  <c r="D101" i="43" s="1"/>
  <c r="E101" i="43" s="1"/>
  <c r="F101" i="43" s="1"/>
  <c r="G101" i="43" s="1"/>
  <c r="H101" i="43" s="1"/>
  <c r="I101" i="43" s="1"/>
  <c r="J101" i="43" s="1"/>
  <c r="K101" i="43" s="1"/>
  <c r="B109" i="43"/>
  <c r="D109" i="43" s="1"/>
  <c r="E109" i="43" s="1"/>
  <c r="F109" i="43" s="1"/>
  <c r="G109" i="43" s="1"/>
  <c r="H109" i="43" s="1"/>
  <c r="I109" i="43" s="1"/>
  <c r="J109" i="43" s="1"/>
  <c r="K109" i="43" s="1"/>
  <c r="B117" i="43"/>
  <c r="B125" i="43"/>
  <c r="A125" i="43" s="1"/>
  <c r="B133" i="43"/>
  <c r="B141" i="43"/>
  <c r="D141" i="43" s="1"/>
  <c r="E141" i="43" s="1"/>
  <c r="F141" i="43" s="1"/>
  <c r="G141" i="43" s="1"/>
  <c r="H141" i="43" s="1"/>
  <c r="I141" i="43" s="1"/>
  <c r="J141" i="43" s="1"/>
  <c r="K141" i="43" s="1"/>
  <c r="B149" i="43"/>
  <c r="B157" i="43"/>
  <c r="B165" i="43"/>
  <c r="B174" i="43"/>
  <c r="B185" i="43"/>
  <c r="B199" i="43"/>
  <c r="B213" i="43"/>
  <c r="B224" i="43"/>
  <c r="B238" i="43"/>
  <c r="B249" i="43"/>
  <c r="B263" i="43"/>
  <c r="B277" i="43"/>
  <c r="B288" i="43"/>
  <c r="B302" i="43"/>
  <c r="B313" i="43"/>
  <c r="B327" i="43"/>
  <c r="B341" i="43"/>
  <c r="B352" i="43"/>
  <c r="B366" i="43"/>
  <c r="B377" i="43"/>
  <c r="B391" i="43"/>
  <c r="B405" i="43"/>
  <c r="B416" i="43"/>
  <c r="B430" i="43"/>
  <c r="B441" i="43"/>
  <c r="B60" i="43"/>
  <c r="B49" i="43"/>
  <c r="B38" i="43"/>
  <c r="B26" i="43"/>
  <c r="M285" i="40"/>
  <c r="M212" i="40"/>
  <c r="M189" i="40"/>
  <c r="M175" i="40"/>
  <c r="AH191" i="40"/>
  <c r="O105" i="40"/>
  <c r="P105" i="40"/>
  <c r="N88" i="40"/>
  <c r="P88" i="40" s="1"/>
  <c r="U249" i="40" s="1"/>
  <c r="N24" i="40"/>
  <c r="N25" i="40"/>
  <c r="N51" i="40"/>
  <c r="P77" i="40"/>
  <c r="O77" i="40"/>
  <c r="N52" i="40"/>
  <c r="N111" i="40"/>
  <c r="N18" i="40"/>
  <c r="N36" i="40"/>
  <c r="N35" i="40"/>
  <c r="N68" i="40"/>
  <c r="N94" i="40"/>
  <c r="N125" i="40"/>
  <c r="N47" i="40"/>
  <c r="N90" i="40"/>
  <c r="N96" i="40"/>
  <c r="N7" i="40"/>
  <c r="N74" i="40"/>
  <c r="N121" i="40"/>
  <c r="N97" i="40"/>
  <c r="N108" i="40"/>
  <c r="O108" i="40" s="1"/>
  <c r="N8" i="40"/>
  <c r="P56" i="40"/>
  <c r="O56" i="40"/>
  <c r="O9" i="40"/>
  <c r="P9" i="40"/>
  <c r="N62" i="40"/>
  <c r="N75" i="40"/>
  <c r="C70" i="43"/>
  <c r="A70" i="43"/>
  <c r="D70" i="43"/>
  <c r="E70" i="43" s="1"/>
  <c r="F70" i="43" s="1"/>
  <c r="G70" i="43" s="1"/>
  <c r="H70" i="43" s="1"/>
  <c r="I70" i="43" s="1"/>
  <c r="J70" i="43" s="1"/>
  <c r="K70" i="43" s="1"/>
  <c r="C78" i="43"/>
  <c r="A78" i="43"/>
  <c r="D78" i="43"/>
  <c r="E78" i="43" s="1"/>
  <c r="F78" i="43" s="1"/>
  <c r="G78" i="43" s="1"/>
  <c r="H78" i="43" s="1"/>
  <c r="I78" i="43" s="1"/>
  <c r="J78" i="43" s="1"/>
  <c r="K78" i="43" s="1"/>
  <c r="D86" i="43"/>
  <c r="E86" i="43" s="1"/>
  <c r="F86" i="43" s="1"/>
  <c r="G86" i="43" s="1"/>
  <c r="H86" i="43" s="1"/>
  <c r="I86" i="43" s="1"/>
  <c r="J86" i="43" s="1"/>
  <c r="K86" i="43" s="1"/>
  <c r="C86" i="43"/>
  <c r="A86" i="43"/>
  <c r="D94" i="43"/>
  <c r="E94" i="43" s="1"/>
  <c r="F94" i="43" s="1"/>
  <c r="G94" i="43" s="1"/>
  <c r="H94" i="43" s="1"/>
  <c r="I94" i="43" s="1"/>
  <c r="J94" i="43" s="1"/>
  <c r="K94" i="43" s="1"/>
  <c r="C94" i="43"/>
  <c r="A94" i="43"/>
  <c r="D102" i="43"/>
  <c r="E102" i="43" s="1"/>
  <c r="F102" i="43" s="1"/>
  <c r="G102" i="43" s="1"/>
  <c r="H102" i="43" s="1"/>
  <c r="I102" i="43" s="1"/>
  <c r="J102" i="43" s="1"/>
  <c r="K102" i="43" s="1"/>
  <c r="C102" i="43"/>
  <c r="A102" i="43"/>
  <c r="D110" i="43"/>
  <c r="E110" i="43" s="1"/>
  <c r="F110" i="43" s="1"/>
  <c r="G110" i="43" s="1"/>
  <c r="H110" i="43" s="1"/>
  <c r="I110" i="43" s="1"/>
  <c r="J110" i="43" s="1"/>
  <c r="K110" i="43" s="1"/>
  <c r="C110" i="43"/>
  <c r="A110" i="43"/>
  <c r="D118" i="43"/>
  <c r="E118" i="43" s="1"/>
  <c r="F118" i="43" s="1"/>
  <c r="G118" i="43" s="1"/>
  <c r="H118" i="43" s="1"/>
  <c r="I118" i="43" s="1"/>
  <c r="J118" i="43" s="1"/>
  <c r="K118" i="43" s="1"/>
  <c r="C118" i="43"/>
  <c r="A118" i="43"/>
  <c r="C126" i="43"/>
  <c r="A126" i="43"/>
  <c r="D126" i="43"/>
  <c r="E126" i="43" s="1"/>
  <c r="F126" i="43" s="1"/>
  <c r="G126" i="43" s="1"/>
  <c r="H126" i="43" s="1"/>
  <c r="I126" i="43" s="1"/>
  <c r="J126" i="43" s="1"/>
  <c r="K126" i="43" s="1"/>
  <c r="C134" i="43"/>
  <c r="A134" i="43"/>
  <c r="D134" i="43"/>
  <c r="E134" i="43" s="1"/>
  <c r="F134" i="43" s="1"/>
  <c r="G134" i="43" s="1"/>
  <c r="H134" i="43" s="1"/>
  <c r="I134" i="43" s="1"/>
  <c r="J134" i="43" s="1"/>
  <c r="K134" i="43" s="1"/>
  <c r="C142" i="43"/>
  <c r="D142" i="43"/>
  <c r="E142" i="43" s="1"/>
  <c r="F142" i="43" s="1"/>
  <c r="G142" i="43" s="1"/>
  <c r="H142" i="43" s="1"/>
  <c r="I142" i="43" s="1"/>
  <c r="J142" i="43" s="1"/>
  <c r="K142" i="43" s="1"/>
  <c r="A142" i="43"/>
  <c r="C150" i="43"/>
  <c r="D150" i="43"/>
  <c r="E150" i="43" s="1"/>
  <c r="F150" i="43" s="1"/>
  <c r="G150" i="43" s="1"/>
  <c r="H150" i="43" s="1"/>
  <c r="I150" i="43" s="1"/>
  <c r="J150" i="43" s="1"/>
  <c r="K150" i="43" s="1"/>
  <c r="D158" i="43"/>
  <c r="E158" i="43" s="1"/>
  <c r="F158" i="43" s="1"/>
  <c r="G158" i="43" s="1"/>
  <c r="H158" i="43" s="1"/>
  <c r="I158" i="43" s="1"/>
  <c r="J158" i="43" s="1"/>
  <c r="K158" i="43" s="1"/>
  <c r="C158" i="43"/>
  <c r="A158" i="43"/>
  <c r="D166" i="43"/>
  <c r="E166" i="43" s="1"/>
  <c r="F166" i="43" s="1"/>
  <c r="G166" i="43" s="1"/>
  <c r="H166" i="43" s="1"/>
  <c r="I166" i="43" s="1"/>
  <c r="J166" i="43" s="1"/>
  <c r="K166" i="43" s="1"/>
  <c r="C166" i="43"/>
  <c r="A166" i="43"/>
  <c r="D175" i="43"/>
  <c r="E175" i="43" s="1"/>
  <c r="F175" i="43" s="1"/>
  <c r="G175" i="43" s="1"/>
  <c r="H175" i="43" s="1"/>
  <c r="I175" i="43" s="1"/>
  <c r="J175" i="43" s="1"/>
  <c r="K175" i="43" s="1"/>
  <c r="A175" i="43"/>
  <c r="C175" i="43"/>
  <c r="C189" i="43"/>
  <c r="D189" i="43"/>
  <c r="E189" i="43" s="1"/>
  <c r="F189" i="43" s="1"/>
  <c r="G189" i="43" s="1"/>
  <c r="H189" i="43" s="1"/>
  <c r="I189" i="43" s="1"/>
  <c r="J189" i="43" s="1"/>
  <c r="K189" i="43" s="1"/>
  <c r="D200" i="43"/>
  <c r="E200" i="43" s="1"/>
  <c r="F200" i="43" s="1"/>
  <c r="G200" i="43" s="1"/>
  <c r="H200" i="43" s="1"/>
  <c r="I200" i="43" s="1"/>
  <c r="J200" i="43" s="1"/>
  <c r="K200" i="43" s="1"/>
  <c r="C200" i="43"/>
  <c r="A200" i="43"/>
  <c r="D214" i="43"/>
  <c r="E214" i="43" s="1"/>
  <c r="F214" i="43" s="1"/>
  <c r="G214" i="43" s="1"/>
  <c r="H214" i="43" s="1"/>
  <c r="I214" i="43" s="1"/>
  <c r="J214" i="43" s="1"/>
  <c r="K214" i="43" s="1"/>
  <c r="C214" i="43"/>
  <c r="A214" i="43"/>
  <c r="A225" i="43"/>
  <c r="D225" i="43"/>
  <c r="E225" i="43" s="1"/>
  <c r="F225" i="43" s="1"/>
  <c r="G225" i="43" s="1"/>
  <c r="H225" i="43" s="1"/>
  <c r="I225" i="43" s="1"/>
  <c r="J225" i="43" s="1"/>
  <c r="K225" i="43" s="1"/>
  <c r="D239" i="43"/>
  <c r="E239" i="43" s="1"/>
  <c r="F239" i="43" s="1"/>
  <c r="G239" i="43" s="1"/>
  <c r="H239" i="43" s="1"/>
  <c r="I239" i="43" s="1"/>
  <c r="J239" i="43" s="1"/>
  <c r="K239" i="43" s="1"/>
  <c r="A239" i="43"/>
  <c r="C253" i="43"/>
  <c r="D253" i="43"/>
  <c r="E253" i="43" s="1"/>
  <c r="F253" i="43" s="1"/>
  <c r="G253" i="43" s="1"/>
  <c r="H253" i="43" s="1"/>
  <c r="I253" i="43" s="1"/>
  <c r="J253" i="43" s="1"/>
  <c r="K253" i="43" s="1"/>
  <c r="C278" i="43"/>
  <c r="D278" i="43"/>
  <c r="E278" i="43" s="1"/>
  <c r="F278" i="43" s="1"/>
  <c r="G278" i="43" s="1"/>
  <c r="H278" i="43" s="1"/>
  <c r="I278" i="43" s="1"/>
  <c r="J278" i="43" s="1"/>
  <c r="K278" i="43" s="1"/>
  <c r="D289" i="43"/>
  <c r="E289" i="43" s="1"/>
  <c r="F289" i="43" s="1"/>
  <c r="G289" i="43" s="1"/>
  <c r="H289" i="43" s="1"/>
  <c r="I289" i="43" s="1"/>
  <c r="J289" i="43" s="1"/>
  <c r="K289" i="43" s="1"/>
  <c r="A289" i="43"/>
  <c r="D303" i="43"/>
  <c r="E303" i="43" s="1"/>
  <c r="F303" i="43" s="1"/>
  <c r="G303" i="43" s="1"/>
  <c r="H303" i="43" s="1"/>
  <c r="I303" i="43" s="1"/>
  <c r="J303" i="43" s="1"/>
  <c r="K303" i="43" s="1"/>
  <c r="A303" i="43"/>
  <c r="D328" i="43"/>
  <c r="E328" i="43" s="1"/>
  <c r="F328" i="43" s="1"/>
  <c r="G328" i="43" s="1"/>
  <c r="H328" i="43" s="1"/>
  <c r="I328" i="43" s="1"/>
  <c r="J328" i="43" s="1"/>
  <c r="K328" i="43" s="1"/>
  <c r="C328" i="43"/>
  <c r="C342" i="43"/>
  <c r="D342" i="43"/>
  <c r="E342" i="43" s="1"/>
  <c r="F342" i="43" s="1"/>
  <c r="G342" i="43" s="1"/>
  <c r="H342" i="43" s="1"/>
  <c r="I342" i="43" s="1"/>
  <c r="J342" i="43" s="1"/>
  <c r="K342" i="43" s="1"/>
  <c r="D353" i="43"/>
  <c r="E353" i="43" s="1"/>
  <c r="F353" i="43" s="1"/>
  <c r="G353" i="43" s="1"/>
  <c r="H353" i="43" s="1"/>
  <c r="I353" i="43" s="1"/>
  <c r="J353" i="43" s="1"/>
  <c r="K353" i="43" s="1"/>
  <c r="A353" i="43"/>
  <c r="C353" i="43"/>
  <c r="D367" i="43"/>
  <c r="E367" i="43" s="1"/>
  <c r="F367" i="43" s="1"/>
  <c r="G367" i="43" s="1"/>
  <c r="H367" i="43" s="1"/>
  <c r="I367" i="43" s="1"/>
  <c r="J367" i="43" s="1"/>
  <c r="K367" i="43" s="1"/>
  <c r="A367" i="43"/>
  <c r="C367" i="43"/>
  <c r="D392" i="43"/>
  <c r="E392" i="43" s="1"/>
  <c r="F392" i="43" s="1"/>
  <c r="G392" i="43" s="1"/>
  <c r="H392" i="43" s="1"/>
  <c r="I392" i="43" s="1"/>
  <c r="J392" i="43" s="1"/>
  <c r="K392" i="43" s="1"/>
  <c r="C392" i="43"/>
  <c r="C406" i="43"/>
  <c r="D406" i="43"/>
  <c r="E406" i="43" s="1"/>
  <c r="F406" i="43" s="1"/>
  <c r="G406" i="43" s="1"/>
  <c r="H406" i="43" s="1"/>
  <c r="I406" i="43" s="1"/>
  <c r="J406" i="43" s="1"/>
  <c r="K406" i="43" s="1"/>
  <c r="D417" i="43"/>
  <c r="E417" i="43" s="1"/>
  <c r="F417" i="43" s="1"/>
  <c r="G417" i="43" s="1"/>
  <c r="H417" i="43" s="1"/>
  <c r="I417" i="43" s="1"/>
  <c r="J417" i="43" s="1"/>
  <c r="K417" i="43" s="1"/>
  <c r="A417" i="43"/>
  <c r="C417" i="43"/>
  <c r="D431" i="43"/>
  <c r="E431" i="43" s="1"/>
  <c r="F431" i="43" s="1"/>
  <c r="G431" i="43" s="1"/>
  <c r="H431" i="43" s="1"/>
  <c r="I431" i="43" s="1"/>
  <c r="J431" i="43" s="1"/>
  <c r="K431" i="43" s="1"/>
  <c r="A431" i="43"/>
  <c r="C431" i="43"/>
  <c r="C445" i="43"/>
  <c r="A445" i="43"/>
  <c r="D317" i="43"/>
  <c r="E317" i="43" s="1"/>
  <c r="F317" i="43" s="1"/>
  <c r="G317" i="43" s="1"/>
  <c r="H317" i="43" s="1"/>
  <c r="I317" i="43" s="1"/>
  <c r="J317" i="43" s="1"/>
  <c r="K317" i="43" s="1"/>
  <c r="N119" i="40"/>
  <c r="P119" i="40" s="1"/>
  <c r="N39" i="40"/>
  <c r="A8" i="33"/>
  <c r="AF256" i="40"/>
  <c r="AI256" i="40"/>
  <c r="W256" i="40"/>
  <c r="AD256" i="40"/>
  <c r="AB256" i="40"/>
  <c r="S256" i="40"/>
  <c r="R256" i="40"/>
  <c r="T256" i="40"/>
  <c r="AC256" i="40"/>
  <c r="U256" i="40"/>
  <c r="V256" i="40"/>
  <c r="X256" i="40"/>
  <c r="Y256" i="40"/>
  <c r="Z256" i="40"/>
  <c r="P256" i="40"/>
  <c r="AA256" i="40"/>
  <c r="N100" i="40"/>
  <c r="N116" i="40"/>
  <c r="N28" i="40"/>
  <c r="N99" i="40"/>
  <c r="N79" i="40"/>
  <c r="N27" i="40"/>
  <c r="N57" i="40"/>
  <c r="N40" i="40"/>
  <c r="N76" i="40"/>
  <c r="N58" i="40"/>
  <c r="O95" i="40"/>
  <c r="N129" i="40"/>
  <c r="P54" i="40"/>
  <c r="O54" i="40"/>
  <c r="N78" i="40"/>
  <c r="N106" i="40"/>
  <c r="N123" i="40"/>
  <c r="P123" i="40" s="1"/>
  <c r="N130" i="40"/>
  <c r="N32" i="40"/>
  <c r="N45" i="40"/>
  <c r="N70" i="40"/>
  <c r="N31" i="40"/>
  <c r="N80" i="40"/>
  <c r="N103" i="40"/>
  <c r="N127" i="40"/>
  <c r="N145" i="40"/>
  <c r="N115" i="40"/>
  <c r="N84" i="40"/>
  <c r="N112" i="40"/>
  <c r="N61" i="40"/>
  <c r="N85" i="40"/>
  <c r="N136" i="40"/>
  <c r="N144" i="40"/>
  <c r="N37" i="40"/>
  <c r="N87" i="40"/>
  <c r="N141" i="40"/>
  <c r="N132" i="40"/>
  <c r="M277" i="40"/>
  <c r="M259" i="40"/>
  <c r="M194" i="40"/>
  <c r="AH194" i="40"/>
  <c r="Z194" i="40"/>
  <c r="U194" i="40"/>
  <c r="W194" i="40"/>
  <c r="X194" i="40"/>
  <c r="Y194" i="40"/>
  <c r="AE194" i="40"/>
  <c r="P194" i="40"/>
  <c r="AJ194" i="40"/>
  <c r="S194" i="40"/>
  <c r="AC194" i="40"/>
  <c r="R194" i="40"/>
  <c r="AH203" i="40"/>
  <c r="AA203" i="40"/>
  <c r="AB203" i="40"/>
  <c r="U203" i="40"/>
  <c r="W203" i="40"/>
  <c r="Y203" i="40"/>
  <c r="V203" i="40"/>
  <c r="P203" i="40"/>
  <c r="R203" i="40"/>
  <c r="T203" i="40"/>
  <c r="O33" i="40"/>
  <c r="O142" i="40"/>
  <c r="AN13" i="40"/>
  <c r="AN14" i="40"/>
  <c r="AN135" i="40"/>
  <c r="AN17" i="40"/>
  <c r="AN81" i="40"/>
  <c r="AN36" i="40"/>
  <c r="AN96" i="40"/>
  <c r="AN60" i="40"/>
  <c r="AN133" i="40"/>
  <c r="AN9" i="40"/>
  <c r="AN27" i="40"/>
  <c r="AN50" i="40"/>
  <c r="AN106" i="40"/>
  <c r="AN127" i="40"/>
  <c r="AN144" i="40"/>
  <c r="AN83" i="40"/>
  <c r="AN67" i="40"/>
  <c r="AN62" i="40"/>
  <c r="AN46" i="40"/>
  <c r="AN15" i="40"/>
  <c r="AN41" i="40"/>
  <c r="AN107" i="40"/>
  <c r="AN68" i="40"/>
  <c r="AN108" i="40"/>
  <c r="AN100" i="40"/>
  <c r="AN92" i="40"/>
  <c r="AN23" i="40"/>
  <c r="AN99" i="40"/>
  <c r="AN64" i="40"/>
  <c r="AN84" i="40"/>
  <c r="AN145" i="40"/>
  <c r="AN85" i="40"/>
  <c r="AN55" i="40"/>
  <c r="AN56" i="40"/>
  <c r="AN75" i="40"/>
  <c r="AN38" i="40"/>
  <c r="AN134" i="40"/>
  <c r="AN48" i="40"/>
  <c r="AN110" i="40"/>
  <c r="AN47" i="40"/>
  <c r="AN35" i="40"/>
  <c r="AN116" i="40"/>
  <c r="AN117" i="40"/>
  <c r="AN88" i="40"/>
  <c r="AN28" i="40"/>
  <c r="AN69" i="40"/>
  <c r="AN87" i="40"/>
  <c r="AN103" i="40"/>
  <c r="AN112" i="40"/>
  <c r="AN33" i="40"/>
  <c r="AN76" i="40"/>
  <c r="AN77" i="40"/>
  <c r="AN10" i="40"/>
  <c r="AN139" i="40"/>
  <c r="AN93" i="40"/>
  <c r="AN119" i="40"/>
  <c r="AN74" i="40"/>
  <c r="AN52" i="40"/>
  <c r="AN19" i="40"/>
  <c r="AN71" i="40"/>
  <c r="AN25" i="40"/>
  <c r="AN72" i="40"/>
  <c r="AN53" i="40"/>
  <c r="AN132" i="40"/>
  <c r="AN61" i="40"/>
  <c r="AN45" i="40"/>
  <c r="AN59" i="40"/>
  <c r="AN58" i="40"/>
  <c r="AN143" i="40"/>
  <c r="AN57" i="40"/>
  <c r="AN32" i="40"/>
  <c r="AN31" i="40"/>
  <c r="AN118" i="40"/>
  <c r="AN66" i="40"/>
  <c r="AN111" i="40"/>
  <c r="AN142" i="40"/>
  <c r="AN16" i="40"/>
  <c r="A139" i="43"/>
  <c r="A107" i="43"/>
  <c r="A75" i="43"/>
  <c r="D98" i="43"/>
  <c r="E98" i="43" s="1"/>
  <c r="F98" i="43" s="1"/>
  <c r="G98" i="43" s="1"/>
  <c r="H98" i="43" s="1"/>
  <c r="I98" i="43" s="1"/>
  <c r="J98" i="43" s="1"/>
  <c r="K98" i="43" s="1"/>
  <c r="M282" i="40"/>
  <c r="M273" i="40"/>
  <c r="S203" i="40"/>
  <c r="M203" i="40"/>
  <c r="M192" i="40"/>
  <c r="C336" i="43"/>
  <c r="D66" i="43"/>
  <c r="E66" i="43" s="1"/>
  <c r="F66" i="43" s="1"/>
  <c r="G66" i="43" s="1"/>
  <c r="H66" i="43" s="1"/>
  <c r="I66" i="43" s="1"/>
  <c r="J66" i="43" s="1"/>
  <c r="K66" i="43" s="1"/>
  <c r="C66" i="43"/>
  <c r="D74" i="43"/>
  <c r="E74" i="43" s="1"/>
  <c r="F74" i="43" s="1"/>
  <c r="G74" i="43" s="1"/>
  <c r="H74" i="43" s="1"/>
  <c r="I74" i="43" s="1"/>
  <c r="J74" i="43" s="1"/>
  <c r="K74" i="43" s="1"/>
  <c r="C74" i="43"/>
  <c r="D82" i="43"/>
  <c r="E82" i="43" s="1"/>
  <c r="F82" i="43" s="1"/>
  <c r="G82" i="43" s="1"/>
  <c r="H82" i="43" s="1"/>
  <c r="I82" i="43" s="1"/>
  <c r="J82" i="43" s="1"/>
  <c r="K82" i="43" s="1"/>
  <c r="C82" i="43"/>
  <c r="C90" i="43"/>
  <c r="D106" i="43"/>
  <c r="E106" i="43" s="1"/>
  <c r="F106" i="43" s="1"/>
  <c r="G106" i="43" s="1"/>
  <c r="H106" i="43" s="1"/>
  <c r="I106" i="43" s="1"/>
  <c r="J106" i="43" s="1"/>
  <c r="K106" i="43" s="1"/>
  <c r="C106" i="43"/>
  <c r="D122" i="43"/>
  <c r="E122" i="43" s="1"/>
  <c r="F122" i="43" s="1"/>
  <c r="G122" i="43" s="1"/>
  <c r="H122" i="43" s="1"/>
  <c r="I122" i="43" s="1"/>
  <c r="J122" i="43" s="1"/>
  <c r="K122" i="43" s="1"/>
  <c r="C122" i="43"/>
  <c r="D130" i="43"/>
  <c r="E130" i="43" s="1"/>
  <c r="F130" i="43" s="1"/>
  <c r="G130" i="43" s="1"/>
  <c r="H130" i="43" s="1"/>
  <c r="I130" i="43" s="1"/>
  <c r="J130" i="43" s="1"/>
  <c r="K130" i="43" s="1"/>
  <c r="C130" i="43"/>
  <c r="D138" i="43"/>
  <c r="E138" i="43" s="1"/>
  <c r="F138" i="43" s="1"/>
  <c r="G138" i="43" s="1"/>
  <c r="H138" i="43" s="1"/>
  <c r="I138" i="43" s="1"/>
  <c r="J138" i="43" s="1"/>
  <c r="K138" i="43" s="1"/>
  <c r="C138" i="43"/>
  <c r="D146" i="43"/>
  <c r="E146" i="43" s="1"/>
  <c r="F146" i="43" s="1"/>
  <c r="G146" i="43" s="1"/>
  <c r="H146" i="43" s="1"/>
  <c r="I146" i="43" s="1"/>
  <c r="J146" i="43" s="1"/>
  <c r="K146" i="43" s="1"/>
  <c r="A146" i="43"/>
  <c r="C146" i="43"/>
  <c r="A162" i="43"/>
  <c r="C162" i="43"/>
  <c r="A170" i="43"/>
  <c r="C170" i="43"/>
  <c r="D182" i="43"/>
  <c r="E182" i="43" s="1"/>
  <c r="F182" i="43" s="1"/>
  <c r="G182" i="43" s="1"/>
  <c r="H182" i="43" s="1"/>
  <c r="I182" i="43" s="1"/>
  <c r="J182" i="43" s="1"/>
  <c r="K182" i="43" s="1"/>
  <c r="C182" i="43"/>
  <c r="D193" i="43"/>
  <c r="E193" i="43" s="1"/>
  <c r="F193" i="43" s="1"/>
  <c r="G193" i="43" s="1"/>
  <c r="H193" i="43" s="1"/>
  <c r="I193" i="43" s="1"/>
  <c r="J193" i="43" s="1"/>
  <c r="K193" i="43" s="1"/>
  <c r="A193" i="43"/>
  <c r="D221" i="43"/>
  <c r="E221" i="43" s="1"/>
  <c r="F221" i="43" s="1"/>
  <c r="G221" i="43" s="1"/>
  <c r="H221" i="43" s="1"/>
  <c r="I221" i="43" s="1"/>
  <c r="J221" i="43" s="1"/>
  <c r="K221" i="43" s="1"/>
  <c r="C221" i="43"/>
  <c r="D257" i="43"/>
  <c r="E257" i="43" s="1"/>
  <c r="F257" i="43" s="1"/>
  <c r="G257" i="43" s="1"/>
  <c r="H257" i="43" s="1"/>
  <c r="I257" i="43" s="1"/>
  <c r="J257" i="43" s="1"/>
  <c r="K257" i="43" s="1"/>
  <c r="A257" i="43"/>
  <c r="D271" i="43"/>
  <c r="E271" i="43" s="1"/>
  <c r="F271" i="43" s="1"/>
  <c r="G271" i="43" s="1"/>
  <c r="H271" i="43" s="1"/>
  <c r="I271" i="43" s="1"/>
  <c r="J271" i="43" s="1"/>
  <c r="K271" i="43" s="1"/>
  <c r="A271" i="43"/>
  <c r="D285" i="43"/>
  <c r="E285" i="43" s="1"/>
  <c r="F285" i="43" s="1"/>
  <c r="G285" i="43" s="1"/>
  <c r="H285" i="43" s="1"/>
  <c r="I285" i="43" s="1"/>
  <c r="J285" i="43" s="1"/>
  <c r="K285" i="43" s="1"/>
  <c r="C285" i="43"/>
  <c r="D310" i="43"/>
  <c r="E310" i="43" s="1"/>
  <c r="F310" i="43" s="1"/>
  <c r="G310" i="43" s="1"/>
  <c r="H310" i="43" s="1"/>
  <c r="I310" i="43" s="1"/>
  <c r="J310" i="43" s="1"/>
  <c r="K310" i="43" s="1"/>
  <c r="C310" i="43"/>
  <c r="D321" i="43"/>
  <c r="E321" i="43" s="1"/>
  <c r="F321" i="43" s="1"/>
  <c r="G321" i="43" s="1"/>
  <c r="H321" i="43" s="1"/>
  <c r="I321" i="43" s="1"/>
  <c r="J321" i="43" s="1"/>
  <c r="K321" i="43" s="1"/>
  <c r="A321" i="43"/>
  <c r="D335" i="43"/>
  <c r="E335" i="43" s="1"/>
  <c r="F335" i="43" s="1"/>
  <c r="G335" i="43" s="1"/>
  <c r="H335" i="43" s="1"/>
  <c r="I335" i="43" s="1"/>
  <c r="J335" i="43" s="1"/>
  <c r="K335" i="43" s="1"/>
  <c r="A335" i="43"/>
  <c r="D385" i="43"/>
  <c r="E385" i="43" s="1"/>
  <c r="F385" i="43" s="1"/>
  <c r="G385" i="43" s="1"/>
  <c r="H385" i="43" s="1"/>
  <c r="I385" i="43" s="1"/>
  <c r="J385" i="43" s="1"/>
  <c r="K385" i="43" s="1"/>
  <c r="A385" i="43"/>
  <c r="D399" i="43"/>
  <c r="E399" i="43" s="1"/>
  <c r="F399" i="43" s="1"/>
  <c r="G399" i="43" s="1"/>
  <c r="H399" i="43" s="1"/>
  <c r="I399" i="43" s="1"/>
  <c r="J399" i="43" s="1"/>
  <c r="K399" i="43" s="1"/>
  <c r="A399" i="43"/>
  <c r="D429" i="43"/>
  <c r="E429" i="43" s="1"/>
  <c r="F429" i="43" s="1"/>
  <c r="G429" i="43" s="1"/>
  <c r="H429" i="43" s="1"/>
  <c r="I429" i="43" s="1"/>
  <c r="J429" i="43" s="1"/>
  <c r="K429" i="43" s="1"/>
  <c r="D62" i="43"/>
  <c r="E62" i="43" s="1"/>
  <c r="F62" i="43" s="1"/>
  <c r="G62" i="43" s="1"/>
  <c r="H62" i="43" s="1"/>
  <c r="I62" i="43" s="1"/>
  <c r="J62" i="43" s="1"/>
  <c r="K62" i="43" s="1"/>
  <c r="P118" i="40"/>
  <c r="O118" i="40"/>
  <c r="D147" i="43"/>
  <c r="E147" i="43" s="1"/>
  <c r="F147" i="43" s="1"/>
  <c r="G147" i="43" s="1"/>
  <c r="H147" i="43" s="1"/>
  <c r="I147" i="43" s="1"/>
  <c r="J147" i="43" s="1"/>
  <c r="K147" i="43" s="1"/>
  <c r="A147" i="43"/>
  <c r="D155" i="43"/>
  <c r="E155" i="43" s="1"/>
  <c r="F155" i="43" s="1"/>
  <c r="G155" i="43" s="1"/>
  <c r="H155" i="43" s="1"/>
  <c r="I155" i="43" s="1"/>
  <c r="J155" i="43" s="1"/>
  <c r="K155" i="43" s="1"/>
  <c r="A155" i="43"/>
  <c r="D163" i="43"/>
  <c r="E163" i="43" s="1"/>
  <c r="F163" i="43" s="1"/>
  <c r="G163" i="43" s="1"/>
  <c r="H163" i="43" s="1"/>
  <c r="I163" i="43" s="1"/>
  <c r="J163" i="43" s="1"/>
  <c r="K163" i="43" s="1"/>
  <c r="A163" i="43"/>
  <c r="D171" i="43"/>
  <c r="E171" i="43" s="1"/>
  <c r="F171" i="43" s="1"/>
  <c r="G171" i="43" s="1"/>
  <c r="H171" i="43" s="1"/>
  <c r="I171" i="43" s="1"/>
  <c r="J171" i="43" s="1"/>
  <c r="K171" i="43" s="1"/>
  <c r="A171" i="43"/>
  <c r="D183" i="43"/>
  <c r="E183" i="43" s="1"/>
  <c r="F183" i="43" s="1"/>
  <c r="G183" i="43" s="1"/>
  <c r="H183" i="43" s="1"/>
  <c r="I183" i="43" s="1"/>
  <c r="J183" i="43" s="1"/>
  <c r="K183" i="43" s="1"/>
  <c r="A183" i="43"/>
  <c r="D222" i="43"/>
  <c r="E222" i="43" s="1"/>
  <c r="F222" i="43" s="1"/>
  <c r="G222" i="43" s="1"/>
  <c r="H222" i="43" s="1"/>
  <c r="I222" i="43" s="1"/>
  <c r="J222" i="43" s="1"/>
  <c r="K222" i="43" s="1"/>
  <c r="C222" i="43"/>
  <c r="D233" i="43"/>
  <c r="E233" i="43" s="1"/>
  <c r="F233" i="43" s="1"/>
  <c r="G233" i="43" s="1"/>
  <c r="H233" i="43" s="1"/>
  <c r="I233" i="43" s="1"/>
  <c r="J233" i="43" s="1"/>
  <c r="K233" i="43" s="1"/>
  <c r="A233" i="43"/>
  <c r="D247" i="43"/>
  <c r="E247" i="43" s="1"/>
  <c r="F247" i="43" s="1"/>
  <c r="G247" i="43" s="1"/>
  <c r="H247" i="43" s="1"/>
  <c r="I247" i="43" s="1"/>
  <c r="J247" i="43" s="1"/>
  <c r="K247" i="43" s="1"/>
  <c r="A247" i="43"/>
  <c r="D286" i="43"/>
  <c r="E286" i="43" s="1"/>
  <c r="F286" i="43" s="1"/>
  <c r="G286" i="43" s="1"/>
  <c r="H286" i="43" s="1"/>
  <c r="I286" i="43" s="1"/>
  <c r="J286" i="43" s="1"/>
  <c r="K286" i="43" s="1"/>
  <c r="C286" i="43"/>
  <c r="D311" i="43"/>
  <c r="E311" i="43" s="1"/>
  <c r="F311" i="43" s="1"/>
  <c r="G311" i="43" s="1"/>
  <c r="H311" i="43" s="1"/>
  <c r="I311" i="43" s="1"/>
  <c r="J311" i="43" s="1"/>
  <c r="K311" i="43" s="1"/>
  <c r="A311" i="43"/>
  <c r="C325" i="43"/>
  <c r="D325" i="43"/>
  <c r="E325" i="43" s="1"/>
  <c r="F325" i="43" s="1"/>
  <c r="G325" i="43" s="1"/>
  <c r="H325" i="43" s="1"/>
  <c r="I325" i="43" s="1"/>
  <c r="J325" i="43" s="1"/>
  <c r="K325" i="43" s="1"/>
  <c r="D361" i="43"/>
  <c r="E361" i="43" s="1"/>
  <c r="F361" i="43" s="1"/>
  <c r="G361" i="43" s="1"/>
  <c r="H361" i="43" s="1"/>
  <c r="I361" i="43" s="1"/>
  <c r="J361" i="43" s="1"/>
  <c r="K361" i="43" s="1"/>
  <c r="A361" i="43"/>
  <c r="D375" i="43"/>
  <c r="E375" i="43" s="1"/>
  <c r="F375" i="43" s="1"/>
  <c r="G375" i="43" s="1"/>
  <c r="H375" i="43" s="1"/>
  <c r="I375" i="43" s="1"/>
  <c r="J375" i="43" s="1"/>
  <c r="K375" i="43" s="1"/>
  <c r="A375" i="43"/>
  <c r="C389" i="43"/>
  <c r="D389" i="43"/>
  <c r="E389" i="43" s="1"/>
  <c r="F389" i="43" s="1"/>
  <c r="G389" i="43" s="1"/>
  <c r="H389" i="43" s="1"/>
  <c r="I389" i="43" s="1"/>
  <c r="J389" i="43" s="1"/>
  <c r="K389" i="43" s="1"/>
  <c r="D425" i="43"/>
  <c r="E425" i="43" s="1"/>
  <c r="F425" i="43" s="1"/>
  <c r="G425" i="43" s="1"/>
  <c r="H425" i="43" s="1"/>
  <c r="I425" i="43" s="1"/>
  <c r="J425" i="43" s="1"/>
  <c r="K425" i="43" s="1"/>
  <c r="A425" i="43"/>
  <c r="D439" i="43"/>
  <c r="E439" i="43" s="1"/>
  <c r="F439" i="43" s="1"/>
  <c r="G439" i="43" s="1"/>
  <c r="H439" i="43" s="1"/>
  <c r="I439" i="43" s="1"/>
  <c r="J439" i="43" s="1"/>
  <c r="K439" i="43" s="1"/>
  <c r="A439" i="43"/>
  <c r="D261" i="43"/>
  <c r="E261" i="43" s="1"/>
  <c r="F261" i="43" s="1"/>
  <c r="G261" i="43" s="1"/>
  <c r="H261" i="43" s="1"/>
  <c r="I261" i="43" s="1"/>
  <c r="J261" i="43" s="1"/>
  <c r="K261" i="43" s="1"/>
  <c r="AG303" i="40"/>
  <c r="AD303" i="40"/>
  <c r="T303" i="40"/>
  <c r="AE303" i="40"/>
  <c r="AI303" i="40"/>
  <c r="V303" i="40"/>
  <c r="U303" i="40"/>
  <c r="W303" i="40"/>
  <c r="X303" i="40"/>
  <c r="S303" i="40"/>
  <c r="Y303" i="40"/>
  <c r="P303" i="40"/>
  <c r="Z303" i="40"/>
  <c r="P117" i="40"/>
  <c r="O117" i="40"/>
  <c r="N110" i="40"/>
  <c r="N107" i="40"/>
  <c r="N21" i="40"/>
  <c r="N23" i="40"/>
  <c r="N101" i="40"/>
  <c r="N71" i="40"/>
  <c r="Y228" i="40"/>
  <c r="Z228" i="40"/>
  <c r="AF228" i="40"/>
  <c r="AA228" i="40"/>
  <c r="S228" i="40"/>
  <c r="W228" i="40"/>
  <c r="X228" i="40"/>
  <c r="P228" i="40"/>
  <c r="R228" i="40"/>
  <c r="AB228" i="40"/>
  <c r="T228" i="40"/>
  <c r="U228" i="40"/>
  <c r="V228" i="40"/>
  <c r="A261" i="43"/>
  <c r="A272" i="43"/>
  <c r="A350" i="43"/>
  <c r="C67" i="43"/>
  <c r="C83" i="43"/>
  <c r="C99" i="43"/>
  <c r="C115" i="43"/>
  <c r="C131" i="43"/>
  <c r="C147" i="43"/>
  <c r="C163" i="43"/>
  <c r="C247" i="43"/>
  <c r="D68" i="43"/>
  <c r="E68" i="43" s="1"/>
  <c r="F68" i="43" s="1"/>
  <c r="G68" i="43" s="1"/>
  <c r="H68" i="43" s="1"/>
  <c r="I68" i="43" s="1"/>
  <c r="J68" i="43" s="1"/>
  <c r="K68" i="43" s="1"/>
  <c r="C68" i="43"/>
  <c r="D76" i="43"/>
  <c r="E76" i="43" s="1"/>
  <c r="F76" i="43" s="1"/>
  <c r="G76" i="43" s="1"/>
  <c r="H76" i="43" s="1"/>
  <c r="I76" i="43" s="1"/>
  <c r="J76" i="43" s="1"/>
  <c r="K76" i="43" s="1"/>
  <c r="C76" i="43"/>
  <c r="D84" i="43"/>
  <c r="E84" i="43" s="1"/>
  <c r="F84" i="43" s="1"/>
  <c r="G84" i="43" s="1"/>
  <c r="H84" i="43" s="1"/>
  <c r="I84" i="43" s="1"/>
  <c r="J84" i="43" s="1"/>
  <c r="K84" i="43" s="1"/>
  <c r="C84" i="43"/>
  <c r="D92" i="43"/>
  <c r="E92" i="43" s="1"/>
  <c r="F92" i="43" s="1"/>
  <c r="G92" i="43" s="1"/>
  <c r="H92" i="43" s="1"/>
  <c r="I92" i="43" s="1"/>
  <c r="J92" i="43" s="1"/>
  <c r="K92" i="43" s="1"/>
  <c r="C92" i="43"/>
  <c r="D124" i="43"/>
  <c r="E124" i="43" s="1"/>
  <c r="F124" i="43" s="1"/>
  <c r="G124" i="43" s="1"/>
  <c r="H124" i="43" s="1"/>
  <c r="I124" i="43" s="1"/>
  <c r="J124" i="43" s="1"/>
  <c r="K124" i="43" s="1"/>
  <c r="C124" i="43"/>
  <c r="C132" i="43"/>
  <c r="D132" i="43"/>
  <c r="E132" i="43" s="1"/>
  <c r="F132" i="43" s="1"/>
  <c r="G132" i="43" s="1"/>
  <c r="H132" i="43" s="1"/>
  <c r="I132" i="43" s="1"/>
  <c r="J132" i="43" s="1"/>
  <c r="K132" i="43" s="1"/>
  <c r="D140" i="43"/>
  <c r="E140" i="43" s="1"/>
  <c r="F140" i="43" s="1"/>
  <c r="G140" i="43" s="1"/>
  <c r="H140" i="43" s="1"/>
  <c r="I140" i="43" s="1"/>
  <c r="J140" i="43" s="1"/>
  <c r="K140" i="43" s="1"/>
  <c r="C140" i="43"/>
  <c r="D148" i="43"/>
  <c r="E148" i="43" s="1"/>
  <c r="F148" i="43" s="1"/>
  <c r="G148" i="43" s="1"/>
  <c r="H148" i="43" s="1"/>
  <c r="I148" i="43" s="1"/>
  <c r="J148" i="43" s="1"/>
  <c r="K148" i="43" s="1"/>
  <c r="C148" i="43"/>
  <c r="D156" i="43"/>
  <c r="E156" i="43" s="1"/>
  <c r="F156" i="43" s="1"/>
  <c r="G156" i="43" s="1"/>
  <c r="H156" i="43" s="1"/>
  <c r="I156" i="43" s="1"/>
  <c r="J156" i="43" s="1"/>
  <c r="K156" i="43" s="1"/>
  <c r="C156" i="43"/>
  <c r="D164" i="43"/>
  <c r="E164" i="43" s="1"/>
  <c r="F164" i="43" s="1"/>
  <c r="G164" i="43" s="1"/>
  <c r="H164" i="43" s="1"/>
  <c r="I164" i="43" s="1"/>
  <c r="J164" i="43" s="1"/>
  <c r="K164" i="43" s="1"/>
  <c r="D173" i="43"/>
  <c r="E173" i="43" s="1"/>
  <c r="F173" i="43" s="1"/>
  <c r="G173" i="43" s="1"/>
  <c r="H173" i="43" s="1"/>
  <c r="I173" i="43" s="1"/>
  <c r="J173" i="43" s="1"/>
  <c r="K173" i="43" s="1"/>
  <c r="C173" i="43"/>
  <c r="C198" i="43"/>
  <c r="D198" i="43"/>
  <c r="E198" i="43" s="1"/>
  <c r="F198" i="43" s="1"/>
  <c r="G198" i="43" s="1"/>
  <c r="H198" i="43" s="1"/>
  <c r="I198" i="43" s="1"/>
  <c r="J198" i="43" s="1"/>
  <c r="K198" i="43" s="1"/>
  <c r="D209" i="43"/>
  <c r="E209" i="43" s="1"/>
  <c r="F209" i="43" s="1"/>
  <c r="G209" i="43" s="1"/>
  <c r="H209" i="43" s="1"/>
  <c r="I209" i="43" s="1"/>
  <c r="J209" i="43" s="1"/>
  <c r="K209" i="43" s="1"/>
  <c r="A209" i="43"/>
  <c r="D223" i="43"/>
  <c r="E223" i="43" s="1"/>
  <c r="F223" i="43" s="1"/>
  <c r="G223" i="43" s="1"/>
  <c r="H223" i="43" s="1"/>
  <c r="I223" i="43" s="1"/>
  <c r="J223" i="43" s="1"/>
  <c r="K223" i="43" s="1"/>
  <c r="A223" i="43"/>
  <c r="D237" i="43"/>
  <c r="E237" i="43" s="1"/>
  <c r="F237" i="43" s="1"/>
  <c r="G237" i="43" s="1"/>
  <c r="H237" i="43" s="1"/>
  <c r="I237" i="43" s="1"/>
  <c r="J237" i="43" s="1"/>
  <c r="K237" i="43" s="1"/>
  <c r="C237" i="43"/>
  <c r="D273" i="43"/>
  <c r="E273" i="43" s="1"/>
  <c r="F273" i="43" s="1"/>
  <c r="G273" i="43" s="1"/>
  <c r="H273" i="43" s="1"/>
  <c r="I273" i="43" s="1"/>
  <c r="J273" i="43" s="1"/>
  <c r="K273" i="43" s="1"/>
  <c r="A273" i="43"/>
  <c r="D287" i="43"/>
  <c r="E287" i="43" s="1"/>
  <c r="F287" i="43" s="1"/>
  <c r="G287" i="43" s="1"/>
  <c r="H287" i="43" s="1"/>
  <c r="I287" i="43" s="1"/>
  <c r="J287" i="43" s="1"/>
  <c r="K287" i="43" s="1"/>
  <c r="A287" i="43"/>
  <c r="D301" i="43"/>
  <c r="E301" i="43" s="1"/>
  <c r="F301" i="43" s="1"/>
  <c r="G301" i="43" s="1"/>
  <c r="H301" i="43" s="1"/>
  <c r="I301" i="43" s="1"/>
  <c r="J301" i="43" s="1"/>
  <c r="K301" i="43" s="1"/>
  <c r="C301" i="43"/>
  <c r="D337" i="43"/>
  <c r="E337" i="43" s="1"/>
  <c r="F337" i="43" s="1"/>
  <c r="G337" i="43" s="1"/>
  <c r="H337" i="43" s="1"/>
  <c r="I337" i="43" s="1"/>
  <c r="J337" i="43" s="1"/>
  <c r="K337" i="43" s="1"/>
  <c r="A337" i="43"/>
  <c r="D351" i="43"/>
  <c r="E351" i="43" s="1"/>
  <c r="F351" i="43" s="1"/>
  <c r="G351" i="43" s="1"/>
  <c r="H351" i="43" s="1"/>
  <c r="I351" i="43" s="1"/>
  <c r="J351" i="43" s="1"/>
  <c r="K351" i="43" s="1"/>
  <c r="A351" i="43"/>
  <c r="D401" i="43"/>
  <c r="E401" i="43" s="1"/>
  <c r="F401" i="43" s="1"/>
  <c r="G401" i="43" s="1"/>
  <c r="H401" i="43" s="1"/>
  <c r="I401" i="43" s="1"/>
  <c r="J401" i="43" s="1"/>
  <c r="K401" i="43" s="1"/>
  <c r="A401" i="43"/>
  <c r="D415" i="43"/>
  <c r="E415" i="43" s="1"/>
  <c r="F415" i="43" s="1"/>
  <c r="G415" i="43" s="1"/>
  <c r="H415" i="43" s="1"/>
  <c r="I415" i="43" s="1"/>
  <c r="J415" i="43" s="1"/>
  <c r="K415" i="43" s="1"/>
  <c r="A415" i="43"/>
  <c r="D390" i="43"/>
  <c r="E390" i="43" s="1"/>
  <c r="F390" i="43" s="1"/>
  <c r="G390" i="43" s="1"/>
  <c r="H390" i="43" s="1"/>
  <c r="I390" i="43" s="1"/>
  <c r="J390" i="43" s="1"/>
  <c r="K390" i="43" s="1"/>
  <c r="D326" i="43"/>
  <c r="E326" i="43" s="1"/>
  <c r="F326" i="43" s="1"/>
  <c r="G326" i="43" s="1"/>
  <c r="H326" i="43" s="1"/>
  <c r="I326" i="43" s="1"/>
  <c r="J326" i="43" s="1"/>
  <c r="K326" i="43" s="1"/>
  <c r="N46" i="40"/>
  <c r="N114" i="40"/>
  <c r="N11" i="40"/>
  <c r="N15" i="40"/>
  <c r="N134" i="40"/>
  <c r="N38" i="40"/>
  <c r="N122" i="40"/>
  <c r="N126" i="40"/>
  <c r="N139" i="40"/>
  <c r="N16" i="40"/>
  <c r="N135" i="40"/>
  <c r="N131" i="40"/>
  <c r="N12" i="40"/>
  <c r="N44" i="40"/>
  <c r="N14" i="40"/>
  <c r="N143" i="40"/>
  <c r="N138" i="40"/>
  <c r="AF187" i="40"/>
  <c r="T187" i="40"/>
  <c r="AD187" i="40"/>
  <c r="X187" i="40"/>
  <c r="S187" i="40"/>
  <c r="U187" i="40"/>
  <c r="Y187" i="40"/>
  <c r="Z187" i="40"/>
  <c r="AA187" i="40"/>
  <c r="P187" i="40"/>
  <c r="V187" i="40"/>
  <c r="W187" i="40"/>
  <c r="R187" i="40"/>
  <c r="N91" i="40"/>
  <c r="N73" i="40"/>
  <c r="N55" i="40"/>
  <c r="N49" i="40"/>
  <c r="N102" i="40"/>
  <c r="N113" i="40"/>
  <c r="D77" i="43"/>
  <c r="E77" i="43" s="1"/>
  <c r="F77" i="43" s="1"/>
  <c r="G77" i="43" s="1"/>
  <c r="H77" i="43" s="1"/>
  <c r="I77" i="43" s="1"/>
  <c r="J77" i="43" s="1"/>
  <c r="K77" i="43" s="1"/>
  <c r="M231" i="40"/>
  <c r="N83" i="40"/>
  <c r="AL13" i="40"/>
  <c r="AC178" i="40"/>
  <c r="Y178" i="40"/>
  <c r="AB178" i="40"/>
  <c r="AA178" i="40"/>
  <c r="AI178" i="40"/>
  <c r="U178" i="40"/>
  <c r="Z178" i="40"/>
  <c r="P178" i="40"/>
  <c r="R178" i="40"/>
  <c r="S178" i="40"/>
  <c r="W178" i="40"/>
  <c r="AF178" i="40"/>
  <c r="X178" i="40"/>
  <c r="N124" i="40"/>
  <c r="N19" i="40"/>
  <c r="N140" i="40"/>
  <c r="N20" i="40"/>
  <c r="N10" i="40"/>
  <c r="N34" i="40"/>
  <c r="AL46" i="40"/>
  <c r="AL62" i="40"/>
  <c r="AL67" i="40"/>
  <c r="AL83" i="40"/>
  <c r="AL144" i="40"/>
  <c r="AL127" i="40"/>
  <c r="AL106" i="40"/>
  <c r="AL50" i="40"/>
  <c r="AL27" i="40"/>
  <c r="AL9" i="40"/>
  <c r="AL133" i="40"/>
  <c r="AL60" i="40"/>
  <c r="AL96" i="40"/>
  <c r="AL36" i="40"/>
  <c r="AL81" i="40"/>
  <c r="AL17" i="40"/>
  <c r="AL135" i="40"/>
  <c r="A185" i="43"/>
  <c r="A313" i="43"/>
  <c r="A377" i="43"/>
  <c r="A441" i="43"/>
  <c r="D405" i="43"/>
  <c r="E405" i="43" s="1"/>
  <c r="F405" i="43" s="1"/>
  <c r="G405" i="43" s="1"/>
  <c r="H405" i="43" s="1"/>
  <c r="I405" i="43" s="1"/>
  <c r="J405" i="43" s="1"/>
  <c r="K405" i="43" s="1"/>
  <c r="D341" i="43"/>
  <c r="E341" i="43" s="1"/>
  <c r="F341" i="43" s="1"/>
  <c r="G341" i="43" s="1"/>
  <c r="H341" i="43" s="1"/>
  <c r="I341" i="43" s="1"/>
  <c r="J341" i="43" s="1"/>
  <c r="K341" i="43" s="1"/>
  <c r="D125" i="43"/>
  <c r="E125" i="43" s="1"/>
  <c r="F125" i="43" s="1"/>
  <c r="G125" i="43" s="1"/>
  <c r="H125" i="43" s="1"/>
  <c r="I125" i="43" s="1"/>
  <c r="J125" i="43" s="1"/>
  <c r="K125" i="43" s="1"/>
  <c r="M249" i="40"/>
  <c r="M239" i="40"/>
  <c r="N104" i="40"/>
  <c r="AI187" i="40"/>
  <c r="N41" i="40"/>
  <c r="N48" i="40"/>
  <c r="N98" i="40"/>
  <c r="N133" i="40"/>
  <c r="N92" i="40"/>
  <c r="N63" i="40"/>
  <c r="N64" i="40"/>
  <c r="N50" i="40"/>
  <c r="N86" i="40"/>
  <c r="N69" i="40"/>
  <c r="AL126" i="40"/>
  <c r="AL42" i="40"/>
  <c r="AL89" i="40"/>
  <c r="AL49" i="40"/>
  <c r="AL78" i="40"/>
  <c r="AL141" i="40"/>
  <c r="AL80" i="40"/>
  <c r="AL86" i="40"/>
  <c r="AL79" i="40"/>
  <c r="AL101" i="40"/>
  <c r="AL98" i="40"/>
  <c r="AL121" i="40"/>
  <c r="AL8" i="40"/>
  <c r="AL129" i="40"/>
  <c r="AL82" i="40"/>
  <c r="AL95" i="40"/>
  <c r="AL44" i="40"/>
  <c r="C69" i="43"/>
  <c r="C77" i="43"/>
  <c r="C85" i="43"/>
  <c r="C93" i="43"/>
  <c r="C101" i="43"/>
  <c r="C109" i="43"/>
  <c r="C117" i="43"/>
  <c r="C125" i="43"/>
  <c r="C133" i="43"/>
  <c r="C141" i="43"/>
  <c r="C149" i="43"/>
  <c r="C157" i="43"/>
  <c r="C165" i="43"/>
  <c r="C213" i="43"/>
  <c r="C277" i="43"/>
  <c r="D69" i="43"/>
  <c r="E69" i="43" s="1"/>
  <c r="F69" i="43" s="1"/>
  <c r="G69" i="43" s="1"/>
  <c r="H69" i="43" s="1"/>
  <c r="I69" i="43" s="1"/>
  <c r="J69" i="43" s="1"/>
  <c r="K69" i="43" s="1"/>
  <c r="P60" i="40"/>
  <c r="AG187" i="40"/>
  <c r="N82" i="40"/>
  <c r="N81" i="40"/>
  <c r="AH227" i="40"/>
  <c r="Z227" i="40"/>
  <c r="AF227" i="40"/>
  <c r="Y227" i="40"/>
  <c r="AA227" i="40"/>
  <c r="S227" i="40"/>
  <c r="T227" i="40"/>
  <c r="U227" i="40"/>
  <c r="R227" i="40"/>
  <c r="AB227" i="40"/>
  <c r="V227" i="40"/>
  <c r="W227" i="40"/>
  <c r="AI227" i="40"/>
  <c r="X227" i="40"/>
  <c r="P227" i="40"/>
  <c r="AE214" i="40"/>
  <c r="AH214" i="40"/>
  <c r="V214" i="40"/>
  <c r="AJ214" i="40"/>
  <c r="X214" i="40"/>
  <c r="Y214" i="40"/>
  <c r="AC214" i="40"/>
  <c r="Z214" i="40"/>
  <c r="W214" i="40"/>
  <c r="R214" i="40"/>
  <c r="AA214" i="40"/>
  <c r="S214" i="40"/>
  <c r="P214" i="40"/>
  <c r="AB214" i="40"/>
  <c r="T214" i="40"/>
  <c r="U214" i="40"/>
  <c r="N43" i="40"/>
  <c r="N59" i="40"/>
  <c r="N109" i="40"/>
  <c r="N89" i="40"/>
  <c r="N65" i="40"/>
  <c r="AL131" i="40"/>
  <c r="AL34" i="40"/>
  <c r="AL109" i="40"/>
  <c r="AL73" i="40"/>
  <c r="AL105" i="40"/>
  <c r="AL136" i="40"/>
  <c r="AL70" i="40"/>
  <c r="AL30" i="40"/>
  <c r="AL26" i="40"/>
  <c r="AL22" i="40"/>
  <c r="AL124" i="40"/>
  <c r="AL94" i="40"/>
  <c r="AL97" i="40"/>
  <c r="AL18" i="40"/>
  <c r="AL120" i="40"/>
  <c r="AL54" i="40"/>
  <c r="A141" i="43"/>
  <c r="A109" i="43"/>
  <c r="A101" i="43"/>
  <c r="A93" i="43"/>
  <c r="A85" i="43"/>
  <c r="C174" i="43"/>
  <c r="C238" i="43"/>
  <c r="C302" i="43"/>
  <c r="M270" i="40"/>
  <c r="V178" i="40"/>
  <c r="N120" i="40"/>
  <c r="N93" i="40"/>
  <c r="M208" i="40"/>
  <c r="Z298" i="40"/>
  <c r="B178" i="43"/>
  <c r="B186" i="43"/>
  <c r="B194" i="43"/>
  <c r="B202" i="43"/>
  <c r="B210" i="43"/>
  <c r="B218" i="43"/>
  <c r="B226" i="43"/>
  <c r="B234" i="43"/>
  <c r="B242" i="43"/>
  <c r="B250" i="43"/>
  <c r="B258" i="43"/>
  <c r="B266" i="43"/>
  <c r="B274" i="43"/>
  <c r="B282" i="43"/>
  <c r="B290" i="43"/>
  <c r="B298" i="43"/>
  <c r="B306" i="43"/>
  <c r="B314" i="43"/>
  <c r="B322" i="43"/>
  <c r="B330" i="43"/>
  <c r="B338" i="43"/>
  <c r="B346" i="43"/>
  <c r="B354" i="43"/>
  <c r="B362" i="43"/>
  <c r="B370" i="43"/>
  <c r="B378" i="43"/>
  <c r="B386" i="43"/>
  <c r="B394" i="43"/>
  <c r="B402" i="43"/>
  <c r="B410" i="43"/>
  <c r="B418" i="43"/>
  <c r="B426" i="43"/>
  <c r="B434" i="43"/>
  <c r="B442" i="43"/>
  <c r="B450" i="43"/>
  <c r="B15" i="43"/>
  <c r="B23" i="43"/>
  <c r="M306" i="40"/>
  <c r="M296" i="40"/>
  <c r="M219" i="40"/>
  <c r="Y298" i="40"/>
  <c r="B179" i="43"/>
  <c r="B187" i="43"/>
  <c r="B195" i="43"/>
  <c r="B203" i="43"/>
  <c r="B211" i="43"/>
  <c r="B219" i="43"/>
  <c r="B227" i="43"/>
  <c r="B235" i="43"/>
  <c r="B243" i="43"/>
  <c r="B251" i="43"/>
  <c r="B259" i="43"/>
  <c r="B267" i="43"/>
  <c r="B275" i="43"/>
  <c r="B283" i="43"/>
  <c r="B291" i="43"/>
  <c r="B299" i="43"/>
  <c r="B307" i="43"/>
  <c r="B315" i="43"/>
  <c r="B323" i="43"/>
  <c r="B331" i="43"/>
  <c r="B339" i="43"/>
  <c r="B347" i="43"/>
  <c r="B355" i="43"/>
  <c r="B363" i="43"/>
  <c r="B371" i="43"/>
  <c r="B379" i="43"/>
  <c r="B387" i="43"/>
  <c r="B395" i="43"/>
  <c r="B403" i="43"/>
  <c r="B411" i="43"/>
  <c r="B419" i="43"/>
  <c r="B427" i="43"/>
  <c r="B435" i="43"/>
  <c r="B443" i="43"/>
  <c r="B59" i="43"/>
  <c r="B55" i="43"/>
  <c r="B51" i="43"/>
  <c r="B47" i="43"/>
  <c r="B43" i="43"/>
  <c r="B39" i="43"/>
  <c r="B35" i="43"/>
  <c r="B31" i="43"/>
  <c r="B16" i="43"/>
  <c r="B24" i="43"/>
  <c r="M227" i="40"/>
  <c r="M224" i="40"/>
  <c r="M205" i="40"/>
  <c r="M174" i="40"/>
  <c r="AH298" i="40"/>
  <c r="AI298" i="40"/>
  <c r="AG298" i="40"/>
  <c r="AC298" i="40"/>
  <c r="AD298" i="40"/>
  <c r="AB298" i="40"/>
  <c r="S298" i="40"/>
  <c r="AA298" i="40"/>
  <c r="AE298" i="40"/>
  <c r="AF298" i="40"/>
  <c r="U298" i="40"/>
  <c r="R298" i="40"/>
  <c r="T298" i="40"/>
  <c r="B172" i="43"/>
  <c r="B180" i="43"/>
  <c r="B188" i="43"/>
  <c r="B196" i="43"/>
  <c r="B204" i="43"/>
  <c r="B212" i="43"/>
  <c r="B220" i="43"/>
  <c r="B228" i="43"/>
  <c r="B236" i="43"/>
  <c r="B244" i="43"/>
  <c r="B252" i="43"/>
  <c r="B260" i="43"/>
  <c r="B268" i="43"/>
  <c r="B276" i="43"/>
  <c r="B284" i="43"/>
  <c r="B292" i="43"/>
  <c r="B300" i="43"/>
  <c r="B308" i="43"/>
  <c r="B316" i="43"/>
  <c r="B324" i="43"/>
  <c r="B332" i="43"/>
  <c r="B340" i="43"/>
  <c r="B348" i="43"/>
  <c r="B356" i="43"/>
  <c r="B364" i="43"/>
  <c r="B372" i="43"/>
  <c r="B380" i="43"/>
  <c r="B388" i="43"/>
  <c r="B396" i="43"/>
  <c r="B404" i="43"/>
  <c r="B412" i="43"/>
  <c r="B420" i="43"/>
  <c r="B428" i="43"/>
  <c r="B436" i="43"/>
  <c r="B444" i="43"/>
  <c r="B12" i="43"/>
  <c r="B17" i="43"/>
  <c r="M178" i="40"/>
  <c r="J134" i="2"/>
  <c r="M298" i="40"/>
  <c r="M294" i="40"/>
  <c r="M288" i="40"/>
  <c r="M275" i="40"/>
  <c r="M258" i="40"/>
  <c r="M244" i="40"/>
  <c r="M241" i="40"/>
  <c r="M228" i="40"/>
  <c r="M209" i="40"/>
  <c r="M204" i="40"/>
  <c r="M177" i="40"/>
  <c r="M173" i="40"/>
  <c r="M171" i="40"/>
  <c r="M168" i="40"/>
  <c r="W191" i="40"/>
  <c r="M303" i="40"/>
  <c r="M262" i="40"/>
  <c r="M230" i="40"/>
  <c r="M185" i="40"/>
  <c r="M183" i="40"/>
  <c r="AD191" i="40"/>
  <c r="AE191" i="40"/>
  <c r="AG191" i="40"/>
  <c r="Z191" i="40"/>
  <c r="AA191" i="40"/>
  <c r="AJ191" i="40"/>
  <c r="Y191" i="40"/>
  <c r="R191" i="40"/>
  <c r="AB191" i="40"/>
  <c r="S191" i="40"/>
  <c r="M300" i="40"/>
  <c r="M293" i="40"/>
  <c r="M271" i="40"/>
  <c r="M257" i="40"/>
  <c r="M243" i="40"/>
  <c r="M225" i="40"/>
  <c r="M202" i="40"/>
  <c r="M187" i="40"/>
  <c r="M182" i="40"/>
  <c r="AG289" i="40"/>
  <c r="AD289" i="40"/>
  <c r="AH289" i="40"/>
  <c r="AB190" i="40"/>
  <c r="S190" i="40"/>
  <c r="AA190" i="40"/>
  <c r="AI190" i="40"/>
  <c r="Z190" i="40"/>
  <c r="M179" i="40"/>
  <c r="C275" i="2"/>
  <c r="CX16" i="45"/>
  <c r="B90" i="2"/>
  <c r="B41" i="2"/>
  <c r="J49" i="2"/>
  <c r="J128" i="2"/>
  <c r="B131" i="2"/>
  <c r="J55" i="2"/>
  <c r="J88" i="2"/>
  <c r="J113" i="2"/>
  <c r="B89" i="2"/>
  <c r="J68" i="2"/>
  <c r="J97" i="2"/>
  <c r="B35" i="2"/>
  <c r="B130" i="2"/>
  <c r="J64" i="2"/>
  <c r="J66" i="2"/>
  <c r="J103" i="2"/>
  <c r="E27" i="2"/>
  <c r="J121" i="2"/>
  <c r="J72" i="2"/>
  <c r="B107" i="2"/>
  <c r="D129" i="2"/>
  <c r="D57" i="2"/>
  <c r="J54" i="2"/>
  <c r="J84" i="2"/>
  <c r="J92" i="2"/>
  <c r="J115" i="2"/>
  <c r="B126" i="2"/>
  <c r="J30" i="2"/>
  <c r="J38" i="2"/>
  <c r="J85" i="2"/>
  <c r="B96" i="2"/>
  <c r="J116" i="2"/>
  <c r="J46" i="2"/>
  <c r="D51" i="2"/>
  <c r="B70" i="2"/>
  <c r="D75" i="2"/>
  <c r="D45" i="2"/>
  <c r="J58" i="2"/>
  <c r="D63" i="2"/>
  <c r="D87" i="2"/>
  <c r="D111" i="2"/>
  <c r="D135" i="2"/>
  <c r="J74" i="2"/>
  <c r="B58" i="2"/>
  <c r="B106" i="2"/>
  <c r="J106" i="2"/>
  <c r="B52" i="2"/>
  <c r="D39" i="2"/>
  <c r="D93" i="2"/>
  <c r="D117" i="2"/>
  <c r="B77" i="2"/>
  <c r="B112" i="2"/>
  <c r="D844" i="2"/>
  <c r="D860" i="2"/>
  <c r="J29" i="2"/>
  <c r="B44" i="2"/>
  <c r="D69" i="2"/>
  <c r="J112" i="2"/>
  <c r="B61" i="2"/>
  <c r="B109" i="2"/>
  <c r="B127" i="2"/>
  <c r="D862" i="2"/>
  <c r="D863" i="2"/>
  <c r="B76" i="2"/>
  <c r="D81" i="2"/>
  <c r="D105" i="2"/>
  <c r="B100" i="2"/>
  <c r="J28" i="2"/>
  <c r="D33" i="2"/>
  <c r="B34" i="2"/>
  <c r="B82" i="2"/>
  <c r="B124" i="2"/>
  <c r="D99" i="2"/>
  <c r="B118" i="2"/>
  <c r="D123" i="2"/>
  <c r="E385" i="2"/>
  <c r="F317" i="2"/>
  <c r="F517" i="2"/>
  <c r="G710" i="2"/>
  <c r="E672" i="2"/>
  <c r="F632" i="2"/>
  <c r="E547" i="2"/>
  <c r="E327" i="2"/>
  <c r="F763" i="2"/>
  <c r="G426" i="2"/>
  <c r="G607" i="2"/>
  <c r="E432" i="2"/>
  <c r="G674" i="2"/>
  <c r="F575" i="2"/>
  <c r="G659" i="2"/>
  <c r="F362" i="2"/>
  <c r="E620" i="2"/>
  <c r="G547" i="2"/>
  <c r="F543" i="2"/>
  <c r="G602" i="2"/>
  <c r="F558" i="2"/>
  <c r="F445" i="2"/>
  <c r="F331" i="2"/>
  <c r="F626" i="2"/>
  <c r="F428" i="2"/>
  <c r="F702" i="2"/>
  <c r="E450" i="2"/>
  <c r="G629" i="2"/>
  <c r="G349" i="2"/>
  <c r="G691" i="2"/>
  <c r="E716" i="2"/>
  <c r="E391" i="2"/>
  <c r="G411" i="2"/>
  <c r="G667" i="2"/>
  <c r="F587" i="2"/>
  <c r="F507" i="2"/>
  <c r="F391" i="2"/>
  <c r="G389" i="2"/>
  <c r="G302" i="2"/>
  <c r="F765" i="2"/>
  <c r="G648" i="2"/>
  <c r="G783" i="2"/>
  <c r="E383" i="2"/>
  <c r="F437" i="2"/>
  <c r="F635" i="2"/>
  <c r="G697" i="2"/>
  <c r="E630" i="2"/>
  <c r="E744" i="2"/>
  <c r="E497" i="2"/>
  <c r="G485" i="2"/>
  <c r="E429" i="2"/>
  <c r="E689" i="2"/>
  <c r="F288" i="2"/>
  <c r="G546" i="2"/>
  <c r="E338" i="2"/>
  <c r="F751" i="2"/>
  <c r="G440" i="2"/>
  <c r="G593" i="2"/>
  <c r="E417" i="2"/>
  <c r="F745" i="2"/>
  <c r="F711" i="2"/>
  <c r="G499" i="2"/>
  <c r="G444" i="2"/>
  <c r="G755" i="2"/>
  <c r="E384" i="2"/>
  <c r="E469" i="2"/>
  <c r="F451" i="2"/>
  <c r="F677" i="2"/>
  <c r="F401" i="2"/>
  <c r="G434" i="2"/>
  <c r="E332" i="2"/>
  <c r="G762" i="2"/>
  <c r="E515" i="2"/>
  <c r="E637" i="2"/>
  <c r="E633" i="2"/>
  <c r="G643" i="2"/>
  <c r="G399" i="2"/>
  <c r="G563" i="2"/>
  <c r="E379" i="2"/>
  <c r="G763" i="2"/>
  <c r="E695" i="2"/>
  <c r="E601" i="2"/>
  <c r="G771" i="2"/>
  <c r="F637" i="2"/>
  <c r="E387" i="2"/>
  <c r="E295" i="2"/>
  <c r="E611" i="2"/>
  <c r="E326" i="2"/>
  <c r="G671" i="2"/>
  <c r="E647" i="2"/>
  <c r="F546" i="2"/>
  <c r="E551" i="2"/>
  <c r="F620" i="2"/>
  <c r="G773" i="2"/>
  <c r="G337" i="2"/>
  <c r="F639" i="2"/>
  <c r="F659" i="2"/>
  <c r="G751" i="2"/>
  <c r="F757" i="2"/>
  <c r="E398" i="2"/>
  <c r="G681" i="2"/>
  <c r="E624" i="2"/>
  <c r="F530" i="2"/>
  <c r="G765" i="2"/>
  <c r="E696" i="2"/>
  <c r="E378" i="2"/>
  <c r="G625" i="2"/>
  <c r="F313" i="2"/>
  <c r="G437" i="2"/>
  <c r="E405" i="2"/>
  <c r="G510" i="2"/>
  <c r="E702" i="2"/>
  <c r="E319" i="2"/>
  <c r="G714" i="2"/>
  <c r="E591" i="2"/>
  <c r="F345" i="2"/>
  <c r="G713" i="2"/>
  <c r="E402" i="2"/>
  <c r="E732" i="2"/>
  <c r="F301" i="2"/>
  <c r="G677" i="2"/>
  <c r="G560" i="2"/>
  <c r="E465" i="2"/>
  <c r="F705" i="2"/>
  <c r="E349" i="2"/>
  <c r="E643" i="2"/>
  <c r="F759" i="2"/>
  <c r="F285" i="2"/>
  <c r="G329" i="2"/>
  <c r="G570" i="2"/>
  <c r="G378" i="2"/>
  <c r="E555" i="2"/>
  <c r="E556" i="2" s="1"/>
  <c r="F282" i="2"/>
  <c r="G552" i="2"/>
  <c r="G739" i="2"/>
  <c r="F417" i="2"/>
  <c r="F549" i="2"/>
  <c r="E777" i="2"/>
  <c r="G735" i="2"/>
  <c r="G535" i="2"/>
  <c r="F786" i="2"/>
  <c r="F536" i="2"/>
  <c r="F321" i="2"/>
  <c r="G614" i="2"/>
  <c r="E302" i="2"/>
  <c r="F326" i="2"/>
  <c r="E437" i="2"/>
  <c r="G749" i="2"/>
  <c r="F709" i="2"/>
  <c r="E435" i="2"/>
  <c r="F657" i="2"/>
  <c r="G719" i="2"/>
  <c r="G311" i="2"/>
  <c r="G587" i="2"/>
  <c r="E775" i="2"/>
  <c r="G576" i="2"/>
  <c r="E582" i="2"/>
  <c r="G318" i="2"/>
  <c r="F597" i="2"/>
  <c r="E687" i="2"/>
  <c r="F336" i="2"/>
  <c r="G631" i="2"/>
  <c r="F325" i="2"/>
  <c r="G603" i="2"/>
  <c r="E771" i="2"/>
  <c r="E479" i="2"/>
  <c r="G630" i="2"/>
  <c r="F647" i="2"/>
  <c r="G470" i="2"/>
  <c r="F623" i="2"/>
  <c r="E313" i="2"/>
  <c r="F565" i="2"/>
  <c r="F378" i="2"/>
  <c r="F726" i="2"/>
  <c r="E357" i="2"/>
  <c r="G600" i="2"/>
  <c r="E681" i="2"/>
  <c r="E317" i="2"/>
  <c r="G687" i="2"/>
  <c r="F704" i="2"/>
  <c r="G293" i="2"/>
  <c r="E609" i="2"/>
  <c r="E765" i="2"/>
  <c r="G581" i="2"/>
  <c r="F569" i="2"/>
  <c r="E707" i="2"/>
  <c r="F369" i="2"/>
  <c r="F554" i="2"/>
  <c r="G401" i="2"/>
  <c r="F666" i="2"/>
  <c r="G371" i="2"/>
  <c r="E438" i="2"/>
  <c r="F323" i="2"/>
  <c r="G395" i="2"/>
  <c r="F531" i="2"/>
  <c r="E498" i="2"/>
  <c r="G595" i="2"/>
  <c r="F489" i="2"/>
  <c r="E386" i="2"/>
  <c r="G306" i="2"/>
  <c r="F643" i="2"/>
  <c r="E528" i="2"/>
  <c r="E685" i="2"/>
  <c r="F281" i="2"/>
  <c r="F318" i="2"/>
  <c r="G524" i="2"/>
  <c r="F590" i="2"/>
  <c r="G443" i="2"/>
  <c r="G317" i="2"/>
  <c r="E521" i="2"/>
  <c r="G355" i="2"/>
  <c r="G332" i="2"/>
  <c r="E578" i="2"/>
  <c r="E509" i="2"/>
  <c r="F449" i="2"/>
  <c r="E288" i="2"/>
  <c r="G545" i="2"/>
  <c r="G565" i="2"/>
  <c r="E608" i="2"/>
  <c r="G428" i="2"/>
  <c r="G561" i="2"/>
  <c r="F341" i="2"/>
  <c r="F740" i="2"/>
  <c r="F351" i="2"/>
  <c r="E667" i="2"/>
  <c r="G690" i="2"/>
  <c r="E738" i="2"/>
  <c r="F606" i="2"/>
  <c r="F459" i="2"/>
  <c r="E785" i="2"/>
  <c r="G557" i="2"/>
  <c r="G775" i="2"/>
  <c r="F439" i="2"/>
  <c r="E505" i="2"/>
  <c r="F429" i="2"/>
  <c r="F519" i="2"/>
  <c r="E407" i="2"/>
  <c r="E365" i="2"/>
  <c r="G715" i="2"/>
  <c r="E780" i="2"/>
  <c r="G531" i="2"/>
  <c r="G711" i="2"/>
  <c r="E728" i="2"/>
  <c r="G527" i="2"/>
  <c r="E351" i="2"/>
  <c r="F416" i="2"/>
  <c r="F673" i="2"/>
  <c r="F625" i="2"/>
  <c r="G493" i="2"/>
  <c r="F354" i="2"/>
  <c r="F444" i="2"/>
  <c r="G404" i="2"/>
  <c r="G464" i="2"/>
  <c r="G356" i="2"/>
  <c r="F776" i="2"/>
  <c r="E629" i="2"/>
  <c r="E458" i="2"/>
  <c r="F293" i="2"/>
  <c r="F563" i="2"/>
  <c r="E473" i="2"/>
  <c r="F633" i="2"/>
  <c r="F314" i="2"/>
  <c r="G786" i="2"/>
  <c r="G525" i="2"/>
  <c r="F407" i="2"/>
  <c r="G362" i="2"/>
  <c r="F663" i="2"/>
  <c r="F368" i="2"/>
  <c r="E426" i="2"/>
  <c r="F774" i="2"/>
  <c r="F374" i="2"/>
  <c r="G284" i="2"/>
  <c r="F537" i="2"/>
  <c r="F487" i="2"/>
  <c r="E523" i="2"/>
  <c r="E467" i="2"/>
  <c r="G750" i="2"/>
  <c r="F483" i="2"/>
  <c r="F408" i="2"/>
  <c r="E627" i="2"/>
  <c r="G368" i="2"/>
  <c r="G663" i="2"/>
  <c r="E734" i="2"/>
  <c r="G764" i="2"/>
  <c r="E756" i="2"/>
  <c r="F307" i="2"/>
  <c r="F650" i="2"/>
  <c r="G461" i="2"/>
  <c r="E564" i="2"/>
  <c r="E546" i="2"/>
  <c r="F327" i="2"/>
  <c r="F781" i="2"/>
  <c r="G414" i="2"/>
  <c r="E462" i="2"/>
  <c r="E493" i="2"/>
  <c r="G374" i="2"/>
  <c r="E567" i="2"/>
  <c r="F367" i="2"/>
  <c r="G734" i="2"/>
  <c r="G644" i="2"/>
  <c r="E401" i="2"/>
  <c r="G585" i="2"/>
  <c r="F552" i="2"/>
  <c r="E456" i="2"/>
  <c r="G516" i="2"/>
  <c r="F566" i="2"/>
  <c r="E603" i="2"/>
  <c r="G435" i="2"/>
  <c r="G770" i="2"/>
  <c r="F420" i="2"/>
  <c r="G758" i="2"/>
  <c r="F467" i="2"/>
  <c r="E618" i="2"/>
  <c r="G708" i="2"/>
  <c r="G341" i="2"/>
  <c r="F482" i="2"/>
  <c r="E619" i="2"/>
  <c r="E390" i="2"/>
  <c r="G305" i="2"/>
  <c r="F380" i="2"/>
  <c r="G433" i="2"/>
  <c r="E337" i="2"/>
  <c r="F357" i="2"/>
  <c r="G455" i="2"/>
  <c r="F355" i="2"/>
  <c r="G299" i="2"/>
  <c r="E787" i="2"/>
  <c r="F291" i="2"/>
  <c r="E321" i="2"/>
  <c r="F684" i="2"/>
  <c r="G548" i="2"/>
  <c r="F619" i="2"/>
  <c r="E638" i="2"/>
  <c r="F710" i="2"/>
  <c r="F411" i="2"/>
  <c r="G474" i="2"/>
  <c r="G537" i="2"/>
  <c r="F512" i="2"/>
  <c r="G330" i="2"/>
  <c r="E377" i="2"/>
  <c r="E542" i="2"/>
  <c r="F539" i="2"/>
  <c r="F621" i="2"/>
  <c r="G452" i="2"/>
  <c r="F551" i="2"/>
  <c r="G541" i="2"/>
  <c r="F499" i="2"/>
  <c r="E576" i="2"/>
  <c r="F534" i="2"/>
  <c r="G492" i="2"/>
  <c r="E644" i="2"/>
  <c r="G301" i="2"/>
  <c r="F607" i="2"/>
  <c r="F414" i="2"/>
  <c r="F339" i="2"/>
  <c r="F722" i="2"/>
  <c r="E713" i="2"/>
  <c r="F366" i="2"/>
  <c r="G491" i="2"/>
  <c r="F375" i="2"/>
  <c r="F671" i="2"/>
  <c r="G335" i="2"/>
  <c r="G780" i="2"/>
  <c r="F441" i="2"/>
  <c r="E374" i="2"/>
  <c r="E513" i="2"/>
  <c r="F384" i="2"/>
  <c r="E307" i="2"/>
  <c r="G475" i="2"/>
  <c r="G686" i="2"/>
  <c r="F585" i="2"/>
  <c r="F309" i="2"/>
  <c r="F527" i="2"/>
  <c r="E530" i="2"/>
  <c r="G529" i="2"/>
  <c r="E531" i="2"/>
  <c r="E764" i="2"/>
  <c r="G605" i="2"/>
  <c r="E314" i="2"/>
  <c r="G521" i="2"/>
  <c r="E301" i="2"/>
  <c r="G515" i="2"/>
  <c r="G609" i="2"/>
  <c r="F524" i="2"/>
  <c r="E715" i="2"/>
  <c r="F679" i="2"/>
  <c r="E488" i="2"/>
  <c r="F741" i="2"/>
  <c r="F599" i="2"/>
  <c r="F463" i="2"/>
  <c r="E649" i="2"/>
  <c r="E397" i="2"/>
  <c r="F641" i="2"/>
  <c r="G338" i="2"/>
  <c r="E485" i="2"/>
  <c r="G410" i="2"/>
  <c r="G787" i="2"/>
  <c r="E500" i="2"/>
  <c r="G331" i="2"/>
  <c r="G566" i="2"/>
  <c r="G654" i="2"/>
  <c r="F485" i="2"/>
  <c r="F410" i="2"/>
  <c r="E283" i="2"/>
  <c r="G662" i="2"/>
  <c r="G373" i="2"/>
  <c r="G483" i="2"/>
  <c r="G536" i="2"/>
  <c r="E545" i="2"/>
  <c r="F638" i="2"/>
  <c r="F697" i="2"/>
  <c r="G290" i="2"/>
  <c r="F427" i="2"/>
  <c r="E362" i="2"/>
  <c r="G345" i="2"/>
  <c r="E641" i="2"/>
  <c r="E431" i="2"/>
  <c r="E296" i="2"/>
  <c r="F392" i="2"/>
  <c r="F386" i="2"/>
  <c r="G303" i="2"/>
  <c r="G601" i="2"/>
  <c r="E396" i="2"/>
  <c r="E300" i="2"/>
  <c r="E409" i="2"/>
  <c r="E703" i="2"/>
  <c r="E440" i="2"/>
  <c r="G542" i="2"/>
  <c r="G709" i="2"/>
  <c r="F758" i="2"/>
  <c r="G540" i="2"/>
  <c r="E776" i="2"/>
  <c r="E540" i="2"/>
  <c r="G504" i="2"/>
  <c r="E602" i="2"/>
  <c r="E336" i="2"/>
  <c r="G624" i="2"/>
  <c r="E404" i="2"/>
  <c r="F602" i="2"/>
  <c r="E607" i="2"/>
  <c r="F667" i="2"/>
  <c r="F755" i="2"/>
  <c r="F571" i="2"/>
  <c r="G353" i="2"/>
  <c r="G782" i="2"/>
  <c r="E671" i="2"/>
  <c r="F721" i="2"/>
  <c r="F612" i="2"/>
  <c r="G320" i="2"/>
  <c r="F294" i="2"/>
  <c r="G571" i="2"/>
  <c r="F405" i="2"/>
  <c r="E665" i="2"/>
  <c r="E533" i="2"/>
  <c r="G653" i="2"/>
  <c r="G668" i="2"/>
  <c r="G289" i="2"/>
  <c r="E613" i="2"/>
  <c r="G417" i="2"/>
  <c r="E737" i="2"/>
  <c r="G300" i="2"/>
  <c r="F687" i="2"/>
  <c r="G699" i="2"/>
  <c r="E590" i="2"/>
  <c r="F773" i="2"/>
  <c r="E524" i="2"/>
  <c r="F764" i="2"/>
  <c r="E470" i="2"/>
  <c r="E767" i="2"/>
  <c r="G569" i="2"/>
  <c r="E701" i="2"/>
  <c r="E461" i="2"/>
  <c r="E413" i="2"/>
  <c r="G578" i="2"/>
  <c r="E570" i="2"/>
  <c r="E428" i="2"/>
  <c r="G384" i="2"/>
  <c r="E731" i="2"/>
  <c r="F474" i="2"/>
  <c r="G425" i="2"/>
  <c r="F302" i="2"/>
  <c r="F525" i="2"/>
  <c r="F719" i="2"/>
  <c r="E425" i="2"/>
  <c r="G723" i="2"/>
  <c r="F707" i="2"/>
  <c r="G589" i="2"/>
  <c r="E693" i="2"/>
  <c r="E455" i="2"/>
  <c r="G445" i="2"/>
  <c r="F404" i="2"/>
  <c r="G733" i="2"/>
  <c r="F387" i="2"/>
  <c r="G501" i="2"/>
  <c r="F319" i="2"/>
  <c r="E674" i="2"/>
  <c r="E445" i="2"/>
  <c r="G294" i="2"/>
  <c r="G450" i="2"/>
  <c r="E439" i="2"/>
  <c r="G333" i="2"/>
  <c r="G457" i="2"/>
  <c r="E548" i="2"/>
  <c r="F433" i="2"/>
  <c r="F289" i="2"/>
  <c r="F419" i="2"/>
  <c r="F669" i="2"/>
  <c r="G321" i="2"/>
  <c r="E320" i="2"/>
  <c r="E755" i="2"/>
  <c r="F541" i="2"/>
  <c r="G407" i="2"/>
  <c r="F768" i="2"/>
  <c r="G627" i="2"/>
  <c r="G726" i="2"/>
  <c r="G453" i="2"/>
  <c r="F342" i="2"/>
  <c r="E420" i="2"/>
  <c r="F756" i="2"/>
  <c r="G480" i="2"/>
  <c r="G636" i="2"/>
  <c r="E759" i="2"/>
  <c r="F732" i="2"/>
  <c r="G482" i="2"/>
  <c r="F518" i="2"/>
  <c r="E625" i="2"/>
  <c r="G512" i="2"/>
  <c r="F750" i="2"/>
  <c r="E761" i="2"/>
  <c r="E463" i="2"/>
  <c r="F737" i="2"/>
  <c r="E368" i="2"/>
  <c r="E589" i="2"/>
  <c r="F457" i="2"/>
  <c r="F491" i="2"/>
  <c r="G789" i="2"/>
  <c r="F564" i="2"/>
  <c r="G721" i="2"/>
  <c r="F497" i="2"/>
  <c r="F672" i="2"/>
  <c r="F611" i="2"/>
  <c r="F469" i="2"/>
  <c r="F555" i="2"/>
  <c r="G689" i="2"/>
  <c r="E648" i="2"/>
  <c r="E305" i="2"/>
  <c r="G655" i="2"/>
  <c r="G323" i="2"/>
  <c r="F595" i="2"/>
  <c r="E606" i="2"/>
  <c r="E282" i="2"/>
  <c r="F290" i="2"/>
  <c r="F576" i="2"/>
  <c r="E623" i="2"/>
  <c r="F320" i="2"/>
  <c r="F379" i="2"/>
  <c r="E714" i="2"/>
  <c r="G462" i="2"/>
  <c r="F681" i="2"/>
  <c r="F581" i="2"/>
  <c r="G380" i="2"/>
  <c r="G365" i="2"/>
  <c r="E380" i="2"/>
  <c r="G679" i="2"/>
  <c r="E449" i="2"/>
  <c r="G326" i="2"/>
  <c r="F770" i="2"/>
  <c r="E690" i="2"/>
  <c r="G397" i="2"/>
  <c r="G759" i="2"/>
  <c r="E468" i="2"/>
  <c r="E549" i="2"/>
  <c r="E550" i="2" s="1"/>
  <c r="F438" i="2"/>
  <c r="F615" i="2"/>
  <c r="E583" i="2"/>
  <c r="F642" i="2"/>
  <c r="F363" i="2"/>
  <c r="G639" i="2"/>
  <c r="E536" i="2"/>
  <c r="E491" i="2"/>
  <c r="G673" i="2"/>
  <c r="E348" i="2"/>
  <c r="E680" i="2"/>
  <c r="E572" i="2"/>
  <c r="F360" i="2"/>
  <c r="E631" i="2"/>
  <c r="E579" i="2"/>
  <c r="F356" i="2"/>
  <c r="F287" i="2"/>
  <c r="F443" i="2"/>
  <c r="F300" i="2"/>
  <c r="E325" i="2"/>
  <c r="E727" i="2"/>
  <c r="G509" i="2"/>
  <c r="E451" i="2"/>
  <c r="E389" i="2"/>
  <c r="G347" i="2"/>
  <c r="F578" i="2"/>
  <c r="G647" i="2"/>
  <c r="F338" i="2"/>
  <c r="G564" i="2"/>
  <c r="F373" i="2"/>
  <c r="F389" i="2"/>
  <c r="E595" i="2"/>
  <c r="E354" i="2"/>
  <c r="F431" i="2"/>
  <c r="F385" i="2"/>
  <c r="E577" i="2"/>
  <c r="F495" i="2"/>
  <c r="G367" i="2"/>
  <c r="G722" i="2"/>
  <c r="G354" i="2"/>
  <c r="E447" i="2"/>
  <c r="G725" i="2"/>
  <c r="E395" i="2"/>
  <c r="F372" i="2"/>
  <c r="G530" i="2"/>
  <c r="F494" i="2"/>
  <c r="E686" i="2"/>
  <c r="G693" i="2"/>
  <c r="E474" i="2"/>
  <c r="F447" i="2"/>
  <c r="E363" i="2"/>
  <c r="F567" i="2"/>
  <c r="G660" i="2"/>
  <c r="E774" i="2"/>
  <c r="E705" i="2"/>
  <c r="E654" i="2"/>
  <c r="F579" i="2"/>
  <c r="E471" i="2"/>
  <c r="E773" i="2"/>
  <c r="E745" i="2"/>
  <c r="F777" i="2"/>
  <c r="G513" i="2"/>
  <c r="E560" i="2"/>
  <c r="G507" i="2"/>
  <c r="F456" i="2"/>
  <c r="F305" i="2"/>
  <c r="F645" i="2"/>
  <c r="F500" i="2"/>
  <c r="F636" i="2"/>
  <c r="E735" i="2"/>
  <c r="F690" i="2"/>
  <c r="G620" i="2"/>
  <c r="F771" i="2"/>
  <c r="E341" i="2"/>
  <c r="E495" i="2"/>
  <c r="E752" i="2"/>
  <c r="E457" i="2"/>
  <c r="G439" i="2"/>
  <c r="G737" i="2"/>
  <c r="F371" i="2"/>
  <c r="G296" i="2"/>
  <c r="G421" i="2"/>
  <c r="G768" i="2"/>
  <c r="G720" i="2"/>
  <c r="F513" i="2"/>
  <c r="F693" i="2"/>
  <c r="E372" i="2"/>
  <c r="G695" i="2"/>
  <c r="G379" i="2"/>
  <c r="E399" i="2"/>
  <c r="E366" i="2"/>
  <c r="G746" i="2"/>
  <c r="E721" i="2"/>
  <c r="F695" i="2"/>
  <c r="F409" i="2"/>
  <c r="E342" i="2"/>
  <c r="G767" i="2"/>
  <c r="F734" i="2"/>
  <c r="F653" i="2"/>
  <c r="G281" i="2"/>
  <c r="G505" i="2"/>
  <c r="F509" i="2"/>
  <c r="E353" i="2"/>
  <c r="G312" i="2"/>
  <c r="G469" i="2"/>
  <c r="F775" i="2"/>
  <c r="F522" i="2"/>
  <c r="E444" i="2"/>
  <c r="G344" i="2"/>
  <c r="E762" i="2"/>
  <c r="F349" i="2"/>
  <c r="G549" i="2"/>
  <c r="G618" i="2"/>
  <c r="G385" i="2"/>
  <c r="G297" i="2"/>
  <c r="E343" i="2"/>
  <c r="G617" i="2"/>
  <c r="E709" i="2"/>
  <c r="G486" i="2"/>
  <c r="F330" i="2"/>
  <c r="F505" i="2"/>
  <c r="G785" i="2"/>
  <c r="F614" i="2"/>
  <c r="F413" i="2"/>
  <c r="E393" i="2"/>
  <c r="F477" i="2"/>
  <c r="E347" i="2"/>
  <c r="G584" i="2"/>
  <c r="E621" i="2"/>
  <c r="F686" i="2"/>
  <c r="G582" i="2"/>
  <c r="F516" i="2"/>
  <c r="F540" i="2"/>
  <c r="G324" i="2"/>
  <c r="F311" i="2"/>
  <c r="F649" i="2"/>
  <c r="F315" i="2"/>
  <c r="G348" i="2"/>
  <c r="F717" i="2"/>
  <c r="E575" i="2"/>
  <c r="E415" i="2"/>
  <c r="E324" i="2"/>
  <c r="F692" i="2"/>
  <c r="F425" i="2"/>
  <c r="F432" i="2"/>
  <c r="F735" i="2"/>
  <c r="E309" i="2"/>
  <c r="G728" i="2"/>
  <c r="G363" i="2"/>
  <c r="E527" i="2"/>
  <c r="F464" i="2"/>
  <c r="E331" i="2"/>
  <c r="G451" i="2"/>
  <c r="G753" i="2"/>
  <c r="E781" i="2"/>
  <c r="E679" i="2"/>
  <c r="E668" i="2"/>
  <c r="E669" i="2"/>
  <c r="E660" i="2"/>
  <c r="F503" i="2"/>
  <c r="F651" i="2"/>
  <c r="E600" i="2"/>
  <c r="E535" i="2"/>
  <c r="E636" i="2"/>
  <c r="E751" i="2"/>
  <c r="G307" i="2"/>
  <c r="G522" i="2"/>
  <c r="F458" i="2"/>
  <c r="E344" i="2"/>
  <c r="G419" i="2"/>
  <c r="G456" i="2"/>
  <c r="F506" i="2"/>
  <c r="F739" i="2"/>
  <c r="E782" i="2"/>
  <c r="E725" i="2"/>
  <c r="E691" i="2"/>
  <c r="E486" i="2"/>
  <c r="G633" i="2"/>
  <c r="G702" i="2"/>
  <c r="E297" i="2"/>
  <c r="G403" i="2"/>
  <c r="G447" i="2"/>
  <c r="E746" i="2"/>
  <c r="E605" i="2"/>
  <c r="F648" i="2"/>
  <c r="G752" i="2"/>
  <c r="F350" i="2"/>
  <c r="G339" i="2"/>
  <c r="E459" i="2"/>
  <c r="F691" i="2"/>
  <c r="E753" i="2"/>
  <c r="G377" i="2"/>
  <c r="E419" i="2"/>
  <c r="G757" i="2"/>
  <c r="G554" i="2"/>
  <c r="G295" i="2"/>
  <c r="G459" i="2"/>
  <c r="G567" i="2"/>
  <c r="E786" i="2"/>
  <c r="F415" i="2"/>
  <c r="G313" i="2"/>
  <c r="F572" i="2"/>
  <c r="E788" i="2"/>
  <c r="G398" i="2"/>
  <c r="G336" i="2"/>
  <c r="E339" i="2"/>
  <c r="E335" i="2"/>
  <c r="F488" i="2"/>
  <c r="G591" i="2"/>
  <c r="E477" i="2"/>
  <c r="F475" i="2"/>
  <c r="G415" i="2"/>
  <c r="F399" i="2"/>
  <c r="G776" i="2"/>
  <c r="F631" i="2"/>
  <c r="F435" i="2"/>
  <c r="E350" i="2"/>
  <c r="F361" i="2"/>
  <c r="G342" i="2"/>
  <c r="E743" i="2"/>
  <c r="F654" i="2"/>
  <c r="E434" i="2"/>
  <c r="E285" i="2"/>
  <c r="F297" i="2"/>
  <c r="F753" i="2"/>
  <c r="E381" i="2"/>
  <c r="F728" i="2"/>
  <c r="F501" i="2"/>
  <c r="F440" i="2"/>
  <c r="G572" i="2"/>
  <c r="G392" i="2"/>
  <c r="G390" i="2"/>
  <c r="F782" i="2"/>
  <c r="F381" i="2"/>
  <c r="F662" i="2"/>
  <c r="G458" i="2"/>
  <c r="F545" i="2"/>
  <c r="F337" i="2"/>
  <c r="G707" i="2"/>
  <c r="F453" i="2"/>
  <c r="E599" i="2"/>
  <c r="F332" i="2"/>
  <c r="F365" i="2"/>
  <c r="E441" i="2"/>
  <c r="F521" i="2"/>
  <c r="F769" i="2"/>
  <c r="F476" i="2"/>
  <c r="G465" i="2"/>
  <c r="E657" i="2"/>
  <c r="F533" i="2"/>
  <c r="F747" i="2"/>
  <c r="E739" i="2"/>
  <c r="E596" i="2"/>
  <c r="E452" i="2"/>
  <c r="G745" i="2"/>
  <c r="F698" i="2"/>
  <c r="E650" i="2"/>
  <c r="E704" i="2"/>
  <c r="E519" i="2"/>
  <c r="F596" i="2"/>
  <c r="E507" i="2"/>
  <c r="E475" i="2"/>
  <c r="G431" i="2"/>
  <c r="F582" i="2"/>
  <c r="G577" i="2"/>
  <c r="G611" i="2"/>
  <c r="F480" i="2"/>
  <c r="F627" i="2"/>
  <c r="G372" i="2"/>
  <c r="F733" i="2"/>
  <c r="F557" i="2"/>
  <c r="F624" i="2"/>
  <c r="G463" i="2"/>
  <c r="E503" i="2"/>
  <c r="G446" i="2"/>
  <c r="G309" i="2"/>
  <c r="F296" i="2"/>
  <c r="E594" i="2"/>
  <c r="E464" i="2"/>
  <c r="G350" i="2"/>
  <c r="G360" i="2"/>
  <c r="F780" i="2"/>
  <c r="E553" i="2"/>
  <c r="F789" i="2"/>
  <c r="G551" i="2"/>
  <c r="G579" i="2"/>
  <c r="E593" i="2"/>
  <c r="G558" i="2"/>
  <c r="E719" i="2"/>
  <c r="G506" i="2"/>
  <c r="E757" i="2"/>
  <c r="E534" i="2"/>
  <c r="F573" i="2"/>
  <c r="E655" i="2"/>
  <c r="F683" i="2"/>
  <c r="E645" i="2"/>
  <c r="F656" i="2"/>
  <c r="F783" i="2"/>
  <c r="F629" i="2"/>
  <c r="E333" i="2"/>
  <c r="E403" i="2"/>
  <c r="G590" i="2"/>
  <c r="E480" i="2"/>
  <c r="F348" i="2"/>
  <c r="G619" i="2"/>
  <c r="E565" i="2"/>
  <c r="F486" i="2"/>
  <c r="F359" i="2"/>
  <c r="G375" i="2"/>
  <c r="G393" i="2"/>
  <c r="G325" i="2"/>
  <c r="G283" i="2"/>
  <c r="G656" i="2"/>
  <c r="G423" i="2"/>
  <c r="G413" i="2"/>
  <c r="F312" i="2"/>
  <c r="G657" i="2"/>
  <c r="E723" i="2"/>
  <c r="F743" i="2"/>
  <c r="E566" i="2"/>
  <c r="G608" i="2"/>
  <c r="F308" i="2"/>
  <c r="F377" i="2"/>
  <c r="G747" i="2"/>
  <c r="G685" i="2"/>
  <c r="G429" i="2"/>
  <c r="F584" i="2"/>
  <c r="F398" i="2"/>
  <c r="F284" i="2"/>
  <c r="E779" i="2"/>
  <c r="G511" i="2"/>
  <c r="G621" i="2"/>
  <c r="E287" i="2"/>
  <c r="G769" i="2"/>
  <c r="G519" i="2"/>
  <c r="F787" i="2"/>
  <c r="E361" i="2"/>
  <c r="G703" i="2"/>
  <c r="G285" i="2"/>
  <c r="G408" i="2"/>
  <c r="F767" i="2"/>
  <c r="G597" i="2"/>
  <c r="F715" i="2"/>
  <c r="G774" i="2"/>
  <c r="E769" i="2"/>
  <c r="E733" i="2"/>
  <c r="F761" i="2"/>
  <c r="G391" i="2"/>
  <c r="F423" i="2"/>
  <c r="E584" i="2"/>
  <c r="F402" i="2"/>
  <c r="F324" i="2"/>
  <c r="E312" i="2"/>
  <c r="E427" i="2"/>
  <c r="E360" i="2"/>
  <c r="G500" i="2"/>
  <c r="F450" i="2"/>
  <c r="G777" i="2"/>
  <c r="G528" i="2"/>
  <c r="F547" i="2"/>
  <c r="E617" i="2"/>
  <c r="F473" i="2"/>
  <c r="E476" i="2"/>
  <c r="F779" i="2"/>
  <c r="G553" i="2"/>
  <c r="E749" i="2"/>
  <c r="E642" i="2"/>
  <c r="F492" i="2"/>
  <c r="E675" i="2"/>
  <c r="F593" i="2"/>
  <c r="F529" i="2"/>
  <c r="F588" i="2"/>
  <c r="E552" i="2"/>
  <c r="E453" i="2"/>
  <c r="G559" i="2"/>
  <c r="E653" i="2"/>
  <c r="E499" i="2"/>
  <c r="F594" i="2"/>
  <c r="E581" i="2"/>
  <c r="G308" i="2"/>
  <c r="E345" i="2"/>
  <c r="E408" i="2"/>
  <c r="E369" i="2"/>
  <c r="G641" i="2"/>
  <c r="F655" i="2"/>
  <c r="F762" i="2"/>
  <c r="F689" i="2"/>
  <c r="E677" i="2"/>
  <c r="F714" i="2"/>
  <c r="F708" i="2"/>
  <c r="E525" i="2"/>
  <c r="G651" i="2"/>
  <c r="G381" i="2"/>
  <c r="E355" i="2"/>
  <c r="G740" i="2"/>
  <c r="G650" i="2"/>
  <c r="G744" i="2"/>
  <c r="G683" i="2"/>
  <c r="F609" i="2"/>
  <c r="F744" i="2"/>
  <c r="G498" i="2"/>
  <c r="F723" i="2"/>
  <c r="E585" i="2"/>
  <c r="E678" i="2"/>
  <c r="F498" i="2"/>
  <c r="F396" i="2"/>
  <c r="E359" i="2"/>
  <c r="F630" i="2"/>
  <c r="E356" i="2"/>
  <c r="G343" i="2"/>
  <c r="F644" i="2"/>
  <c r="F665" i="2"/>
  <c r="G416" i="2"/>
  <c r="G319" i="2"/>
  <c r="G638" i="2"/>
  <c r="G476" i="2"/>
  <c r="E537" i="2"/>
  <c r="E315" i="2"/>
  <c r="E422" i="2"/>
  <c r="E311" i="2"/>
  <c r="E729" i="2"/>
  <c r="F511" i="2"/>
  <c r="G575" i="2"/>
  <c r="F661" i="2"/>
  <c r="G489" i="2"/>
  <c r="E410" i="2"/>
  <c r="G788" i="2"/>
  <c r="E726" i="2"/>
  <c r="E543" i="2"/>
  <c r="E522" i="2"/>
  <c r="F731" i="2"/>
  <c r="E299" i="2"/>
  <c r="E318" i="2"/>
  <c r="G727" i="2"/>
  <c r="F738" i="2"/>
  <c r="G402" i="2"/>
  <c r="E443" i="2"/>
  <c r="E446" i="2"/>
  <c r="G438" i="2"/>
  <c r="F299" i="2"/>
  <c r="F397" i="2"/>
  <c r="E720" i="2"/>
  <c r="G479" i="2"/>
  <c r="E573" i="2"/>
  <c r="F675" i="2"/>
  <c r="G357" i="2"/>
  <c r="G327" i="2"/>
  <c r="G366" i="2"/>
  <c r="E289" i="2"/>
  <c r="G315" i="2"/>
  <c r="G729" i="2"/>
  <c r="G518" i="2"/>
  <c r="E293" i="2"/>
  <c r="E308" i="2"/>
  <c r="E373" i="2"/>
  <c r="F295" i="2"/>
  <c r="E489" i="2"/>
  <c r="E722" i="2"/>
  <c r="G623" i="2"/>
  <c r="G606" i="2"/>
  <c r="F479" i="2"/>
  <c r="F481" i="2"/>
  <c r="F493" i="2"/>
  <c r="F749" i="2"/>
  <c r="E481" i="2"/>
  <c r="E492" i="2"/>
  <c r="E482" i="2"/>
  <c r="F752" i="2"/>
  <c r="G539" i="2"/>
  <c r="E557" i="2"/>
  <c r="F470" i="2"/>
  <c r="F680" i="2"/>
  <c r="E635" i="2"/>
  <c r="F605" i="2"/>
  <c r="E529" i="2"/>
  <c r="F713" i="2"/>
  <c r="F515" i="2"/>
  <c r="E651" i="2"/>
  <c r="F343" i="2"/>
  <c r="E306" i="2"/>
  <c r="E290" i="2"/>
  <c r="G781" i="2"/>
  <c r="E501" i="2"/>
  <c r="G487" i="2"/>
  <c r="G761" i="2"/>
  <c r="F699" i="2"/>
  <c r="F608" i="2"/>
  <c r="E559" i="2"/>
  <c r="F720" i="2"/>
  <c r="F446" i="2"/>
  <c r="F329" i="2"/>
  <c r="E423" i="2"/>
  <c r="G409" i="2"/>
  <c r="E516" i="2"/>
  <c r="E656" i="2"/>
  <c r="G684" i="2"/>
  <c r="E510" i="2"/>
  <c r="E615" i="2"/>
  <c r="E763" i="2"/>
  <c r="G494" i="2"/>
  <c r="E518" i="2"/>
  <c r="F471" i="2"/>
  <c r="F674" i="2"/>
  <c r="F390" i="2"/>
  <c r="E371" i="2"/>
  <c r="G287" i="2"/>
  <c r="E291" i="2"/>
  <c r="G649" i="2"/>
  <c r="G743" i="2"/>
  <c r="F600" i="2"/>
  <c r="F395" i="2"/>
  <c r="E330" i="2"/>
  <c r="G481" i="2"/>
  <c r="G523" i="2"/>
  <c r="G741" i="2"/>
  <c r="G599" i="2"/>
  <c r="E587" i="2"/>
  <c r="G396" i="2"/>
  <c r="E323" i="2"/>
  <c r="G477" i="2"/>
  <c r="F452" i="2"/>
  <c r="G779" i="2"/>
  <c r="E711" i="2"/>
  <c r="G612" i="2"/>
  <c r="F660" i="2"/>
  <c r="E416" i="2"/>
  <c r="G288" i="2"/>
  <c r="G369" i="2"/>
  <c r="G665" i="2"/>
  <c r="G471" i="2"/>
  <c r="F701" i="2"/>
  <c r="G420" i="2"/>
  <c r="F426" i="2"/>
  <c r="G705" i="2"/>
  <c r="G738" i="2"/>
  <c r="G661" i="2"/>
  <c r="E511" i="2"/>
  <c r="F344" i="2"/>
  <c r="E367" i="2"/>
  <c r="G291" i="2"/>
  <c r="F613" i="2"/>
  <c r="G441" i="2"/>
  <c r="E329" i="2"/>
  <c r="G588" i="2"/>
  <c r="E506" i="2"/>
  <c r="G696" i="2"/>
  <c r="F504" i="2"/>
  <c r="G405" i="2"/>
  <c r="G282" i="2"/>
  <c r="F421" i="2"/>
  <c r="F306" i="2"/>
  <c r="G731" i="2"/>
  <c r="F716" i="2"/>
  <c r="G635" i="2"/>
  <c r="E563" i="2"/>
  <c r="E517" i="2"/>
  <c r="E303" i="2"/>
  <c r="G422" i="2"/>
  <c r="G361" i="2"/>
  <c r="F422" i="2"/>
  <c r="F434" i="2"/>
  <c r="G692" i="2"/>
  <c r="E487" i="2"/>
  <c r="F601" i="2"/>
  <c r="G666" i="2"/>
  <c r="G675" i="2"/>
  <c r="E710" i="2"/>
  <c r="E661" i="2"/>
  <c r="E673" i="2"/>
  <c r="E708" i="2"/>
  <c r="E588" i="2"/>
  <c r="F746" i="2"/>
  <c r="E783" i="2"/>
  <c r="F570" i="2"/>
  <c r="E539" i="2"/>
  <c r="E750" i="2"/>
  <c r="E789" i="2"/>
  <c r="G497" i="2"/>
  <c r="E512" i="2"/>
  <c r="E558" i="2"/>
  <c r="G672" i="2"/>
  <c r="E614" i="2"/>
  <c r="F455" i="2"/>
  <c r="E683" i="2"/>
  <c r="G645" i="2"/>
  <c r="F583" i="2"/>
  <c r="F589" i="2"/>
  <c r="E281" i="2"/>
  <c r="F335" i="2"/>
  <c r="F559" i="2"/>
  <c r="G716" i="2"/>
  <c r="E717" i="2"/>
  <c r="E684" i="2"/>
  <c r="F461" i="2"/>
  <c r="F393" i="2"/>
  <c r="E284" i="2"/>
  <c r="F333" i="2"/>
  <c r="E411" i="2"/>
  <c r="E741" i="2"/>
  <c r="G555" i="2"/>
  <c r="G632" i="2"/>
  <c r="E770" i="2"/>
  <c r="E697" i="2"/>
  <c r="F603" i="2"/>
  <c r="F678" i="2"/>
  <c r="F577" i="2"/>
  <c r="E554" i="2"/>
  <c r="G669" i="2"/>
  <c r="F353" i="2"/>
  <c r="G468" i="2"/>
  <c r="F528" i="2"/>
  <c r="G359" i="2"/>
  <c r="F403" i="2"/>
  <c r="F542" i="2"/>
  <c r="E626" i="2"/>
  <c r="F617" i="2"/>
  <c r="G488" i="2"/>
  <c r="G351" i="2"/>
  <c r="F788" i="2"/>
  <c r="G704" i="2"/>
  <c r="G756" i="2"/>
  <c r="F548" i="2"/>
  <c r="E632" i="2"/>
  <c r="E659" i="2"/>
  <c r="G387" i="2"/>
  <c r="F383" i="2"/>
  <c r="G583" i="2"/>
  <c r="G449" i="2"/>
  <c r="F535" i="2"/>
  <c r="E392" i="2"/>
  <c r="E421" i="2"/>
  <c r="F725" i="2"/>
  <c r="E698" i="2"/>
  <c r="G626" i="2"/>
  <c r="E414" i="2"/>
  <c r="E294" i="2"/>
  <c r="F347" i="2"/>
  <c r="G698" i="2"/>
  <c r="E662" i="2"/>
  <c r="G473" i="2"/>
  <c r="E612" i="2"/>
  <c r="G717" i="2"/>
  <c r="E433" i="2"/>
  <c r="F303" i="2"/>
  <c r="G495" i="2"/>
  <c r="E758" i="2"/>
  <c r="G467" i="2"/>
  <c r="F283" i="2"/>
  <c r="G383" i="2"/>
  <c r="G314" i="2"/>
  <c r="F510" i="2"/>
  <c r="G543" i="2"/>
  <c r="E494" i="2"/>
  <c r="E692" i="2"/>
  <c r="G533" i="2"/>
  <c r="E699" i="2"/>
  <c r="E571" i="2"/>
  <c r="G642" i="2"/>
  <c r="G613" i="2"/>
  <c r="G732" i="2"/>
  <c r="F668" i="2"/>
  <c r="E561" i="2"/>
  <c r="E504" i="2"/>
  <c r="F727" i="2"/>
  <c r="E597" i="2"/>
  <c r="F561" i="2"/>
  <c r="F560" i="2"/>
  <c r="E483" i="2"/>
  <c r="E768" i="2"/>
  <c r="E541" i="2"/>
  <c r="G517" i="2"/>
  <c r="F523" i="2"/>
  <c r="F785" i="2"/>
  <c r="F462" i="2"/>
  <c r="F696" i="2"/>
  <c r="F703" i="2"/>
  <c r="F685" i="2"/>
  <c r="F618" i="2"/>
  <c r="G701" i="2"/>
  <c r="F553" i="2"/>
  <c r="E569" i="2"/>
  <c r="G427" i="2"/>
  <c r="G573" i="2"/>
  <c r="F729" i="2"/>
  <c r="F591" i="2"/>
  <c r="G594" i="2"/>
  <c r="G596" i="2"/>
  <c r="G503" i="2"/>
  <c r="E740" i="2"/>
  <c r="G386" i="2"/>
  <c r="G432" i="2"/>
  <c r="G680" i="2"/>
  <c r="G534" i="2"/>
  <c r="E375" i="2"/>
  <c r="E663" i="2"/>
  <c r="G615" i="2"/>
  <c r="G678" i="2"/>
  <c r="E666" i="2"/>
  <c r="E639" i="2"/>
  <c r="G637" i="2"/>
  <c r="F468" i="2"/>
  <c r="E747" i="2"/>
  <c r="F465" i="2"/>
  <c r="B36" i="2"/>
  <c r="B42" i="2"/>
  <c r="B98" i="2"/>
  <c r="B104" i="2"/>
  <c r="B120" i="2"/>
  <c r="B59" i="2"/>
  <c r="B125" i="2"/>
  <c r="J70" i="2"/>
  <c r="B79" i="2"/>
  <c r="J114" i="2"/>
  <c r="B48" i="2"/>
  <c r="B56" i="2"/>
  <c r="B67" i="2"/>
  <c r="B73" i="2"/>
  <c r="B86" i="2"/>
  <c r="B134" i="2"/>
  <c r="B40" i="2"/>
  <c r="B71" i="2"/>
  <c r="B101" i="2"/>
  <c r="J47" i="2"/>
  <c r="J80" i="2"/>
  <c r="J102" i="2"/>
  <c r="B83" i="2"/>
  <c r="B78" i="2"/>
  <c r="B132" i="2"/>
  <c r="B31" i="2"/>
  <c r="J40" i="2"/>
  <c r="J53" i="2"/>
  <c r="J65" i="2"/>
  <c r="B110" i="2"/>
  <c r="B200" i="2"/>
  <c r="D257" i="2"/>
  <c r="B215" i="2"/>
  <c r="B32" i="2"/>
  <c r="B28" i="2"/>
  <c r="B46" i="2"/>
  <c r="B65" i="2"/>
  <c r="J94" i="2"/>
  <c r="J118" i="2"/>
  <c r="B62" i="2"/>
  <c r="B201" i="2"/>
  <c r="B37" i="2"/>
  <c r="J95" i="2"/>
  <c r="J119" i="2"/>
  <c r="B133" i="2"/>
  <c r="D241" i="2"/>
  <c r="B94" i="2"/>
  <c r="B43" i="2"/>
  <c r="B50" i="2"/>
  <c r="J76" i="2"/>
  <c r="J100" i="2"/>
  <c r="J124" i="2"/>
  <c r="B60" i="2"/>
  <c r="B74" i="2"/>
  <c r="B91" i="2"/>
  <c r="B108" i="2"/>
  <c r="B122" i="2"/>
  <c r="B169" i="2"/>
  <c r="C240" i="2"/>
  <c r="B240" i="2" s="1"/>
  <c r="M252" i="40"/>
  <c r="P108" i="40"/>
  <c r="O123" i="40"/>
  <c r="AH249" i="40"/>
  <c r="AC249" i="40"/>
  <c r="AG249" i="40"/>
  <c r="AB249" i="40"/>
  <c r="V249" i="40"/>
  <c r="Y249" i="40"/>
  <c r="AD249" i="40"/>
  <c r="T249" i="40"/>
  <c r="AJ249" i="40"/>
  <c r="Z249" i="40"/>
  <c r="M247" i="40"/>
  <c r="S249" i="40"/>
  <c r="M305" i="40"/>
  <c r="M263" i="40"/>
  <c r="M242" i="40"/>
  <c r="M221" i="40"/>
  <c r="M180" i="40"/>
  <c r="M170" i="40"/>
  <c r="P104" i="40"/>
  <c r="O104" i="40"/>
  <c r="O88" i="40"/>
  <c r="M218" i="40"/>
  <c r="AJ278" i="40"/>
  <c r="AC278" i="40"/>
  <c r="AF278" i="40"/>
  <c r="AH278" i="40"/>
  <c r="AD278" i="40"/>
  <c r="Y278" i="40"/>
  <c r="AE278" i="40"/>
  <c r="AB278" i="40"/>
  <c r="Z278" i="40"/>
  <c r="AI278" i="40"/>
  <c r="T278" i="40"/>
  <c r="W278" i="40"/>
  <c r="S278" i="40"/>
  <c r="P278" i="40"/>
  <c r="U278" i="40"/>
  <c r="X278" i="40"/>
  <c r="M226" i="40"/>
  <c r="P249" i="40"/>
  <c r="M193" i="40"/>
  <c r="M191" i="40"/>
  <c r="P120" i="40"/>
  <c r="O120" i="40"/>
  <c r="M240" i="40"/>
  <c r="M216" i="40"/>
  <c r="M214" i="40"/>
  <c r="M199" i="40"/>
  <c r="M197" i="40"/>
  <c r="M167" i="40"/>
  <c r="M280" i="40"/>
  <c r="M213" i="40"/>
  <c r="M207" i="40"/>
  <c r="M190" i="40"/>
  <c r="M181" i="40"/>
  <c r="AI279" i="40"/>
  <c r="AG279" i="40"/>
  <c r="X279" i="40"/>
  <c r="AJ279" i="40"/>
  <c r="S279" i="40"/>
  <c r="R279" i="40"/>
  <c r="M200" i="40"/>
  <c r="M198" i="40"/>
  <c r="AJ303" i="40"/>
  <c r="AC303" i="40"/>
  <c r="AF303" i="40"/>
  <c r="AH303" i="40"/>
  <c r="AB303" i="40"/>
  <c r="AE289" i="40"/>
  <c r="AB289" i="40"/>
  <c r="AF289" i="40"/>
  <c r="AI289" i="40"/>
  <c r="AC289" i="40"/>
  <c r="AD203" i="40"/>
  <c r="AE203" i="40"/>
  <c r="AG203" i="40"/>
  <c r="AJ203" i="40"/>
  <c r="AI203" i="40"/>
  <c r="AF203" i="40"/>
  <c r="X203" i="40"/>
  <c r="AC203" i="40"/>
  <c r="Z203" i="40"/>
  <c r="AJ228" i="40"/>
  <c r="AC228" i="40"/>
  <c r="AE228" i="40"/>
  <c r="AH228" i="40"/>
  <c r="AG228" i="40"/>
  <c r="AI228" i="40"/>
  <c r="AD228" i="40"/>
  <c r="AC266" i="40"/>
  <c r="AD266" i="40"/>
  <c r="AF266" i="40"/>
  <c r="AI266" i="40"/>
  <c r="AG256" i="40"/>
  <c r="AH256" i="40"/>
  <c r="AJ256" i="40"/>
  <c r="AE256" i="40"/>
  <c r="AC238" i="40"/>
  <c r="AI238" i="40"/>
  <c r="AH221" i="40"/>
  <c r="AI221" i="40"/>
  <c r="AF221" i="40"/>
  <c r="AJ221" i="40"/>
  <c r="AE190" i="40"/>
  <c r="AF190" i="40"/>
  <c r="AH190" i="40"/>
  <c r="AC190" i="40"/>
  <c r="AD190" i="40"/>
  <c r="AJ190" i="40"/>
  <c r="AD215" i="40"/>
  <c r="AE215" i="40"/>
  <c r="AG215" i="40"/>
  <c r="AJ215" i="40"/>
  <c r="AF194" i="40"/>
  <c r="AG194" i="40"/>
  <c r="AI194" i="40"/>
  <c r="AD194" i="40"/>
  <c r="AH178" i="40"/>
  <c r="AD170" i="40"/>
  <c r="AF170" i="40"/>
  <c r="AI170" i="40"/>
  <c r="AC217" i="40"/>
  <c r="AF217" i="40"/>
  <c r="AF214" i="40"/>
  <c r="AG214" i="40"/>
  <c r="AI214" i="40"/>
  <c r="AD214" i="40"/>
  <c r="AJ187" i="40"/>
  <c r="AC187" i="40"/>
  <c r="AE187" i="40"/>
  <c r="AH187" i="40"/>
  <c r="AD227" i="40"/>
  <c r="AE227" i="40"/>
  <c r="AG227" i="40"/>
  <c r="AJ227" i="40"/>
  <c r="AD178" i="40"/>
  <c r="AE178" i="40"/>
  <c r="AG178" i="40"/>
  <c r="AJ178" i="40"/>
  <c r="AG167" i="40"/>
  <c r="AG174" i="40"/>
  <c r="AD167" i="40"/>
  <c r="C224" i="2"/>
  <c r="B224" i="2" s="1"/>
  <c r="C220" i="2"/>
  <c r="B220" i="2" s="1"/>
  <c r="D239" i="2"/>
  <c r="C272" i="2"/>
  <c r="C236" i="2"/>
  <c r="B167" i="2"/>
  <c r="C271" i="2"/>
  <c r="C877" i="2" s="1"/>
  <c r="D256" i="2"/>
  <c r="B183" i="2"/>
  <c r="B165" i="2"/>
  <c r="B197" i="2"/>
  <c r="D272" i="2"/>
  <c r="D273" i="2"/>
  <c r="D223" i="2"/>
  <c r="B199" i="2"/>
  <c r="C255" i="2"/>
  <c r="B255" i="2" s="1"/>
  <c r="C241" i="2"/>
  <c r="C847" i="2" s="1"/>
  <c r="B168" i="2"/>
  <c r="D254" i="2"/>
  <c r="C270" i="2"/>
  <c r="B217" i="2"/>
  <c r="B184" i="2"/>
  <c r="B164" i="2"/>
  <c r="C222" i="2"/>
  <c r="B222" i="2" s="1"/>
  <c r="D267" i="2"/>
  <c r="D225" i="2"/>
  <c r="C268" i="2"/>
  <c r="B180" i="2"/>
  <c r="D252" i="2"/>
  <c r="C252" i="2"/>
  <c r="C858" i="2" s="1"/>
  <c r="B198" i="2"/>
  <c r="D222" i="2"/>
  <c r="D268" i="2"/>
  <c r="C237" i="2"/>
  <c r="B237" i="2" s="1"/>
  <c r="B182" i="2"/>
  <c r="B214" i="2"/>
  <c r="C829" i="2"/>
  <c r="C253" i="2"/>
  <c r="B253" i="2" s="1"/>
  <c r="B273" i="2"/>
  <c r="C879" i="2"/>
  <c r="D250" i="2"/>
  <c r="C250" i="2"/>
  <c r="B250" i="2" s="1"/>
  <c r="C845" i="2"/>
  <c r="D269" i="2"/>
  <c r="B257" i="2"/>
  <c r="C227" i="2"/>
  <c r="C833" i="2" s="1"/>
  <c r="B256" i="2"/>
  <c r="D231" i="2"/>
  <c r="B192" i="2"/>
  <c r="B193" i="2"/>
  <c r="C231" i="2"/>
  <c r="B231" i="2" s="1"/>
  <c r="D238" i="2"/>
  <c r="D235" i="2"/>
  <c r="B189" i="2"/>
  <c r="D227" i="2"/>
  <c r="C831" i="2"/>
  <c r="C235" i="2"/>
  <c r="C841" i="2" s="1"/>
  <c r="C263" i="2"/>
  <c r="C869" i="2" s="1"/>
  <c r="B254" i="2"/>
  <c r="D261" i="2"/>
  <c r="C249" i="2"/>
  <c r="B249" i="2" s="1"/>
  <c r="C230" i="2"/>
  <c r="B176" i="2"/>
  <c r="B238" i="2"/>
  <c r="D234" i="2"/>
  <c r="B163" i="2"/>
  <c r="B203" i="2"/>
  <c r="C262" i="2"/>
  <c r="D230" i="2"/>
  <c r="B210" i="2"/>
  <c r="D266" i="2"/>
  <c r="D262" i="2"/>
  <c r="D245" i="2"/>
  <c r="C219" i="2"/>
  <c r="B204" i="2"/>
  <c r="C234" i="2"/>
  <c r="C233" i="2"/>
  <c r="C267" i="2"/>
  <c r="B247" i="2"/>
  <c r="C853" i="2"/>
  <c r="C832" i="2"/>
  <c r="B226" i="2"/>
  <c r="C864" i="2"/>
  <c r="B258" i="2"/>
  <c r="B259" i="2"/>
  <c r="C865" i="2"/>
  <c r="C838" i="2"/>
  <c r="B232" i="2"/>
  <c r="B266" i="2"/>
  <c r="C872" i="2"/>
  <c r="B221" i="2"/>
  <c r="C827" i="2"/>
  <c r="C875" i="2"/>
  <c r="B269" i="2"/>
  <c r="B229" i="2"/>
  <c r="C835" i="2"/>
  <c r="C851" i="2"/>
  <c r="B245" i="2"/>
  <c r="C870" i="2"/>
  <c r="B264" i="2"/>
  <c r="C854" i="2"/>
  <c r="B248" i="2"/>
  <c r="D274" i="2"/>
  <c r="D242" i="2"/>
  <c r="C261" i="2"/>
  <c r="C242" i="2"/>
  <c r="D259" i="2"/>
  <c r="C243" i="2"/>
  <c r="B202" i="2"/>
  <c r="D258" i="2"/>
  <c r="B177" i="2"/>
  <c r="C244" i="2"/>
  <c r="D251" i="2"/>
  <c r="D248" i="2"/>
  <c r="B172" i="2"/>
  <c r="B191" i="2"/>
  <c r="D246" i="2"/>
  <c r="C260" i="2"/>
  <c r="C246" i="2"/>
  <c r="B208" i="2"/>
  <c r="D247" i="2"/>
  <c r="B173" i="2"/>
  <c r="D265" i="2"/>
  <c r="C265" i="2"/>
  <c r="C228" i="2"/>
  <c r="D221" i="2"/>
  <c r="B213" i="2"/>
  <c r="C251" i="2"/>
  <c r="B188" i="2"/>
  <c r="D264" i="2"/>
  <c r="D232" i="2"/>
  <c r="D229" i="2"/>
  <c r="C274" i="2"/>
  <c r="B207" i="2"/>
  <c r="B181" i="2"/>
  <c r="D226" i="2"/>
  <c r="B170" i="2"/>
  <c r="D243" i="2"/>
  <c r="C13" i="43"/>
  <c r="J260" i="2"/>
  <c r="J271" i="2"/>
  <c r="J250" i="2"/>
  <c r="J220" i="2"/>
  <c r="J242" i="2"/>
  <c r="J268" i="2"/>
  <c r="J235" i="2"/>
  <c r="J219" i="2"/>
  <c r="J224" i="2"/>
  <c r="J246" i="2"/>
  <c r="J243" i="2"/>
  <c r="J267" i="2"/>
  <c r="E13" i="43"/>
  <c r="J263" i="2"/>
  <c r="D12" i="43"/>
  <c r="J265" i="2"/>
  <c r="J237" i="2"/>
  <c r="J234" i="2"/>
  <c r="J261" i="2"/>
  <c r="J262" i="2"/>
  <c r="J274" i="2"/>
  <c r="J228" i="2"/>
  <c r="J233" i="2"/>
  <c r="J244" i="2"/>
  <c r="J251" i="2"/>
  <c r="AJ183" i="40" l="1"/>
  <c r="AC183" i="40"/>
  <c r="AE183" i="40"/>
  <c r="D352" i="43"/>
  <c r="E352" i="43" s="1"/>
  <c r="F352" i="43" s="1"/>
  <c r="G352" i="43" s="1"/>
  <c r="H352" i="43" s="1"/>
  <c r="I352" i="43" s="1"/>
  <c r="J352" i="43" s="1"/>
  <c r="K352" i="43" s="1"/>
  <c r="C352" i="43"/>
  <c r="A352" i="43"/>
  <c r="D249" i="43"/>
  <c r="E249" i="43" s="1"/>
  <c r="F249" i="43" s="1"/>
  <c r="G249" i="43" s="1"/>
  <c r="H249" i="43" s="1"/>
  <c r="I249" i="43" s="1"/>
  <c r="J249" i="43" s="1"/>
  <c r="K249" i="43" s="1"/>
  <c r="C249" i="43"/>
  <c r="D157" i="43"/>
  <c r="E157" i="43" s="1"/>
  <c r="F157" i="43" s="1"/>
  <c r="G157" i="43" s="1"/>
  <c r="H157" i="43" s="1"/>
  <c r="I157" i="43" s="1"/>
  <c r="J157" i="43" s="1"/>
  <c r="K157" i="43" s="1"/>
  <c r="A157" i="43"/>
  <c r="C365" i="43"/>
  <c r="A365" i="43"/>
  <c r="C262" i="43"/>
  <c r="A262" i="43"/>
  <c r="D400" i="43"/>
  <c r="E400" i="43" s="1"/>
  <c r="F400" i="43" s="1"/>
  <c r="G400" i="43" s="1"/>
  <c r="H400" i="43" s="1"/>
  <c r="I400" i="43" s="1"/>
  <c r="J400" i="43" s="1"/>
  <c r="K400" i="43" s="1"/>
  <c r="C400" i="43"/>
  <c r="A297" i="43"/>
  <c r="C297" i="43"/>
  <c r="D123" i="43"/>
  <c r="E123" i="43" s="1"/>
  <c r="F123" i="43" s="1"/>
  <c r="G123" i="43" s="1"/>
  <c r="H123" i="43" s="1"/>
  <c r="I123" i="43" s="1"/>
  <c r="J123" i="43" s="1"/>
  <c r="K123" i="43" s="1"/>
  <c r="C123" i="43"/>
  <c r="A123" i="43"/>
  <c r="C349" i="43"/>
  <c r="D349" i="43"/>
  <c r="E349" i="43" s="1"/>
  <c r="F349" i="43" s="1"/>
  <c r="G349" i="43" s="1"/>
  <c r="H349" i="43" s="1"/>
  <c r="I349" i="43" s="1"/>
  <c r="J349" i="43" s="1"/>
  <c r="K349" i="43" s="1"/>
  <c r="A349" i="43"/>
  <c r="D369" i="43"/>
  <c r="E369" i="43" s="1"/>
  <c r="F369" i="43" s="1"/>
  <c r="G369" i="43" s="1"/>
  <c r="H369" i="43" s="1"/>
  <c r="I369" i="43" s="1"/>
  <c r="J369" i="43" s="1"/>
  <c r="K369" i="43" s="1"/>
  <c r="C369" i="43"/>
  <c r="A369" i="43"/>
  <c r="D269" i="43"/>
  <c r="E269" i="43" s="1"/>
  <c r="F269" i="43" s="1"/>
  <c r="G269" i="43" s="1"/>
  <c r="H269" i="43" s="1"/>
  <c r="I269" i="43" s="1"/>
  <c r="J269" i="43" s="1"/>
  <c r="K269" i="43" s="1"/>
  <c r="A269" i="43"/>
  <c r="C269" i="43"/>
  <c r="C168" i="43"/>
  <c r="D168" i="43"/>
  <c r="E168" i="43" s="1"/>
  <c r="F168" i="43" s="1"/>
  <c r="G168" i="43" s="1"/>
  <c r="H168" i="43" s="1"/>
  <c r="I168" i="43" s="1"/>
  <c r="J168" i="43" s="1"/>
  <c r="K168" i="43" s="1"/>
  <c r="A168" i="43"/>
  <c r="D104" i="43"/>
  <c r="E104" i="43" s="1"/>
  <c r="F104" i="43" s="1"/>
  <c r="G104" i="43" s="1"/>
  <c r="H104" i="43" s="1"/>
  <c r="I104" i="43" s="1"/>
  <c r="J104" i="43" s="1"/>
  <c r="K104" i="43" s="1"/>
  <c r="A104" i="43"/>
  <c r="C104" i="43"/>
  <c r="A446" i="43"/>
  <c r="C446" i="43"/>
  <c r="D446" i="43"/>
  <c r="E446" i="43" s="1"/>
  <c r="F446" i="43" s="1"/>
  <c r="G446" i="43" s="1"/>
  <c r="H446" i="43" s="1"/>
  <c r="I446" i="43" s="1"/>
  <c r="J446" i="43" s="1"/>
  <c r="K446" i="43" s="1"/>
  <c r="D343" i="43"/>
  <c r="E343" i="43" s="1"/>
  <c r="F343" i="43" s="1"/>
  <c r="G343" i="43" s="1"/>
  <c r="H343" i="43" s="1"/>
  <c r="I343" i="43" s="1"/>
  <c r="J343" i="43" s="1"/>
  <c r="K343" i="43" s="1"/>
  <c r="C343" i="43"/>
  <c r="A343" i="43"/>
  <c r="D240" i="43"/>
  <c r="E240" i="43" s="1"/>
  <c r="F240" i="43" s="1"/>
  <c r="G240" i="43" s="1"/>
  <c r="H240" i="43" s="1"/>
  <c r="I240" i="43" s="1"/>
  <c r="J240" i="43" s="1"/>
  <c r="K240" i="43" s="1"/>
  <c r="C240" i="43"/>
  <c r="A240" i="43"/>
  <c r="C151" i="43"/>
  <c r="D151" i="43"/>
  <c r="E151" i="43" s="1"/>
  <c r="F151" i="43" s="1"/>
  <c r="G151" i="43" s="1"/>
  <c r="H151" i="43" s="1"/>
  <c r="I151" i="43" s="1"/>
  <c r="J151" i="43" s="1"/>
  <c r="K151" i="43" s="1"/>
  <c r="A151" i="43"/>
  <c r="D87" i="43"/>
  <c r="E87" i="43" s="1"/>
  <c r="F87" i="43" s="1"/>
  <c r="G87" i="43" s="1"/>
  <c r="H87" i="43" s="1"/>
  <c r="I87" i="43" s="1"/>
  <c r="J87" i="43" s="1"/>
  <c r="K87" i="43" s="1"/>
  <c r="C87" i="43"/>
  <c r="A87" i="43"/>
  <c r="D262" i="43"/>
  <c r="E262" i="43" s="1"/>
  <c r="F262" i="43" s="1"/>
  <c r="G262" i="43" s="1"/>
  <c r="H262" i="43" s="1"/>
  <c r="I262" i="43" s="1"/>
  <c r="J262" i="43" s="1"/>
  <c r="K262" i="43" s="1"/>
  <c r="D90" i="43"/>
  <c r="E90" i="43" s="1"/>
  <c r="F90" i="43" s="1"/>
  <c r="G90" i="43" s="1"/>
  <c r="H90" i="43" s="1"/>
  <c r="I90" i="43" s="1"/>
  <c r="J90" i="43" s="1"/>
  <c r="K90" i="43" s="1"/>
  <c r="A400" i="43"/>
  <c r="D441" i="43"/>
  <c r="E441" i="43" s="1"/>
  <c r="F441" i="43" s="1"/>
  <c r="G441" i="43" s="1"/>
  <c r="H441" i="43" s="1"/>
  <c r="I441" i="43" s="1"/>
  <c r="J441" i="43" s="1"/>
  <c r="K441" i="43" s="1"/>
  <c r="C441" i="43"/>
  <c r="C341" i="43"/>
  <c r="A341" i="43"/>
  <c r="D238" i="43"/>
  <c r="E238" i="43" s="1"/>
  <c r="F238" i="43" s="1"/>
  <c r="G238" i="43" s="1"/>
  <c r="H238" i="43" s="1"/>
  <c r="I238" i="43" s="1"/>
  <c r="J238" i="43" s="1"/>
  <c r="K238" i="43" s="1"/>
  <c r="A238" i="43"/>
  <c r="D149" i="43"/>
  <c r="E149" i="43" s="1"/>
  <c r="F149" i="43" s="1"/>
  <c r="G149" i="43" s="1"/>
  <c r="H149" i="43" s="1"/>
  <c r="I149" i="43" s="1"/>
  <c r="J149" i="43" s="1"/>
  <c r="K149" i="43" s="1"/>
  <c r="A149" i="43"/>
  <c r="D248" i="43"/>
  <c r="E248" i="43" s="1"/>
  <c r="F248" i="43" s="1"/>
  <c r="G248" i="43" s="1"/>
  <c r="H248" i="43" s="1"/>
  <c r="I248" i="43" s="1"/>
  <c r="J248" i="43" s="1"/>
  <c r="K248" i="43" s="1"/>
  <c r="C248" i="43"/>
  <c r="A248" i="43"/>
  <c r="D115" i="43"/>
  <c r="E115" i="43" s="1"/>
  <c r="F115" i="43" s="1"/>
  <c r="G115" i="43" s="1"/>
  <c r="H115" i="43" s="1"/>
  <c r="I115" i="43" s="1"/>
  <c r="J115" i="43" s="1"/>
  <c r="K115" i="43" s="1"/>
  <c r="A115" i="43"/>
  <c r="C438" i="43"/>
  <c r="D438" i="43"/>
  <c r="E438" i="43" s="1"/>
  <c r="F438" i="43" s="1"/>
  <c r="G438" i="43" s="1"/>
  <c r="H438" i="43" s="1"/>
  <c r="I438" i="43" s="1"/>
  <c r="J438" i="43" s="1"/>
  <c r="K438" i="43" s="1"/>
  <c r="A438" i="43"/>
  <c r="D232" i="43"/>
  <c r="E232" i="43" s="1"/>
  <c r="F232" i="43" s="1"/>
  <c r="G232" i="43" s="1"/>
  <c r="H232" i="43" s="1"/>
  <c r="I232" i="43" s="1"/>
  <c r="J232" i="43" s="1"/>
  <c r="K232" i="43" s="1"/>
  <c r="C232" i="43"/>
  <c r="A232" i="43"/>
  <c r="D358" i="43"/>
  <c r="E358" i="43" s="1"/>
  <c r="F358" i="43" s="1"/>
  <c r="G358" i="43" s="1"/>
  <c r="H358" i="43" s="1"/>
  <c r="I358" i="43" s="1"/>
  <c r="J358" i="43" s="1"/>
  <c r="K358" i="43" s="1"/>
  <c r="A358" i="43"/>
  <c r="C358" i="43"/>
  <c r="D255" i="43"/>
  <c r="E255" i="43" s="1"/>
  <c r="F255" i="43" s="1"/>
  <c r="G255" i="43" s="1"/>
  <c r="H255" i="43" s="1"/>
  <c r="I255" i="43" s="1"/>
  <c r="J255" i="43" s="1"/>
  <c r="K255" i="43" s="1"/>
  <c r="C255" i="43"/>
  <c r="A255" i="43"/>
  <c r="D160" i="43"/>
  <c r="E160" i="43" s="1"/>
  <c r="F160" i="43" s="1"/>
  <c r="G160" i="43" s="1"/>
  <c r="H160" i="43" s="1"/>
  <c r="I160" i="43" s="1"/>
  <c r="J160" i="43" s="1"/>
  <c r="K160" i="43" s="1"/>
  <c r="C160" i="43"/>
  <c r="A160" i="43"/>
  <c r="D96" i="43"/>
  <c r="E96" i="43" s="1"/>
  <c r="F96" i="43" s="1"/>
  <c r="G96" i="43" s="1"/>
  <c r="H96" i="43" s="1"/>
  <c r="I96" i="43" s="1"/>
  <c r="J96" i="43" s="1"/>
  <c r="K96" i="43" s="1"/>
  <c r="A96" i="43"/>
  <c r="C96" i="43"/>
  <c r="D432" i="43"/>
  <c r="E432" i="43" s="1"/>
  <c r="F432" i="43" s="1"/>
  <c r="G432" i="43" s="1"/>
  <c r="H432" i="43" s="1"/>
  <c r="I432" i="43" s="1"/>
  <c r="J432" i="43" s="1"/>
  <c r="K432" i="43" s="1"/>
  <c r="C432" i="43"/>
  <c r="A432" i="43"/>
  <c r="D329" i="43"/>
  <c r="E329" i="43" s="1"/>
  <c r="F329" i="43" s="1"/>
  <c r="G329" i="43" s="1"/>
  <c r="H329" i="43" s="1"/>
  <c r="I329" i="43" s="1"/>
  <c r="J329" i="43" s="1"/>
  <c r="K329" i="43" s="1"/>
  <c r="C329" i="43"/>
  <c r="A329" i="43"/>
  <c r="D229" i="43"/>
  <c r="E229" i="43" s="1"/>
  <c r="F229" i="43" s="1"/>
  <c r="G229" i="43" s="1"/>
  <c r="H229" i="43" s="1"/>
  <c r="I229" i="43" s="1"/>
  <c r="J229" i="43" s="1"/>
  <c r="K229" i="43" s="1"/>
  <c r="C229" i="43"/>
  <c r="A229" i="43"/>
  <c r="D143" i="43"/>
  <c r="E143" i="43" s="1"/>
  <c r="F143" i="43" s="1"/>
  <c r="G143" i="43" s="1"/>
  <c r="H143" i="43" s="1"/>
  <c r="I143" i="43" s="1"/>
  <c r="J143" i="43" s="1"/>
  <c r="K143" i="43" s="1"/>
  <c r="C143" i="43"/>
  <c r="A143" i="43"/>
  <c r="D79" i="43"/>
  <c r="E79" i="43" s="1"/>
  <c r="F79" i="43" s="1"/>
  <c r="G79" i="43" s="1"/>
  <c r="H79" i="43" s="1"/>
  <c r="I79" i="43" s="1"/>
  <c r="J79" i="43" s="1"/>
  <c r="K79" i="43" s="1"/>
  <c r="C79" i="43"/>
  <c r="A79" i="43"/>
  <c r="A249" i="43"/>
  <c r="C197" i="43"/>
  <c r="D365" i="43"/>
  <c r="E365" i="43" s="1"/>
  <c r="F365" i="43" s="1"/>
  <c r="G365" i="43" s="1"/>
  <c r="H365" i="43" s="1"/>
  <c r="I365" i="43" s="1"/>
  <c r="J365" i="43" s="1"/>
  <c r="K365" i="43" s="1"/>
  <c r="C154" i="43"/>
  <c r="C430" i="43"/>
  <c r="A430" i="43"/>
  <c r="D430" i="43"/>
  <c r="E430" i="43" s="1"/>
  <c r="F430" i="43" s="1"/>
  <c r="G430" i="43" s="1"/>
  <c r="H430" i="43" s="1"/>
  <c r="I430" i="43" s="1"/>
  <c r="J430" i="43" s="1"/>
  <c r="K430" i="43" s="1"/>
  <c r="D327" i="43"/>
  <c r="E327" i="43" s="1"/>
  <c r="F327" i="43" s="1"/>
  <c r="G327" i="43" s="1"/>
  <c r="H327" i="43" s="1"/>
  <c r="I327" i="43" s="1"/>
  <c r="J327" i="43" s="1"/>
  <c r="K327" i="43" s="1"/>
  <c r="C327" i="43"/>
  <c r="A327" i="43"/>
  <c r="C224" i="43"/>
  <c r="D224" i="43"/>
  <c r="E224" i="43" s="1"/>
  <c r="F224" i="43" s="1"/>
  <c r="G224" i="43" s="1"/>
  <c r="H224" i="43" s="1"/>
  <c r="I224" i="43" s="1"/>
  <c r="J224" i="43" s="1"/>
  <c r="K224" i="43" s="1"/>
  <c r="A224" i="43"/>
  <c r="D440" i="43"/>
  <c r="E440" i="43" s="1"/>
  <c r="F440" i="43" s="1"/>
  <c r="G440" i="43" s="1"/>
  <c r="H440" i="43" s="1"/>
  <c r="I440" i="43" s="1"/>
  <c r="J440" i="43" s="1"/>
  <c r="K440" i="43" s="1"/>
  <c r="A440" i="43"/>
  <c r="C440" i="43"/>
  <c r="C272" i="43"/>
  <c r="D272" i="43"/>
  <c r="E272" i="43" s="1"/>
  <c r="F272" i="43" s="1"/>
  <c r="G272" i="43" s="1"/>
  <c r="H272" i="43" s="1"/>
  <c r="I272" i="43" s="1"/>
  <c r="J272" i="43" s="1"/>
  <c r="K272" i="43" s="1"/>
  <c r="D107" i="43"/>
  <c r="E107" i="43" s="1"/>
  <c r="F107" i="43" s="1"/>
  <c r="G107" i="43" s="1"/>
  <c r="H107" i="43" s="1"/>
  <c r="I107" i="43" s="1"/>
  <c r="J107" i="43" s="1"/>
  <c r="K107" i="43" s="1"/>
  <c r="C107" i="43"/>
  <c r="D424" i="43"/>
  <c r="E424" i="43" s="1"/>
  <c r="F424" i="43" s="1"/>
  <c r="G424" i="43" s="1"/>
  <c r="H424" i="43" s="1"/>
  <c r="I424" i="43" s="1"/>
  <c r="J424" i="43" s="1"/>
  <c r="K424" i="43" s="1"/>
  <c r="A424" i="43"/>
  <c r="C424" i="43"/>
  <c r="D447" i="43"/>
  <c r="E447" i="43" s="1"/>
  <c r="F447" i="43" s="1"/>
  <c r="G447" i="43" s="1"/>
  <c r="H447" i="43" s="1"/>
  <c r="I447" i="43" s="1"/>
  <c r="J447" i="43" s="1"/>
  <c r="K447" i="43" s="1"/>
  <c r="A447" i="43"/>
  <c r="C447" i="43"/>
  <c r="D344" i="43"/>
  <c r="E344" i="43" s="1"/>
  <c r="F344" i="43" s="1"/>
  <c r="G344" i="43" s="1"/>
  <c r="H344" i="43" s="1"/>
  <c r="I344" i="43" s="1"/>
  <c r="J344" i="43" s="1"/>
  <c r="K344" i="43" s="1"/>
  <c r="C344" i="43"/>
  <c r="A344" i="43"/>
  <c r="D241" i="43"/>
  <c r="E241" i="43" s="1"/>
  <c r="F241" i="43" s="1"/>
  <c r="G241" i="43" s="1"/>
  <c r="H241" i="43" s="1"/>
  <c r="I241" i="43" s="1"/>
  <c r="J241" i="43" s="1"/>
  <c r="K241" i="43" s="1"/>
  <c r="A241" i="43"/>
  <c r="C241" i="43"/>
  <c r="D152" i="43"/>
  <c r="E152" i="43" s="1"/>
  <c r="F152" i="43" s="1"/>
  <c r="G152" i="43" s="1"/>
  <c r="H152" i="43" s="1"/>
  <c r="I152" i="43" s="1"/>
  <c r="J152" i="43" s="1"/>
  <c r="K152" i="43" s="1"/>
  <c r="C152" i="43"/>
  <c r="A152" i="43"/>
  <c r="D88" i="43"/>
  <c r="E88" i="43" s="1"/>
  <c r="F88" i="43" s="1"/>
  <c r="G88" i="43" s="1"/>
  <c r="H88" i="43" s="1"/>
  <c r="I88" i="43" s="1"/>
  <c r="J88" i="43" s="1"/>
  <c r="K88" i="43" s="1"/>
  <c r="C88" i="43"/>
  <c r="A88" i="43"/>
  <c r="D421" i="43"/>
  <c r="E421" i="43" s="1"/>
  <c r="F421" i="43" s="1"/>
  <c r="G421" i="43" s="1"/>
  <c r="H421" i="43" s="1"/>
  <c r="I421" i="43" s="1"/>
  <c r="J421" i="43" s="1"/>
  <c r="K421" i="43" s="1"/>
  <c r="A421" i="43"/>
  <c r="C421" i="43"/>
  <c r="D318" i="43"/>
  <c r="E318" i="43" s="1"/>
  <c r="F318" i="43" s="1"/>
  <c r="G318" i="43" s="1"/>
  <c r="H318" i="43" s="1"/>
  <c r="I318" i="43" s="1"/>
  <c r="J318" i="43" s="1"/>
  <c r="K318" i="43" s="1"/>
  <c r="A318" i="43"/>
  <c r="C318" i="43"/>
  <c r="D215" i="43"/>
  <c r="E215" i="43" s="1"/>
  <c r="F215" i="43" s="1"/>
  <c r="G215" i="43" s="1"/>
  <c r="H215" i="43" s="1"/>
  <c r="I215" i="43" s="1"/>
  <c r="J215" i="43" s="1"/>
  <c r="K215" i="43" s="1"/>
  <c r="C215" i="43"/>
  <c r="A215" i="43"/>
  <c r="D135" i="43"/>
  <c r="E135" i="43" s="1"/>
  <c r="F135" i="43" s="1"/>
  <c r="G135" i="43" s="1"/>
  <c r="H135" i="43" s="1"/>
  <c r="I135" i="43" s="1"/>
  <c r="J135" i="43" s="1"/>
  <c r="K135" i="43" s="1"/>
  <c r="C135" i="43"/>
  <c r="A135" i="43"/>
  <c r="D71" i="43"/>
  <c r="E71" i="43" s="1"/>
  <c r="F71" i="43" s="1"/>
  <c r="G71" i="43" s="1"/>
  <c r="H71" i="43" s="1"/>
  <c r="I71" i="43" s="1"/>
  <c r="J71" i="43" s="1"/>
  <c r="K71" i="43" s="1"/>
  <c r="C71" i="43"/>
  <c r="A71" i="43"/>
  <c r="C100" i="43"/>
  <c r="D297" i="43"/>
  <c r="E297" i="43" s="1"/>
  <c r="F297" i="43" s="1"/>
  <c r="G297" i="43" s="1"/>
  <c r="H297" i="43" s="1"/>
  <c r="I297" i="43" s="1"/>
  <c r="J297" i="43" s="1"/>
  <c r="K297" i="43" s="1"/>
  <c r="D197" i="43"/>
  <c r="E197" i="43" s="1"/>
  <c r="F197" i="43" s="1"/>
  <c r="G197" i="43" s="1"/>
  <c r="H197" i="43" s="1"/>
  <c r="I197" i="43" s="1"/>
  <c r="J197" i="43" s="1"/>
  <c r="K197" i="43" s="1"/>
  <c r="A154" i="43"/>
  <c r="D416" i="43"/>
  <c r="E416" i="43" s="1"/>
  <c r="F416" i="43" s="1"/>
  <c r="G416" i="43" s="1"/>
  <c r="H416" i="43" s="1"/>
  <c r="I416" i="43" s="1"/>
  <c r="J416" i="43" s="1"/>
  <c r="K416" i="43" s="1"/>
  <c r="A416" i="43"/>
  <c r="C416" i="43"/>
  <c r="D313" i="43"/>
  <c r="E313" i="43" s="1"/>
  <c r="F313" i="43" s="1"/>
  <c r="G313" i="43" s="1"/>
  <c r="H313" i="43" s="1"/>
  <c r="I313" i="43" s="1"/>
  <c r="J313" i="43" s="1"/>
  <c r="K313" i="43" s="1"/>
  <c r="C313" i="43"/>
  <c r="D213" i="43"/>
  <c r="E213" i="43" s="1"/>
  <c r="F213" i="43" s="1"/>
  <c r="G213" i="43" s="1"/>
  <c r="H213" i="43" s="1"/>
  <c r="I213" i="43" s="1"/>
  <c r="J213" i="43" s="1"/>
  <c r="K213" i="43" s="1"/>
  <c r="A213" i="43"/>
  <c r="A133" i="43"/>
  <c r="D133" i="43"/>
  <c r="E133" i="43" s="1"/>
  <c r="F133" i="43" s="1"/>
  <c r="G133" i="43" s="1"/>
  <c r="H133" i="43" s="1"/>
  <c r="I133" i="43" s="1"/>
  <c r="J133" i="43" s="1"/>
  <c r="K133" i="43" s="1"/>
  <c r="C429" i="43"/>
  <c r="A429" i="43"/>
  <c r="C326" i="43"/>
  <c r="A326" i="43"/>
  <c r="D99" i="43"/>
  <c r="E99" i="43" s="1"/>
  <c r="F99" i="43" s="1"/>
  <c r="G99" i="43" s="1"/>
  <c r="H99" i="43" s="1"/>
  <c r="I99" i="43" s="1"/>
  <c r="J99" i="43" s="1"/>
  <c r="K99" i="43" s="1"/>
  <c r="A99" i="43"/>
  <c r="C413" i="43"/>
  <c r="A413" i="43"/>
  <c r="D413" i="43"/>
  <c r="E413" i="43" s="1"/>
  <c r="F413" i="43" s="1"/>
  <c r="G413" i="43" s="1"/>
  <c r="H413" i="43" s="1"/>
  <c r="I413" i="43" s="1"/>
  <c r="J413" i="43" s="1"/>
  <c r="K413" i="43" s="1"/>
  <c r="A207" i="43"/>
  <c r="D207" i="43"/>
  <c r="E207" i="43" s="1"/>
  <c r="F207" i="43" s="1"/>
  <c r="G207" i="43" s="1"/>
  <c r="H207" i="43" s="1"/>
  <c r="I207" i="43" s="1"/>
  <c r="J207" i="43" s="1"/>
  <c r="K207" i="43" s="1"/>
  <c r="C207" i="43"/>
  <c r="D433" i="43"/>
  <c r="E433" i="43" s="1"/>
  <c r="F433" i="43" s="1"/>
  <c r="G433" i="43" s="1"/>
  <c r="H433" i="43" s="1"/>
  <c r="I433" i="43" s="1"/>
  <c r="J433" i="43" s="1"/>
  <c r="K433" i="43" s="1"/>
  <c r="C433" i="43"/>
  <c r="A433" i="43"/>
  <c r="C333" i="43"/>
  <c r="D333" i="43"/>
  <c r="E333" i="43" s="1"/>
  <c r="F333" i="43" s="1"/>
  <c r="G333" i="43" s="1"/>
  <c r="H333" i="43" s="1"/>
  <c r="I333" i="43" s="1"/>
  <c r="J333" i="43" s="1"/>
  <c r="K333" i="43" s="1"/>
  <c r="A333" i="43"/>
  <c r="D230" i="43"/>
  <c r="E230" i="43" s="1"/>
  <c r="F230" i="43" s="1"/>
  <c r="G230" i="43" s="1"/>
  <c r="H230" i="43" s="1"/>
  <c r="I230" i="43" s="1"/>
  <c r="J230" i="43" s="1"/>
  <c r="K230" i="43" s="1"/>
  <c r="C230" i="43"/>
  <c r="A230" i="43"/>
  <c r="D144" i="43"/>
  <c r="E144" i="43" s="1"/>
  <c r="F144" i="43" s="1"/>
  <c r="G144" i="43" s="1"/>
  <c r="H144" i="43" s="1"/>
  <c r="I144" i="43" s="1"/>
  <c r="J144" i="43" s="1"/>
  <c r="K144" i="43" s="1"/>
  <c r="C144" i="43"/>
  <c r="A144" i="43"/>
  <c r="D80" i="43"/>
  <c r="E80" i="43" s="1"/>
  <c r="F80" i="43" s="1"/>
  <c r="G80" i="43" s="1"/>
  <c r="H80" i="43" s="1"/>
  <c r="I80" i="43" s="1"/>
  <c r="J80" i="43" s="1"/>
  <c r="K80" i="43" s="1"/>
  <c r="C80" i="43"/>
  <c r="A80" i="43"/>
  <c r="D407" i="43"/>
  <c r="E407" i="43" s="1"/>
  <c r="F407" i="43" s="1"/>
  <c r="G407" i="43" s="1"/>
  <c r="H407" i="43" s="1"/>
  <c r="I407" i="43" s="1"/>
  <c r="J407" i="43" s="1"/>
  <c r="K407" i="43" s="1"/>
  <c r="C407" i="43"/>
  <c r="A407" i="43"/>
  <c r="D304" i="43"/>
  <c r="E304" i="43" s="1"/>
  <c r="F304" i="43" s="1"/>
  <c r="G304" i="43" s="1"/>
  <c r="H304" i="43" s="1"/>
  <c r="I304" i="43" s="1"/>
  <c r="J304" i="43" s="1"/>
  <c r="K304" i="43" s="1"/>
  <c r="C304" i="43"/>
  <c r="A304" i="43"/>
  <c r="D201" i="43"/>
  <c r="E201" i="43" s="1"/>
  <c r="F201" i="43" s="1"/>
  <c r="G201" i="43" s="1"/>
  <c r="H201" i="43" s="1"/>
  <c r="I201" i="43" s="1"/>
  <c r="J201" i="43" s="1"/>
  <c r="K201" i="43" s="1"/>
  <c r="C201" i="43"/>
  <c r="A201" i="43"/>
  <c r="D127" i="43"/>
  <c r="E127" i="43" s="1"/>
  <c r="F127" i="43" s="1"/>
  <c r="G127" i="43" s="1"/>
  <c r="H127" i="43" s="1"/>
  <c r="I127" i="43" s="1"/>
  <c r="J127" i="43" s="1"/>
  <c r="K127" i="43" s="1"/>
  <c r="C127" i="43"/>
  <c r="A127" i="43"/>
  <c r="D63" i="43"/>
  <c r="E63" i="43" s="1"/>
  <c r="F63" i="43" s="1"/>
  <c r="G63" i="43" s="1"/>
  <c r="H63" i="43" s="1"/>
  <c r="I63" i="43" s="1"/>
  <c r="J63" i="43" s="1"/>
  <c r="K63" i="43" s="1"/>
  <c r="C63" i="43"/>
  <c r="A63" i="43"/>
  <c r="D100" i="43"/>
  <c r="E100" i="43" s="1"/>
  <c r="F100" i="43" s="1"/>
  <c r="G100" i="43" s="1"/>
  <c r="H100" i="43" s="1"/>
  <c r="I100" i="43" s="1"/>
  <c r="J100" i="43" s="1"/>
  <c r="K100" i="43" s="1"/>
  <c r="A449" i="43"/>
  <c r="O22" i="40"/>
  <c r="C405" i="43"/>
  <c r="A405" i="43"/>
  <c r="D302" i="43"/>
  <c r="E302" i="43" s="1"/>
  <c r="F302" i="43" s="1"/>
  <c r="G302" i="43" s="1"/>
  <c r="H302" i="43" s="1"/>
  <c r="I302" i="43" s="1"/>
  <c r="J302" i="43" s="1"/>
  <c r="K302" i="43" s="1"/>
  <c r="A302" i="43"/>
  <c r="D199" i="43"/>
  <c r="E199" i="43" s="1"/>
  <c r="F199" i="43" s="1"/>
  <c r="G199" i="43" s="1"/>
  <c r="H199" i="43" s="1"/>
  <c r="I199" i="43" s="1"/>
  <c r="J199" i="43" s="1"/>
  <c r="K199" i="43" s="1"/>
  <c r="C199" i="43"/>
  <c r="A199" i="43"/>
  <c r="D312" i="43"/>
  <c r="E312" i="43" s="1"/>
  <c r="F312" i="43" s="1"/>
  <c r="G312" i="43" s="1"/>
  <c r="H312" i="43" s="1"/>
  <c r="I312" i="43" s="1"/>
  <c r="J312" i="43" s="1"/>
  <c r="K312" i="43" s="1"/>
  <c r="C312" i="43"/>
  <c r="A312" i="43"/>
  <c r="C62" i="43"/>
  <c r="A62" i="43"/>
  <c r="C350" i="43"/>
  <c r="D350" i="43"/>
  <c r="E350" i="43" s="1"/>
  <c r="F350" i="43" s="1"/>
  <c r="G350" i="43" s="1"/>
  <c r="H350" i="43" s="1"/>
  <c r="I350" i="43" s="1"/>
  <c r="J350" i="43" s="1"/>
  <c r="K350" i="43" s="1"/>
  <c r="D91" i="43"/>
  <c r="E91" i="43" s="1"/>
  <c r="F91" i="43" s="1"/>
  <c r="G91" i="43" s="1"/>
  <c r="H91" i="43" s="1"/>
  <c r="I91" i="43" s="1"/>
  <c r="J91" i="43" s="1"/>
  <c r="K91" i="43" s="1"/>
  <c r="C91" i="43"/>
  <c r="A91" i="43"/>
  <c r="D296" i="43"/>
  <c r="E296" i="43" s="1"/>
  <c r="F296" i="43" s="1"/>
  <c r="G296" i="43" s="1"/>
  <c r="H296" i="43" s="1"/>
  <c r="I296" i="43" s="1"/>
  <c r="J296" i="43" s="1"/>
  <c r="K296" i="43" s="1"/>
  <c r="C296" i="43"/>
  <c r="A296" i="43"/>
  <c r="D422" i="43"/>
  <c r="E422" i="43" s="1"/>
  <c r="F422" i="43" s="1"/>
  <c r="G422" i="43" s="1"/>
  <c r="H422" i="43" s="1"/>
  <c r="I422" i="43" s="1"/>
  <c r="J422" i="43" s="1"/>
  <c r="K422" i="43" s="1"/>
  <c r="C422" i="43"/>
  <c r="A422" i="43"/>
  <c r="D319" i="43"/>
  <c r="E319" i="43" s="1"/>
  <c r="F319" i="43" s="1"/>
  <c r="G319" i="43" s="1"/>
  <c r="H319" i="43" s="1"/>
  <c r="I319" i="43" s="1"/>
  <c r="J319" i="43" s="1"/>
  <c r="K319" i="43" s="1"/>
  <c r="C319" i="43"/>
  <c r="A319" i="43"/>
  <c r="D216" i="43"/>
  <c r="E216" i="43" s="1"/>
  <c r="F216" i="43" s="1"/>
  <c r="G216" i="43" s="1"/>
  <c r="H216" i="43" s="1"/>
  <c r="I216" i="43" s="1"/>
  <c r="J216" i="43" s="1"/>
  <c r="K216" i="43" s="1"/>
  <c r="C216" i="43"/>
  <c r="A216" i="43"/>
  <c r="D136" i="43"/>
  <c r="E136" i="43" s="1"/>
  <c r="F136" i="43" s="1"/>
  <c r="G136" i="43" s="1"/>
  <c r="H136" i="43" s="1"/>
  <c r="I136" i="43" s="1"/>
  <c r="J136" i="43" s="1"/>
  <c r="K136" i="43" s="1"/>
  <c r="C136" i="43"/>
  <c r="A136" i="43"/>
  <c r="D72" i="43"/>
  <c r="E72" i="43" s="1"/>
  <c r="F72" i="43" s="1"/>
  <c r="G72" i="43" s="1"/>
  <c r="H72" i="43" s="1"/>
  <c r="I72" i="43" s="1"/>
  <c r="J72" i="43" s="1"/>
  <c r="K72" i="43" s="1"/>
  <c r="C72" i="43"/>
  <c r="A72" i="43"/>
  <c r="D393" i="43"/>
  <c r="E393" i="43" s="1"/>
  <c r="F393" i="43" s="1"/>
  <c r="G393" i="43" s="1"/>
  <c r="H393" i="43" s="1"/>
  <c r="I393" i="43" s="1"/>
  <c r="J393" i="43" s="1"/>
  <c r="K393" i="43" s="1"/>
  <c r="A393" i="43"/>
  <c r="C393" i="43"/>
  <c r="D293" i="43"/>
  <c r="E293" i="43" s="1"/>
  <c r="F293" i="43" s="1"/>
  <c r="G293" i="43" s="1"/>
  <c r="H293" i="43" s="1"/>
  <c r="I293" i="43" s="1"/>
  <c r="J293" i="43" s="1"/>
  <c r="K293" i="43" s="1"/>
  <c r="C293" i="43"/>
  <c r="A293" i="43"/>
  <c r="D190" i="43"/>
  <c r="E190" i="43" s="1"/>
  <c r="F190" i="43" s="1"/>
  <c r="G190" i="43" s="1"/>
  <c r="H190" i="43" s="1"/>
  <c r="I190" i="43" s="1"/>
  <c r="J190" i="43" s="1"/>
  <c r="K190" i="43" s="1"/>
  <c r="C190" i="43"/>
  <c r="A190" i="43"/>
  <c r="D119" i="43"/>
  <c r="E119" i="43" s="1"/>
  <c r="F119" i="43" s="1"/>
  <c r="G119" i="43" s="1"/>
  <c r="H119" i="43" s="1"/>
  <c r="I119" i="43" s="1"/>
  <c r="J119" i="43" s="1"/>
  <c r="K119" i="43" s="1"/>
  <c r="C119" i="43"/>
  <c r="A119" i="43"/>
  <c r="A14" i="43"/>
  <c r="D449" i="43"/>
  <c r="E449" i="43" s="1"/>
  <c r="F449" i="43" s="1"/>
  <c r="G449" i="43" s="1"/>
  <c r="H449" i="43" s="1"/>
  <c r="I449" i="43" s="1"/>
  <c r="J449" i="43" s="1"/>
  <c r="K449" i="43" s="1"/>
  <c r="D391" i="43"/>
  <c r="E391" i="43" s="1"/>
  <c r="F391" i="43" s="1"/>
  <c r="G391" i="43" s="1"/>
  <c r="H391" i="43" s="1"/>
  <c r="I391" i="43" s="1"/>
  <c r="J391" i="43" s="1"/>
  <c r="K391" i="43" s="1"/>
  <c r="C391" i="43"/>
  <c r="A391" i="43"/>
  <c r="D288" i="43"/>
  <c r="E288" i="43" s="1"/>
  <c r="F288" i="43" s="1"/>
  <c r="G288" i="43" s="1"/>
  <c r="H288" i="43" s="1"/>
  <c r="I288" i="43" s="1"/>
  <c r="J288" i="43" s="1"/>
  <c r="K288" i="43" s="1"/>
  <c r="A288" i="43"/>
  <c r="C288" i="43"/>
  <c r="D185" i="43"/>
  <c r="E185" i="43" s="1"/>
  <c r="F185" i="43" s="1"/>
  <c r="G185" i="43" s="1"/>
  <c r="H185" i="43" s="1"/>
  <c r="I185" i="43" s="1"/>
  <c r="J185" i="43" s="1"/>
  <c r="K185" i="43" s="1"/>
  <c r="C185" i="43"/>
  <c r="A117" i="43"/>
  <c r="D117" i="43"/>
  <c r="E117" i="43" s="1"/>
  <c r="F117" i="43" s="1"/>
  <c r="G117" i="43" s="1"/>
  <c r="H117" i="43" s="1"/>
  <c r="I117" i="43" s="1"/>
  <c r="J117" i="43" s="1"/>
  <c r="K117" i="43" s="1"/>
  <c r="D336" i="43"/>
  <c r="E336" i="43" s="1"/>
  <c r="F336" i="43" s="1"/>
  <c r="G336" i="43" s="1"/>
  <c r="H336" i="43" s="1"/>
  <c r="I336" i="43" s="1"/>
  <c r="J336" i="43" s="1"/>
  <c r="K336" i="43" s="1"/>
  <c r="A336" i="43"/>
  <c r="D83" i="43"/>
  <c r="E83" i="43" s="1"/>
  <c r="F83" i="43" s="1"/>
  <c r="G83" i="43" s="1"/>
  <c r="H83" i="43" s="1"/>
  <c r="I83" i="43" s="1"/>
  <c r="J83" i="43" s="1"/>
  <c r="K83" i="43" s="1"/>
  <c r="A83" i="43"/>
  <c r="C114" i="43"/>
  <c r="D114" i="43"/>
  <c r="E114" i="43" s="1"/>
  <c r="F114" i="43" s="1"/>
  <c r="G114" i="43" s="1"/>
  <c r="H114" i="43" s="1"/>
  <c r="I114" i="43" s="1"/>
  <c r="J114" i="43" s="1"/>
  <c r="K114" i="43" s="1"/>
  <c r="A114" i="43"/>
  <c r="D408" i="43"/>
  <c r="E408" i="43" s="1"/>
  <c r="F408" i="43" s="1"/>
  <c r="G408" i="43" s="1"/>
  <c r="H408" i="43" s="1"/>
  <c r="I408" i="43" s="1"/>
  <c r="J408" i="43" s="1"/>
  <c r="K408" i="43" s="1"/>
  <c r="C408" i="43"/>
  <c r="A408" i="43"/>
  <c r="D305" i="43"/>
  <c r="E305" i="43" s="1"/>
  <c r="F305" i="43" s="1"/>
  <c r="G305" i="43" s="1"/>
  <c r="H305" i="43" s="1"/>
  <c r="I305" i="43" s="1"/>
  <c r="J305" i="43" s="1"/>
  <c r="K305" i="43" s="1"/>
  <c r="C305" i="43"/>
  <c r="A305" i="43"/>
  <c r="C205" i="43"/>
  <c r="D205" i="43"/>
  <c r="E205" i="43" s="1"/>
  <c r="F205" i="43" s="1"/>
  <c r="G205" i="43" s="1"/>
  <c r="H205" i="43" s="1"/>
  <c r="I205" i="43" s="1"/>
  <c r="J205" i="43" s="1"/>
  <c r="K205" i="43" s="1"/>
  <c r="A205" i="43"/>
  <c r="D128" i="43"/>
  <c r="E128" i="43" s="1"/>
  <c r="F128" i="43" s="1"/>
  <c r="G128" i="43" s="1"/>
  <c r="H128" i="43" s="1"/>
  <c r="I128" i="43" s="1"/>
  <c r="J128" i="43" s="1"/>
  <c r="K128" i="43" s="1"/>
  <c r="C128" i="43"/>
  <c r="A128" i="43"/>
  <c r="D64" i="43"/>
  <c r="E64" i="43" s="1"/>
  <c r="F64" i="43" s="1"/>
  <c r="G64" i="43" s="1"/>
  <c r="H64" i="43" s="1"/>
  <c r="I64" i="43" s="1"/>
  <c r="J64" i="43" s="1"/>
  <c r="K64" i="43" s="1"/>
  <c r="C64" i="43"/>
  <c r="A64" i="43"/>
  <c r="D382" i="43"/>
  <c r="E382" i="43" s="1"/>
  <c r="F382" i="43" s="1"/>
  <c r="G382" i="43" s="1"/>
  <c r="H382" i="43" s="1"/>
  <c r="I382" i="43" s="1"/>
  <c r="J382" i="43" s="1"/>
  <c r="K382" i="43" s="1"/>
  <c r="C382" i="43"/>
  <c r="A382" i="43"/>
  <c r="C279" i="43"/>
  <c r="D279" i="43"/>
  <c r="E279" i="43" s="1"/>
  <c r="F279" i="43" s="1"/>
  <c r="G279" i="43" s="1"/>
  <c r="H279" i="43" s="1"/>
  <c r="I279" i="43" s="1"/>
  <c r="J279" i="43" s="1"/>
  <c r="K279" i="43" s="1"/>
  <c r="A279" i="43"/>
  <c r="D176" i="43"/>
  <c r="E176" i="43" s="1"/>
  <c r="F176" i="43" s="1"/>
  <c r="G176" i="43" s="1"/>
  <c r="H176" i="43" s="1"/>
  <c r="I176" i="43" s="1"/>
  <c r="J176" i="43" s="1"/>
  <c r="K176" i="43" s="1"/>
  <c r="C176" i="43"/>
  <c r="A176" i="43"/>
  <c r="D111" i="43"/>
  <c r="E111" i="43" s="1"/>
  <c r="F111" i="43" s="1"/>
  <c r="G111" i="43" s="1"/>
  <c r="H111" i="43" s="1"/>
  <c r="I111" i="43" s="1"/>
  <c r="J111" i="43" s="1"/>
  <c r="K111" i="43" s="1"/>
  <c r="C111" i="43"/>
  <c r="A111" i="43"/>
  <c r="P72" i="40"/>
  <c r="O72" i="40"/>
  <c r="C246" i="43"/>
  <c r="D377" i="43"/>
  <c r="E377" i="43" s="1"/>
  <c r="F377" i="43" s="1"/>
  <c r="G377" i="43" s="1"/>
  <c r="H377" i="43" s="1"/>
  <c r="I377" i="43" s="1"/>
  <c r="J377" i="43" s="1"/>
  <c r="K377" i="43" s="1"/>
  <c r="C377" i="43"/>
  <c r="D277" i="43"/>
  <c r="E277" i="43" s="1"/>
  <c r="F277" i="43" s="1"/>
  <c r="G277" i="43" s="1"/>
  <c r="H277" i="43" s="1"/>
  <c r="I277" i="43" s="1"/>
  <c r="J277" i="43" s="1"/>
  <c r="K277" i="43" s="1"/>
  <c r="A277" i="43"/>
  <c r="D174" i="43"/>
  <c r="E174" i="43" s="1"/>
  <c r="F174" i="43" s="1"/>
  <c r="G174" i="43" s="1"/>
  <c r="H174" i="43" s="1"/>
  <c r="I174" i="43" s="1"/>
  <c r="J174" i="43" s="1"/>
  <c r="K174" i="43" s="1"/>
  <c r="A174" i="43"/>
  <c r="C390" i="43"/>
  <c r="A390" i="43"/>
  <c r="D184" i="43"/>
  <c r="E184" i="43" s="1"/>
  <c r="F184" i="43" s="1"/>
  <c r="G184" i="43" s="1"/>
  <c r="H184" i="43" s="1"/>
  <c r="I184" i="43" s="1"/>
  <c r="J184" i="43" s="1"/>
  <c r="K184" i="43" s="1"/>
  <c r="C184" i="43"/>
  <c r="A184" i="43"/>
  <c r="C116" i="43"/>
  <c r="D116" i="43"/>
  <c r="E116" i="43" s="1"/>
  <c r="F116" i="43" s="1"/>
  <c r="G116" i="43" s="1"/>
  <c r="H116" i="43" s="1"/>
  <c r="I116" i="43" s="1"/>
  <c r="J116" i="43" s="1"/>
  <c r="K116" i="43" s="1"/>
  <c r="A116" i="43"/>
  <c r="D139" i="43"/>
  <c r="E139" i="43" s="1"/>
  <c r="F139" i="43" s="1"/>
  <c r="G139" i="43" s="1"/>
  <c r="H139" i="43" s="1"/>
  <c r="I139" i="43" s="1"/>
  <c r="J139" i="43" s="1"/>
  <c r="K139" i="43" s="1"/>
  <c r="C139" i="43"/>
  <c r="D75" i="43"/>
  <c r="E75" i="43" s="1"/>
  <c r="F75" i="43" s="1"/>
  <c r="G75" i="43" s="1"/>
  <c r="H75" i="43" s="1"/>
  <c r="I75" i="43" s="1"/>
  <c r="J75" i="43" s="1"/>
  <c r="K75" i="43" s="1"/>
  <c r="C75" i="43"/>
  <c r="C374" i="43"/>
  <c r="A374" i="43"/>
  <c r="D374" i="43"/>
  <c r="E374" i="43" s="1"/>
  <c r="F374" i="43" s="1"/>
  <c r="G374" i="43" s="1"/>
  <c r="H374" i="43" s="1"/>
  <c r="I374" i="43" s="1"/>
  <c r="J374" i="43" s="1"/>
  <c r="K374" i="43" s="1"/>
  <c r="C397" i="43"/>
  <c r="D397" i="43"/>
  <c r="E397" i="43" s="1"/>
  <c r="F397" i="43" s="1"/>
  <c r="G397" i="43" s="1"/>
  <c r="H397" i="43" s="1"/>
  <c r="I397" i="43" s="1"/>
  <c r="J397" i="43" s="1"/>
  <c r="K397" i="43" s="1"/>
  <c r="A397" i="43"/>
  <c r="D294" i="43"/>
  <c r="E294" i="43" s="1"/>
  <c r="F294" i="43" s="1"/>
  <c r="G294" i="43" s="1"/>
  <c r="H294" i="43" s="1"/>
  <c r="I294" i="43" s="1"/>
  <c r="J294" i="43" s="1"/>
  <c r="K294" i="43" s="1"/>
  <c r="C294" i="43"/>
  <c r="A294" i="43"/>
  <c r="D191" i="43"/>
  <c r="E191" i="43" s="1"/>
  <c r="F191" i="43" s="1"/>
  <c r="G191" i="43" s="1"/>
  <c r="H191" i="43" s="1"/>
  <c r="I191" i="43" s="1"/>
  <c r="J191" i="43" s="1"/>
  <c r="K191" i="43" s="1"/>
  <c r="C191" i="43"/>
  <c r="A191" i="43"/>
  <c r="D120" i="43"/>
  <c r="E120" i="43" s="1"/>
  <c r="F120" i="43" s="1"/>
  <c r="G120" i="43" s="1"/>
  <c r="H120" i="43" s="1"/>
  <c r="I120" i="43" s="1"/>
  <c r="J120" i="43" s="1"/>
  <c r="K120" i="43" s="1"/>
  <c r="C120" i="43"/>
  <c r="A120" i="43"/>
  <c r="D368" i="43"/>
  <c r="E368" i="43" s="1"/>
  <c r="F368" i="43" s="1"/>
  <c r="G368" i="43" s="1"/>
  <c r="H368" i="43" s="1"/>
  <c r="I368" i="43" s="1"/>
  <c r="J368" i="43" s="1"/>
  <c r="K368" i="43" s="1"/>
  <c r="C368" i="43"/>
  <c r="A368" i="43"/>
  <c r="D265" i="43"/>
  <c r="E265" i="43" s="1"/>
  <c r="F265" i="43" s="1"/>
  <c r="G265" i="43" s="1"/>
  <c r="H265" i="43" s="1"/>
  <c r="I265" i="43" s="1"/>
  <c r="J265" i="43" s="1"/>
  <c r="K265" i="43" s="1"/>
  <c r="C265" i="43"/>
  <c r="A265" i="43"/>
  <c r="D167" i="43"/>
  <c r="E167" i="43" s="1"/>
  <c r="F167" i="43" s="1"/>
  <c r="G167" i="43" s="1"/>
  <c r="H167" i="43" s="1"/>
  <c r="I167" i="43" s="1"/>
  <c r="J167" i="43" s="1"/>
  <c r="K167" i="43" s="1"/>
  <c r="C167" i="43"/>
  <c r="A167" i="43"/>
  <c r="D103" i="43"/>
  <c r="E103" i="43" s="1"/>
  <c r="F103" i="43" s="1"/>
  <c r="G103" i="43" s="1"/>
  <c r="H103" i="43" s="1"/>
  <c r="I103" i="43" s="1"/>
  <c r="J103" i="43" s="1"/>
  <c r="K103" i="43" s="1"/>
  <c r="C103" i="43"/>
  <c r="A103" i="43"/>
  <c r="C164" i="43"/>
  <c r="D246" i="43"/>
  <c r="E246" i="43" s="1"/>
  <c r="F246" i="43" s="1"/>
  <c r="G246" i="43" s="1"/>
  <c r="H246" i="43" s="1"/>
  <c r="I246" i="43" s="1"/>
  <c r="J246" i="43" s="1"/>
  <c r="K246" i="43" s="1"/>
  <c r="C366" i="43"/>
  <c r="D366" i="43"/>
  <c r="E366" i="43" s="1"/>
  <c r="F366" i="43" s="1"/>
  <c r="G366" i="43" s="1"/>
  <c r="H366" i="43" s="1"/>
  <c r="I366" i="43" s="1"/>
  <c r="J366" i="43" s="1"/>
  <c r="K366" i="43" s="1"/>
  <c r="A366" i="43"/>
  <c r="D263" i="43"/>
  <c r="E263" i="43" s="1"/>
  <c r="F263" i="43" s="1"/>
  <c r="G263" i="43" s="1"/>
  <c r="H263" i="43" s="1"/>
  <c r="I263" i="43" s="1"/>
  <c r="J263" i="43" s="1"/>
  <c r="K263" i="43" s="1"/>
  <c r="C263" i="43"/>
  <c r="A263" i="43"/>
  <c r="D165" i="43"/>
  <c r="E165" i="43" s="1"/>
  <c r="F165" i="43" s="1"/>
  <c r="G165" i="43" s="1"/>
  <c r="H165" i="43" s="1"/>
  <c r="I165" i="43" s="1"/>
  <c r="J165" i="43" s="1"/>
  <c r="K165" i="43" s="1"/>
  <c r="A165" i="43"/>
  <c r="D376" i="43"/>
  <c r="E376" i="43" s="1"/>
  <c r="F376" i="43" s="1"/>
  <c r="G376" i="43" s="1"/>
  <c r="H376" i="43" s="1"/>
  <c r="I376" i="43" s="1"/>
  <c r="J376" i="43" s="1"/>
  <c r="K376" i="43" s="1"/>
  <c r="C376" i="43"/>
  <c r="A376" i="43"/>
  <c r="C108" i="43"/>
  <c r="D108" i="43"/>
  <c r="E108" i="43" s="1"/>
  <c r="F108" i="43" s="1"/>
  <c r="G108" i="43" s="1"/>
  <c r="H108" i="43" s="1"/>
  <c r="I108" i="43" s="1"/>
  <c r="J108" i="43" s="1"/>
  <c r="K108" i="43" s="1"/>
  <c r="A108" i="43"/>
  <c r="C414" i="43"/>
  <c r="D414" i="43"/>
  <c r="E414" i="43" s="1"/>
  <c r="F414" i="43" s="1"/>
  <c r="G414" i="43" s="1"/>
  <c r="H414" i="43" s="1"/>
  <c r="I414" i="43" s="1"/>
  <c r="J414" i="43" s="1"/>
  <c r="K414" i="43" s="1"/>
  <c r="A414" i="43"/>
  <c r="C208" i="43"/>
  <c r="D208" i="43"/>
  <c r="E208" i="43" s="1"/>
  <c r="F208" i="43" s="1"/>
  <c r="G208" i="43" s="1"/>
  <c r="H208" i="43" s="1"/>
  <c r="I208" i="43" s="1"/>
  <c r="J208" i="43" s="1"/>
  <c r="K208" i="43" s="1"/>
  <c r="A208" i="43"/>
  <c r="D131" i="43"/>
  <c r="E131" i="43" s="1"/>
  <c r="F131" i="43" s="1"/>
  <c r="G131" i="43" s="1"/>
  <c r="H131" i="43" s="1"/>
  <c r="I131" i="43" s="1"/>
  <c r="J131" i="43" s="1"/>
  <c r="K131" i="43" s="1"/>
  <c r="A131" i="43"/>
  <c r="D67" i="43"/>
  <c r="E67" i="43" s="1"/>
  <c r="F67" i="43" s="1"/>
  <c r="G67" i="43" s="1"/>
  <c r="H67" i="43" s="1"/>
  <c r="I67" i="43" s="1"/>
  <c r="J67" i="43" s="1"/>
  <c r="K67" i="43" s="1"/>
  <c r="A67" i="43"/>
  <c r="D360" i="43"/>
  <c r="E360" i="43" s="1"/>
  <c r="F360" i="43" s="1"/>
  <c r="G360" i="43" s="1"/>
  <c r="H360" i="43" s="1"/>
  <c r="I360" i="43" s="1"/>
  <c r="J360" i="43" s="1"/>
  <c r="K360" i="43" s="1"/>
  <c r="C360" i="43"/>
  <c r="A360" i="43"/>
  <c r="C98" i="43"/>
  <c r="A98" i="43"/>
  <c r="D383" i="43"/>
  <c r="E383" i="43" s="1"/>
  <c r="F383" i="43" s="1"/>
  <c r="G383" i="43" s="1"/>
  <c r="H383" i="43" s="1"/>
  <c r="I383" i="43" s="1"/>
  <c r="J383" i="43" s="1"/>
  <c r="K383" i="43" s="1"/>
  <c r="C383" i="43"/>
  <c r="A383" i="43"/>
  <c r="D280" i="43"/>
  <c r="E280" i="43" s="1"/>
  <c r="F280" i="43" s="1"/>
  <c r="G280" i="43" s="1"/>
  <c r="H280" i="43" s="1"/>
  <c r="I280" i="43" s="1"/>
  <c r="J280" i="43" s="1"/>
  <c r="K280" i="43" s="1"/>
  <c r="C280" i="43"/>
  <c r="A280" i="43"/>
  <c r="D177" i="43"/>
  <c r="E177" i="43" s="1"/>
  <c r="F177" i="43" s="1"/>
  <c r="G177" i="43" s="1"/>
  <c r="H177" i="43" s="1"/>
  <c r="I177" i="43" s="1"/>
  <c r="J177" i="43" s="1"/>
  <c r="K177" i="43" s="1"/>
  <c r="A177" i="43"/>
  <c r="C177" i="43"/>
  <c r="D112" i="43"/>
  <c r="E112" i="43" s="1"/>
  <c r="F112" i="43" s="1"/>
  <c r="G112" i="43" s="1"/>
  <c r="H112" i="43" s="1"/>
  <c r="I112" i="43" s="1"/>
  <c r="J112" i="43" s="1"/>
  <c r="K112" i="43" s="1"/>
  <c r="C112" i="43"/>
  <c r="A112" i="43"/>
  <c r="D357" i="43"/>
  <c r="E357" i="43" s="1"/>
  <c r="F357" i="43" s="1"/>
  <c r="G357" i="43" s="1"/>
  <c r="H357" i="43" s="1"/>
  <c r="I357" i="43" s="1"/>
  <c r="J357" i="43" s="1"/>
  <c r="K357" i="43" s="1"/>
  <c r="C357" i="43"/>
  <c r="A357" i="43"/>
  <c r="C254" i="43"/>
  <c r="D254" i="43"/>
  <c r="E254" i="43" s="1"/>
  <c r="F254" i="43" s="1"/>
  <c r="G254" i="43" s="1"/>
  <c r="H254" i="43" s="1"/>
  <c r="I254" i="43" s="1"/>
  <c r="J254" i="43" s="1"/>
  <c r="K254" i="43" s="1"/>
  <c r="A254" i="43"/>
  <c r="D159" i="43"/>
  <c r="E159" i="43" s="1"/>
  <c r="F159" i="43" s="1"/>
  <c r="G159" i="43" s="1"/>
  <c r="H159" i="43" s="1"/>
  <c r="I159" i="43" s="1"/>
  <c r="J159" i="43" s="1"/>
  <c r="K159" i="43" s="1"/>
  <c r="C159" i="43"/>
  <c r="A159" i="43"/>
  <c r="C95" i="43"/>
  <c r="D95" i="43"/>
  <c r="E95" i="43" s="1"/>
  <c r="F95" i="43" s="1"/>
  <c r="G95" i="43" s="1"/>
  <c r="H95" i="43" s="1"/>
  <c r="I95" i="43" s="1"/>
  <c r="J95" i="43" s="1"/>
  <c r="K95" i="43" s="1"/>
  <c r="A95" i="43"/>
  <c r="C12" i="43"/>
  <c r="P38" i="40"/>
  <c r="O38" i="40"/>
  <c r="P45" i="40"/>
  <c r="O45" i="40"/>
  <c r="D388" i="43"/>
  <c r="E388" i="43" s="1"/>
  <c r="F388" i="43" s="1"/>
  <c r="G388" i="43" s="1"/>
  <c r="H388" i="43" s="1"/>
  <c r="I388" i="43" s="1"/>
  <c r="J388" i="43" s="1"/>
  <c r="K388" i="43" s="1"/>
  <c r="C388" i="43"/>
  <c r="A388" i="43"/>
  <c r="D324" i="43"/>
  <c r="E324" i="43" s="1"/>
  <c r="F324" i="43" s="1"/>
  <c r="G324" i="43" s="1"/>
  <c r="H324" i="43" s="1"/>
  <c r="I324" i="43" s="1"/>
  <c r="J324" i="43" s="1"/>
  <c r="K324" i="43" s="1"/>
  <c r="C324" i="43"/>
  <c r="A324" i="43"/>
  <c r="C260" i="43"/>
  <c r="D260" i="43"/>
  <c r="E260" i="43" s="1"/>
  <c r="F260" i="43" s="1"/>
  <c r="G260" i="43" s="1"/>
  <c r="H260" i="43" s="1"/>
  <c r="I260" i="43" s="1"/>
  <c r="J260" i="43" s="1"/>
  <c r="K260" i="43" s="1"/>
  <c r="A260" i="43"/>
  <c r="D196" i="43"/>
  <c r="E196" i="43" s="1"/>
  <c r="F196" i="43" s="1"/>
  <c r="G196" i="43" s="1"/>
  <c r="H196" i="43" s="1"/>
  <c r="I196" i="43" s="1"/>
  <c r="J196" i="43" s="1"/>
  <c r="K196" i="43" s="1"/>
  <c r="C196" i="43"/>
  <c r="A196" i="43"/>
  <c r="D435" i="43"/>
  <c r="E435" i="43" s="1"/>
  <c r="F435" i="43" s="1"/>
  <c r="G435" i="43" s="1"/>
  <c r="H435" i="43" s="1"/>
  <c r="I435" i="43" s="1"/>
  <c r="J435" i="43" s="1"/>
  <c r="K435" i="43" s="1"/>
  <c r="A435" i="43"/>
  <c r="C435" i="43"/>
  <c r="D371" i="43"/>
  <c r="E371" i="43" s="1"/>
  <c r="F371" i="43" s="1"/>
  <c r="G371" i="43" s="1"/>
  <c r="H371" i="43" s="1"/>
  <c r="I371" i="43" s="1"/>
  <c r="J371" i="43" s="1"/>
  <c r="K371" i="43" s="1"/>
  <c r="A371" i="43"/>
  <c r="C371" i="43"/>
  <c r="D307" i="43"/>
  <c r="E307" i="43" s="1"/>
  <c r="F307" i="43" s="1"/>
  <c r="G307" i="43" s="1"/>
  <c r="H307" i="43" s="1"/>
  <c r="I307" i="43" s="1"/>
  <c r="J307" i="43" s="1"/>
  <c r="K307" i="43" s="1"/>
  <c r="A307" i="43"/>
  <c r="C307" i="43"/>
  <c r="D243" i="43"/>
  <c r="E243" i="43" s="1"/>
  <c r="F243" i="43" s="1"/>
  <c r="G243" i="43" s="1"/>
  <c r="H243" i="43" s="1"/>
  <c r="I243" i="43" s="1"/>
  <c r="J243" i="43" s="1"/>
  <c r="K243" i="43" s="1"/>
  <c r="A243" i="43"/>
  <c r="C243" i="43"/>
  <c r="D179" i="43"/>
  <c r="E179" i="43" s="1"/>
  <c r="F179" i="43" s="1"/>
  <c r="G179" i="43" s="1"/>
  <c r="H179" i="43" s="1"/>
  <c r="I179" i="43" s="1"/>
  <c r="J179" i="43" s="1"/>
  <c r="K179" i="43" s="1"/>
  <c r="A179" i="43"/>
  <c r="C179" i="43"/>
  <c r="D442" i="43"/>
  <c r="E442" i="43" s="1"/>
  <c r="F442" i="43" s="1"/>
  <c r="G442" i="43" s="1"/>
  <c r="H442" i="43" s="1"/>
  <c r="I442" i="43" s="1"/>
  <c r="J442" i="43" s="1"/>
  <c r="K442" i="43" s="1"/>
  <c r="A442" i="43"/>
  <c r="C442" i="43"/>
  <c r="D378" i="43"/>
  <c r="E378" i="43" s="1"/>
  <c r="F378" i="43" s="1"/>
  <c r="G378" i="43" s="1"/>
  <c r="H378" i="43" s="1"/>
  <c r="I378" i="43" s="1"/>
  <c r="J378" i="43" s="1"/>
  <c r="K378" i="43" s="1"/>
  <c r="A378" i="43"/>
  <c r="C378" i="43"/>
  <c r="A314" i="43"/>
  <c r="D314" i="43"/>
  <c r="E314" i="43" s="1"/>
  <c r="F314" i="43" s="1"/>
  <c r="G314" i="43" s="1"/>
  <c r="H314" i="43" s="1"/>
  <c r="I314" i="43" s="1"/>
  <c r="J314" i="43" s="1"/>
  <c r="K314" i="43" s="1"/>
  <c r="C314" i="43"/>
  <c r="D250" i="43"/>
  <c r="E250" i="43" s="1"/>
  <c r="F250" i="43" s="1"/>
  <c r="G250" i="43" s="1"/>
  <c r="H250" i="43" s="1"/>
  <c r="I250" i="43" s="1"/>
  <c r="J250" i="43" s="1"/>
  <c r="K250" i="43" s="1"/>
  <c r="A250" i="43"/>
  <c r="C250" i="43"/>
  <c r="A186" i="43"/>
  <c r="D186" i="43"/>
  <c r="E186" i="43" s="1"/>
  <c r="F186" i="43" s="1"/>
  <c r="G186" i="43" s="1"/>
  <c r="H186" i="43" s="1"/>
  <c r="I186" i="43" s="1"/>
  <c r="J186" i="43" s="1"/>
  <c r="K186" i="43" s="1"/>
  <c r="C186" i="43"/>
  <c r="P92" i="40"/>
  <c r="O92" i="40"/>
  <c r="P113" i="40"/>
  <c r="O113" i="40"/>
  <c r="P131" i="40"/>
  <c r="O131" i="40"/>
  <c r="P15" i="40"/>
  <c r="O15" i="40"/>
  <c r="P107" i="40"/>
  <c r="O107" i="40"/>
  <c r="P87" i="40"/>
  <c r="O87" i="40"/>
  <c r="P115" i="40"/>
  <c r="O115" i="40"/>
  <c r="P32" i="40"/>
  <c r="O32" i="40"/>
  <c r="AG183" i="40"/>
  <c r="AI183" i="40"/>
  <c r="AD183" i="40"/>
  <c r="Y183" i="40"/>
  <c r="Z183" i="40"/>
  <c r="AA183" i="40"/>
  <c r="S183" i="40"/>
  <c r="U183" i="40"/>
  <c r="V183" i="40"/>
  <c r="AB183" i="40"/>
  <c r="W183" i="40"/>
  <c r="P183" i="40"/>
  <c r="X183" i="40"/>
  <c r="T183" i="40"/>
  <c r="R183" i="40"/>
  <c r="AF183" i="40"/>
  <c r="AH183" i="40"/>
  <c r="P39" i="40"/>
  <c r="O39" i="40"/>
  <c r="P51" i="40"/>
  <c r="O51" i="40"/>
  <c r="B236" i="2"/>
  <c r="P44" i="40"/>
  <c r="O44" i="40"/>
  <c r="C444" i="43"/>
  <c r="A444" i="43"/>
  <c r="D444" i="43"/>
  <c r="E444" i="43" s="1"/>
  <c r="F444" i="43" s="1"/>
  <c r="G444" i="43" s="1"/>
  <c r="H444" i="43" s="1"/>
  <c r="I444" i="43" s="1"/>
  <c r="J444" i="43" s="1"/>
  <c r="K444" i="43" s="1"/>
  <c r="C380" i="43"/>
  <c r="A380" i="43"/>
  <c r="D380" i="43"/>
  <c r="E380" i="43" s="1"/>
  <c r="F380" i="43" s="1"/>
  <c r="G380" i="43" s="1"/>
  <c r="H380" i="43" s="1"/>
  <c r="I380" i="43" s="1"/>
  <c r="J380" i="43" s="1"/>
  <c r="K380" i="43" s="1"/>
  <c r="C316" i="43"/>
  <c r="D316" i="43"/>
  <c r="E316" i="43" s="1"/>
  <c r="F316" i="43" s="1"/>
  <c r="G316" i="43" s="1"/>
  <c r="H316" i="43" s="1"/>
  <c r="I316" i="43" s="1"/>
  <c r="J316" i="43" s="1"/>
  <c r="K316" i="43" s="1"/>
  <c r="A316" i="43"/>
  <c r="D252" i="43"/>
  <c r="E252" i="43" s="1"/>
  <c r="F252" i="43" s="1"/>
  <c r="G252" i="43" s="1"/>
  <c r="H252" i="43" s="1"/>
  <c r="I252" i="43" s="1"/>
  <c r="J252" i="43" s="1"/>
  <c r="K252" i="43" s="1"/>
  <c r="C252" i="43"/>
  <c r="A252" i="43"/>
  <c r="C188" i="43"/>
  <c r="A188" i="43"/>
  <c r="D188" i="43"/>
  <c r="E188" i="43" s="1"/>
  <c r="F188" i="43" s="1"/>
  <c r="G188" i="43" s="1"/>
  <c r="H188" i="43" s="1"/>
  <c r="I188" i="43" s="1"/>
  <c r="J188" i="43" s="1"/>
  <c r="K188" i="43" s="1"/>
  <c r="A427" i="43"/>
  <c r="D427" i="43"/>
  <c r="E427" i="43" s="1"/>
  <c r="F427" i="43" s="1"/>
  <c r="G427" i="43" s="1"/>
  <c r="H427" i="43" s="1"/>
  <c r="I427" i="43" s="1"/>
  <c r="J427" i="43" s="1"/>
  <c r="K427" i="43" s="1"/>
  <c r="C427" i="43"/>
  <c r="A363" i="43"/>
  <c r="D363" i="43"/>
  <c r="E363" i="43" s="1"/>
  <c r="F363" i="43" s="1"/>
  <c r="G363" i="43" s="1"/>
  <c r="H363" i="43" s="1"/>
  <c r="I363" i="43" s="1"/>
  <c r="J363" i="43" s="1"/>
  <c r="K363" i="43" s="1"/>
  <c r="C363" i="43"/>
  <c r="D299" i="43"/>
  <c r="E299" i="43" s="1"/>
  <c r="F299" i="43" s="1"/>
  <c r="G299" i="43" s="1"/>
  <c r="H299" i="43" s="1"/>
  <c r="I299" i="43" s="1"/>
  <c r="J299" i="43" s="1"/>
  <c r="K299" i="43" s="1"/>
  <c r="A299" i="43"/>
  <c r="C299" i="43"/>
  <c r="D235" i="43"/>
  <c r="E235" i="43" s="1"/>
  <c r="F235" i="43" s="1"/>
  <c r="G235" i="43" s="1"/>
  <c r="H235" i="43" s="1"/>
  <c r="I235" i="43" s="1"/>
  <c r="J235" i="43" s="1"/>
  <c r="K235" i="43" s="1"/>
  <c r="A235" i="43"/>
  <c r="C235" i="43"/>
  <c r="D434" i="43"/>
  <c r="E434" i="43" s="1"/>
  <c r="F434" i="43" s="1"/>
  <c r="G434" i="43" s="1"/>
  <c r="H434" i="43" s="1"/>
  <c r="I434" i="43" s="1"/>
  <c r="J434" i="43" s="1"/>
  <c r="K434" i="43" s="1"/>
  <c r="A434" i="43"/>
  <c r="C434" i="43"/>
  <c r="D370" i="43"/>
  <c r="E370" i="43" s="1"/>
  <c r="F370" i="43" s="1"/>
  <c r="G370" i="43" s="1"/>
  <c r="H370" i="43" s="1"/>
  <c r="I370" i="43" s="1"/>
  <c r="J370" i="43" s="1"/>
  <c r="K370" i="43" s="1"/>
  <c r="A370" i="43"/>
  <c r="C370" i="43"/>
  <c r="D306" i="43"/>
  <c r="E306" i="43" s="1"/>
  <c r="F306" i="43" s="1"/>
  <c r="G306" i="43" s="1"/>
  <c r="H306" i="43" s="1"/>
  <c r="I306" i="43" s="1"/>
  <c r="J306" i="43" s="1"/>
  <c r="K306" i="43" s="1"/>
  <c r="A306" i="43"/>
  <c r="C306" i="43"/>
  <c r="A242" i="43"/>
  <c r="C242" i="43"/>
  <c r="D242" i="43"/>
  <c r="E242" i="43" s="1"/>
  <c r="F242" i="43" s="1"/>
  <c r="G242" i="43" s="1"/>
  <c r="H242" i="43" s="1"/>
  <c r="I242" i="43" s="1"/>
  <c r="J242" i="43" s="1"/>
  <c r="K242" i="43" s="1"/>
  <c r="D178" i="43"/>
  <c r="E178" i="43" s="1"/>
  <c r="F178" i="43" s="1"/>
  <c r="G178" i="43" s="1"/>
  <c r="H178" i="43" s="1"/>
  <c r="I178" i="43" s="1"/>
  <c r="J178" i="43" s="1"/>
  <c r="K178" i="43" s="1"/>
  <c r="A178" i="43"/>
  <c r="C178" i="43"/>
  <c r="AB221" i="40"/>
  <c r="W221" i="40"/>
  <c r="Y221" i="40"/>
  <c r="Z221" i="40"/>
  <c r="AA221" i="40"/>
  <c r="R221" i="40"/>
  <c r="AG221" i="40"/>
  <c r="T221" i="40"/>
  <c r="U221" i="40"/>
  <c r="V221" i="40"/>
  <c r="X221" i="40"/>
  <c r="S221" i="40"/>
  <c r="P221" i="40"/>
  <c r="AC221" i="40"/>
  <c r="AD221" i="40"/>
  <c r="AE221" i="40"/>
  <c r="P133" i="40"/>
  <c r="O133" i="40"/>
  <c r="P25" i="40"/>
  <c r="O25" i="40"/>
  <c r="B230" i="2"/>
  <c r="C878" i="2"/>
  <c r="P23" i="40"/>
  <c r="O23" i="40"/>
  <c r="P63" i="40"/>
  <c r="O63" i="40"/>
  <c r="P12" i="40"/>
  <c r="O12" i="40"/>
  <c r="P134" i="40"/>
  <c r="O134" i="40"/>
  <c r="P21" i="40"/>
  <c r="O21" i="40"/>
  <c r="P141" i="40"/>
  <c r="O141" i="40"/>
  <c r="P84" i="40"/>
  <c r="AG245" i="40" s="1"/>
  <c r="O84" i="40"/>
  <c r="P75" i="40"/>
  <c r="O75" i="40"/>
  <c r="E790" i="2"/>
  <c r="G966" i="2" s="1"/>
  <c r="I966" i="2" s="1"/>
  <c r="E792" i="2"/>
  <c r="G967" i="2" s="1"/>
  <c r="I967" i="2" s="1"/>
  <c r="D436" i="43"/>
  <c r="E436" i="43" s="1"/>
  <c r="F436" i="43" s="1"/>
  <c r="G436" i="43" s="1"/>
  <c r="H436" i="43" s="1"/>
  <c r="I436" i="43" s="1"/>
  <c r="J436" i="43" s="1"/>
  <c r="K436" i="43" s="1"/>
  <c r="C436" i="43"/>
  <c r="A436" i="43"/>
  <c r="D372" i="43"/>
  <c r="E372" i="43" s="1"/>
  <c r="F372" i="43" s="1"/>
  <c r="G372" i="43" s="1"/>
  <c r="H372" i="43" s="1"/>
  <c r="I372" i="43" s="1"/>
  <c r="J372" i="43" s="1"/>
  <c r="K372" i="43" s="1"/>
  <c r="C372" i="43"/>
  <c r="A372" i="43"/>
  <c r="D308" i="43"/>
  <c r="E308" i="43" s="1"/>
  <c r="F308" i="43" s="1"/>
  <c r="G308" i="43" s="1"/>
  <c r="H308" i="43" s="1"/>
  <c r="I308" i="43" s="1"/>
  <c r="J308" i="43" s="1"/>
  <c r="K308" i="43" s="1"/>
  <c r="C308" i="43"/>
  <c r="A308" i="43"/>
  <c r="C244" i="43"/>
  <c r="A244" i="43"/>
  <c r="D244" i="43"/>
  <c r="E244" i="43" s="1"/>
  <c r="F244" i="43" s="1"/>
  <c r="G244" i="43" s="1"/>
  <c r="H244" i="43" s="1"/>
  <c r="I244" i="43" s="1"/>
  <c r="J244" i="43" s="1"/>
  <c r="K244" i="43" s="1"/>
  <c r="D180" i="43"/>
  <c r="E180" i="43" s="1"/>
  <c r="F180" i="43" s="1"/>
  <c r="G180" i="43" s="1"/>
  <c r="H180" i="43" s="1"/>
  <c r="I180" i="43" s="1"/>
  <c r="J180" i="43" s="1"/>
  <c r="K180" i="43" s="1"/>
  <c r="C180" i="43"/>
  <c r="A180" i="43"/>
  <c r="D419" i="43"/>
  <c r="E419" i="43" s="1"/>
  <c r="F419" i="43" s="1"/>
  <c r="G419" i="43" s="1"/>
  <c r="H419" i="43" s="1"/>
  <c r="I419" i="43" s="1"/>
  <c r="J419" i="43" s="1"/>
  <c r="K419" i="43" s="1"/>
  <c r="A419" i="43"/>
  <c r="C419" i="43"/>
  <c r="D355" i="43"/>
  <c r="E355" i="43" s="1"/>
  <c r="F355" i="43" s="1"/>
  <c r="G355" i="43" s="1"/>
  <c r="H355" i="43" s="1"/>
  <c r="I355" i="43" s="1"/>
  <c r="J355" i="43" s="1"/>
  <c r="K355" i="43" s="1"/>
  <c r="A355" i="43"/>
  <c r="C355" i="43"/>
  <c r="D291" i="43"/>
  <c r="E291" i="43" s="1"/>
  <c r="F291" i="43" s="1"/>
  <c r="G291" i="43" s="1"/>
  <c r="H291" i="43" s="1"/>
  <c r="I291" i="43" s="1"/>
  <c r="J291" i="43" s="1"/>
  <c r="K291" i="43" s="1"/>
  <c r="A291" i="43"/>
  <c r="C291" i="43"/>
  <c r="D227" i="43"/>
  <c r="E227" i="43" s="1"/>
  <c r="F227" i="43" s="1"/>
  <c r="G227" i="43" s="1"/>
  <c r="H227" i="43" s="1"/>
  <c r="I227" i="43" s="1"/>
  <c r="J227" i="43" s="1"/>
  <c r="K227" i="43" s="1"/>
  <c r="A227" i="43"/>
  <c r="C227" i="43"/>
  <c r="D426" i="43"/>
  <c r="E426" i="43" s="1"/>
  <c r="F426" i="43" s="1"/>
  <c r="G426" i="43" s="1"/>
  <c r="H426" i="43" s="1"/>
  <c r="I426" i="43" s="1"/>
  <c r="J426" i="43" s="1"/>
  <c r="K426" i="43" s="1"/>
  <c r="A426" i="43"/>
  <c r="C426" i="43"/>
  <c r="D362" i="43"/>
  <c r="E362" i="43" s="1"/>
  <c r="F362" i="43" s="1"/>
  <c r="G362" i="43" s="1"/>
  <c r="H362" i="43" s="1"/>
  <c r="I362" i="43" s="1"/>
  <c r="J362" i="43" s="1"/>
  <c r="K362" i="43" s="1"/>
  <c r="A362" i="43"/>
  <c r="C362" i="43"/>
  <c r="A298" i="43"/>
  <c r="C298" i="43"/>
  <c r="D298" i="43"/>
  <c r="E298" i="43" s="1"/>
  <c r="F298" i="43" s="1"/>
  <c r="G298" i="43" s="1"/>
  <c r="H298" i="43" s="1"/>
  <c r="I298" i="43" s="1"/>
  <c r="J298" i="43" s="1"/>
  <c r="K298" i="43" s="1"/>
  <c r="A234" i="43"/>
  <c r="D234" i="43"/>
  <c r="E234" i="43" s="1"/>
  <c r="F234" i="43" s="1"/>
  <c r="G234" i="43" s="1"/>
  <c r="H234" i="43" s="1"/>
  <c r="I234" i="43" s="1"/>
  <c r="J234" i="43" s="1"/>
  <c r="K234" i="43" s="1"/>
  <c r="C234" i="43"/>
  <c r="P65" i="40"/>
  <c r="O65" i="40"/>
  <c r="P76" i="40"/>
  <c r="O76" i="40"/>
  <c r="P100" i="40"/>
  <c r="O100" i="40"/>
  <c r="AE217" i="40"/>
  <c r="AD217" i="40"/>
  <c r="S217" i="40"/>
  <c r="AA217" i="40"/>
  <c r="AB217" i="40"/>
  <c r="X217" i="40"/>
  <c r="Y217" i="40"/>
  <c r="Z217" i="40"/>
  <c r="AG217" i="40"/>
  <c r="AJ217" i="40"/>
  <c r="T217" i="40"/>
  <c r="U217" i="40"/>
  <c r="V217" i="40"/>
  <c r="W217" i="40"/>
  <c r="R217" i="40"/>
  <c r="P217" i="40"/>
  <c r="AH217" i="40"/>
  <c r="AI217" i="40"/>
  <c r="P90" i="40"/>
  <c r="O90" i="40"/>
  <c r="P111" i="40"/>
  <c r="O111" i="40"/>
  <c r="B270" i="2"/>
  <c r="P40" i="40"/>
  <c r="O40" i="40"/>
  <c r="P8" i="40"/>
  <c r="O8" i="40"/>
  <c r="P47" i="40"/>
  <c r="O47" i="40"/>
  <c r="P52" i="40"/>
  <c r="O52" i="40"/>
  <c r="AE279" i="40"/>
  <c r="Z279" i="40"/>
  <c r="W279" i="40"/>
  <c r="P279" i="40"/>
  <c r="T279" i="40"/>
  <c r="U279" i="40"/>
  <c r="P37" i="40"/>
  <c r="O37" i="40"/>
  <c r="P145" i="40"/>
  <c r="O145" i="40"/>
  <c r="P130" i="40"/>
  <c r="O130" i="40"/>
  <c r="P129" i="40"/>
  <c r="O129" i="40"/>
  <c r="P57" i="40"/>
  <c r="O57" i="40"/>
  <c r="P62" i="40"/>
  <c r="O62" i="40"/>
  <c r="P125" i="40"/>
  <c r="O125" i="40"/>
  <c r="P24" i="40"/>
  <c r="O24" i="40"/>
  <c r="V279" i="40"/>
  <c r="C364" i="43"/>
  <c r="D364" i="43"/>
  <c r="E364" i="43" s="1"/>
  <c r="F364" i="43" s="1"/>
  <c r="G364" i="43" s="1"/>
  <c r="H364" i="43" s="1"/>
  <c r="I364" i="43" s="1"/>
  <c r="J364" i="43" s="1"/>
  <c r="K364" i="43" s="1"/>
  <c r="A364" i="43"/>
  <c r="C236" i="43"/>
  <c r="D236" i="43"/>
  <c r="E236" i="43" s="1"/>
  <c r="F236" i="43" s="1"/>
  <c r="G236" i="43" s="1"/>
  <c r="H236" i="43" s="1"/>
  <c r="I236" i="43" s="1"/>
  <c r="J236" i="43" s="1"/>
  <c r="K236" i="43" s="1"/>
  <c r="A236" i="43"/>
  <c r="A411" i="43"/>
  <c r="D411" i="43"/>
  <c r="E411" i="43" s="1"/>
  <c r="F411" i="43" s="1"/>
  <c r="G411" i="43" s="1"/>
  <c r="H411" i="43" s="1"/>
  <c r="I411" i="43" s="1"/>
  <c r="J411" i="43" s="1"/>
  <c r="K411" i="43" s="1"/>
  <c r="C411" i="43"/>
  <c r="D219" i="43"/>
  <c r="E219" i="43" s="1"/>
  <c r="F219" i="43" s="1"/>
  <c r="G219" i="43" s="1"/>
  <c r="H219" i="43" s="1"/>
  <c r="I219" i="43" s="1"/>
  <c r="J219" i="43" s="1"/>
  <c r="K219" i="43" s="1"/>
  <c r="A219" i="43"/>
  <c r="C219" i="43"/>
  <c r="D354" i="43"/>
  <c r="E354" i="43" s="1"/>
  <c r="F354" i="43" s="1"/>
  <c r="G354" i="43" s="1"/>
  <c r="H354" i="43" s="1"/>
  <c r="I354" i="43" s="1"/>
  <c r="J354" i="43" s="1"/>
  <c r="K354" i="43" s="1"/>
  <c r="A354" i="43"/>
  <c r="C354" i="43"/>
  <c r="AB279" i="40"/>
  <c r="B275" i="2"/>
  <c r="D280" i="2"/>
  <c r="C428" i="43"/>
  <c r="D428" i="43"/>
  <c r="E428" i="43" s="1"/>
  <c r="F428" i="43" s="1"/>
  <c r="G428" i="43" s="1"/>
  <c r="H428" i="43" s="1"/>
  <c r="I428" i="43" s="1"/>
  <c r="J428" i="43" s="1"/>
  <c r="K428" i="43" s="1"/>
  <c r="A428" i="43"/>
  <c r="C300" i="43"/>
  <c r="A300" i="43"/>
  <c r="D300" i="43"/>
  <c r="E300" i="43" s="1"/>
  <c r="F300" i="43" s="1"/>
  <c r="G300" i="43" s="1"/>
  <c r="H300" i="43" s="1"/>
  <c r="I300" i="43" s="1"/>
  <c r="J300" i="43" s="1"/>
  <c r="K300" i="43" s="1"/>
  <c r="C172" i="43"/>
  <c r="A172" i="43"/>
  <c r="D172" i="43"/>
  <c r="E172" i="43" s="1"/>
  <c r="F172" i="43" s="1"/>
  <c r="G172" i="43" s="1"/>
  <c r="H172" i="43" s="1"/>
  <c r="I172" i="43" s="1"/>
  <c r="J172" i="43" s="1"/>
  <c r="K172" i="43" s="1"/>
  <c r="A347" i="43"/>
  <c r="D347" i="43"/>
  <c r="E347" i="43" s="1"/>
  <c r="F347" i="43" s="1"/>
  <c r="G347" i="43" s="1"/>
  <c r="H347" i="43" s="1"/>
  <c r="I347" i="43" s="1"/>
  <c r="J347" i="43" s="1"/>
  <c r="K347" i="43" s="1"/>
  <c r="C347" i="43"/>
  <c r="D283" i="43"/>
  <c r="E283" i="43" s="1"/>
  <c r="F283" i="43" s="1"/>
  <c r="G283" i="43" s="1"/>
  <c r="H283" i="43" s="1"/>
  <c r="I283" i="43" s="1"/>
  <c r="J283" i="43" s="1"/>
  <c r="K283" i="43" s="1"/>
  <c r="A283" i="43"/>
  <c r="C283" i="43"/>
  <c r="D418" i="43"/>
  <c r="E418" i="43" s="1"/>
  <c r="F418" i="43" s="1"/>
  <c r="G418" i="43" s="1"/>
  <c r="H418" i="43" s="1"/>
  <c r="I418" i="43" s="1"/>
  <c r="J418" i="43" s="1"/>
  <c r="K418" i="43" s="1"/>
  <c r="A418" i="43"/>
  <c r="C418" i="43"/>
  <c r="A290" i="43"/>
  <c r="C290" i="43"/>
  <c r="D290" i="43"/>
  <c r="E290" i="43" s="1"/>
  <c r="F290" i="43" s="1"/>
  <c r="G290" i="43" s="1"/>
  <c r="H290" i="43" s="1"/>
  <c r="I290" i="43" s="1"/>
  <c r="J290" i="43" s="1"/>
  <c r="K290" i="43" s="1"/>
  <c r="A226" i="43"/>
  <c r="C226" i="43"/>
  <c r="D226" i="43"/>
  <c r="E226" i="43" s="1"/>
  <c r="F226" i="43" s="1"/>
  <c r="G226" i="43" s="1"/>
  <c r="H226" i="43" s="1"/>
  <c r="I226" i="43" s="1"/>
  <c r="J226" i="43" s="1"/>
  <c r="K226" i="43" s="1"/>
  <c r="P89" i="40"/>
  <c r="O89" i="40"/>
  <c r="P98" i="40"/>
  <c r="O98" i="40"/>
  <c r="P102" i="40"/>
  <c r="O102" i="40"/>
  <c r="P135" i="40"/>
  <c r="O135" i="40"/>
  <c r="P11" i="40"/>
  <c r="O11" i="40"/>
  <c r="P110" i="40"/>
  <c r="O110" i="40"/>
  <c r="P144" i="40"/>
  <c r="O144" i="40"/>
  <c r="P127" i="40"/>
  <c r="O127" i="40"/>
  <c r="P27" i="40"/>
  <c r="O27" i="40"/>
  <c r="AH170" i="40"/>
  <c r="Y170" i="40"/>
  <c r="AA170" i="40"/>
  <c r="AJ170" i="40"/>
  <c r="AB170" i="40"/>
  <c r="V170" i="40"/>
  <c r="AE170" i="40"/>
  <c r="S170" i="40"/>
  <c r="AG170" i="40"/>
  <c r="T170" i="40"/>
  <c r="U170" i="40"/>
  <c r="P170" i="40"/>
  <c r="W170" i="40"/>
  <c r="X170" i="40"/>
  <c r="R170" i="40"/>
  <c r="Z170" i="40"/>
  <c r="P97" i="40"/>
  <c r="O97" i="40"/>
  <c r="P94" i="40"/>
  <c r="O94" i="40"/>
  <c r="AJ238" i="40"/>
  <c r="W238" i="40"/>
  <c r="AH238" i="40"/>
  <c r="AE238" i="40"/>
  <c r="AA238" i="40"/>
  <c r="AG238" i="40"/>
  <c r="S238" i="40"/>
  <c r="T238" i="40"/>
  <c r="V238" i="40"/>
  <c r="X238" i="40"/>
  <c r="R238" i="40"/>
  <c r="Y238" i="40"/>
  <c r="Z238" i="40"/>
  <c r="U238" i="40"/>
  <c r="P238" i="40"/>
  <c r="AB238" i="40"/>
  <c r="AC170" i="40"/>
  <c r="AF238" i="40"/>
  <c r="AC279" i="40"/>
  <c r="AF279" i="40"/>
  <c r="O119" i="40"/>
  <c r="W249" i="40"/>
  <c r="AF249" i="40"/>
  <c r="D420" i="43"/>
  <c r="E420" i="43" s="1"/>
  <c r="F420" i="43" s="1"/>
  <c r="G420" i="43" s="1"/>
  <c r="H420" i="43" s="1"/>
  <c r="I420" i="43" s="1"/>
  <c r="J420" i="43" s="1"/>
  <c r="K420" i="43" s="1"/>
  <c r="C420" i="43"/>
  <c r="A420" i="43"/>
  <c r="D356" i="43"/>
  <c r="E356" i="43" s="1"/>
  <c r="F356" i="43" s="1"/>
  <c r="G356" i="43" s="1"/>
  <c r="H356" i="43" s="1"/>
  <c r="I356" i="43" s="1"/>
  <c r="J356" i="43" s="1"/>
  <c r="K356" i="43" s="1"/>
  <c r="C356" i="43"/>
  <c r="A356" i="43"/>
  <c r="D292" i="43"/>
  <c r="E292" i="43" s="1"/>
  <c r="F292" i="43" s="1"/>
  <c r="G292" i="43" s="1"/>
  <c r="H292" i="43" s="1"/>
  <c r="I292" i="43" s="1"/>
  <c r="J292" i="43" s="1"/>
  <c r="K292" i="43" s="1"/>
  <c r="C292" i="43"/>
  <c r="A292" i="43"/>
  <c r="D228" i="43"/>
  <c r="E228" i="43" s="1"/>
  <c r="F228" i="43" s="1"/>
  <c r="G228" i="43" s="1"/>
  <c r="H228" i="43" s="1"/>
  <c r="I228" i="43" s="1"/>
  <c r="J228" i="43" s="1"/>
  <c r="K228" i="43" s="1"/>
  <c r="C228" i="43"/>
  <c r="A228" i="43"/>
  <c r="D403" i="43"/>
  <c r="E403" i="43" s="1"/>
  <c r="F403" i="43" s="1"/>
  <c r="G403" i="43" s="1"/>
  <c r="H403" i="43" s="1"/>
  <c r="I403" i="43" s="1"/>
  <c r="J403" i="43" s="1"/>
  <c r="K403" i="43" s="1"/>
  <c r="A403" i="43"/>
  <c r="C403" i="43"/>
  <c r="D339" i="43"/>
  <c r="E339" i="43" s="1"/>
  <c r="F339" i="43" s="1"/>
  <c r="G339" i="43" s="1"/>
  <c r="H339" i="43" s="1"/>
  <c r="I339" i="43" s="1"/>
  <c r="J339" i="43" s="1"/>
  <c r="K339" i="43" s="1"/>
  <c r="A339" i="43"/>
  <c r="C339" i="43"/>
  <c r="D275" i="43"/>
  <c r="E275" i="43" s="1"/>
  <c r="F275" i="43" s="1"/>
  <c r="G275" i="43" s="1"/>
  <c r="H275" i="43" s="1"/>
  <c r="I275" i="43" s="1"/>
  <c r="J275" i="43" s="1"/>
  <c r="K275" i="43" s="1"/>
  <c r="A275" i="43"/>
  <c r="C275" i="43"/>
  <c r="D211" i="43"/>
  <c r="E211" i="43" s="1"/>
  <c r="F211" i="43" s="1"/>
  <c r="G211" i="43" s="1"/>
  <c r="H211" i="43" s="1"/>
  <c r="I211" i="43" s="1"/>
  <c r="J211" i="43" s="1"/>
  <c r="K211" i="43" s="1"/>
  <c r="A211" i="43"/>
  <c r="C211" i="43"/>
  <c r="D410" i="43"/>
  <c r="E410" i="43" s="1"/>
  <c r="F410" i="43" s="1"/>
  <c r="G410" i="43" s="1"/>
  <c r="H410" i="43" s="1"/>
  <c r="I410" i="43" s="1"/>
  <c r="J410" i="43" s="1"/>
  <c r="K410" i="43" s="1"/>
  <c r="A410" i="43"/>
  <c r="C410" i="43"/>
  <c r="D346" i="43"/>
  <c r="E346" i="43" s="1"/>
  <c r="F346" i="43" s="1"/>
  <c r="G346" i="43" s="1"/>
  <c r="H346" i="43" s="1"/>
  <c r="I346" i="43" s="1"/>
  <c r="J346" i="43" s="1"/>
  <c r="K346" i="43" s="1"/>
  <c r="A346" i="43"/>
  <c r="C346" i="43"/>
  <c r="D282" i="43"/>
  <c r="E282" i="43" s="1"/>
  <c r="F282" i="43" s="1"/>
  <c r="G282" i="43" s="1"/>
  <c r="H282" i="43" s="1"/>
  <c r="I282" i="43" s="1"/>
  <c r="J282" i="43" s="1"/>
  <c r="K282" i="43" s="1"/>
  <c r="A282" i="43"/>
  <c r="C282" i="43"/>
  <c r="D218" i="43"/>
  <c r="E218" i="43" s="1"/>
  <c r="F218" i="43" s="1"/>
  <c r="G218" i="43" s="1"/>
  <c r="H218" i="43" s="1"/>
  <c r="I218" i="43" s="1"/>
  <c r="J218" i="43" s="1"/>
  <c r="K218" i="43" s="1"/>
  <c r="A218" i="43"/>
  <c r="C218" i="43"/>
  <c r="P93" i="40"/>
  <c r="O93" i="40"/>
  <c r="P109" i="40"/>
  <c r="O109" i="40"/>
  <c r="P69" i="40"/>
  <c r="O69" i="40"/>
  <c r="P48" i="40"/>
  <c r="O48" i="40"/>
  <c r="P20" i="40"/>
  <c r="O20" i="40"/>
  <c r="P49" i="40"/>
  <c r="O49" i="40"/>
  <c r="P16" i="40"/>
  <c r="O16" i="40"/>
  <c r="P114" i="40"/>
  <c r="O114" i="40"/>
  <c r="P136" i="40"/>
  <c r="O136" i="40"/>
  <c r="P103" i="40"/>
  <c r="O103" i="40"/>
  <c r="P106" i="40"/>
  <c r="O106" i="40"/>
  <c r="P79" i="40"/>
  <c r="O79" i="40"/>
  <c r="P121" i="40"/>
  <c r="O121" i="40"/>
  <c r="P68" i="40"/>
  <c r="O68" i="40"/>
  <c r="A10" i="33"/>
  <c r="AD238" i="40"/>
  <c r="AA279" i="40"/>
  <c r="AD279" i="40"/>
  <c r="AA249" i="40"/>
  <c r="R249" i="40"/>
  <c r="AE249" i="40"/>
  <c r="C412" i="43"/>
  <c r="A412" i="43"/>
  <c r="D412" i="43"/>
  <c r="E412" i="43" s="1"/>
  <c r="F412" i="43" s="1"/>
  <c r="G412" i="43" s="1"/>
  <c r="H412" i="43" s="1"/>
  <c r="I412" i="43" s="1"/>
  <c r="J412" i="43" s="1"/>
  <c r="K412" i="43" s="1"/>
  <c r="C348" i="43"/>
  <c r="A348" i="43"/>
  <c r="D348" i="43"/>
  <c r="E348" i="43" s="1"/>
  <c r="F348" i="43" s="1"/>
  <c r="G348" i="43" s="1"/>
  <c r="H348" i="43" s="1"/>
  <c r="I348" i="43" s="1"/>
  <c r="J348" i="43" s="1"/>
  <c r="K348" i="43" s="1"/>
  <c r="D284" i="43"/>
  <c r="E284" i="43" s="1"/>
  <c r="F284" i="43" s="1"/>
  <c r="G284" i="43" s="1"/>
  <c r="H284" i="43" s="1"/>
  <c r="I284" i="43" s="1"/>
  <c r="J284" i="43" s="1"/>
  <c r="K284" i="43" s="1"/>
  <c r="C284" i="43"/>
  <c r="A284" i="43"/>
  <c r="D220" i="43"/>
  <c r="E220" i="43" s="1"/>
  <c r="F220" i="43" s="1"/>
  <c r="G220" i="43" s="1"/>
  <c r="H220" i="43" s="1"/>
  <c r="I220" i="43" s="1"/>
  <c r="J220" i="43" s="1"/>
  <c r="K220" i="43" s="1"/>
  <c r="C220" i="43"/>
  <c r="A220" i="43"/>
  <c r="A395" i="43"/>
  <c r="D395" i="43"/>
  <c r="E395" i="43" s="1"/>
  <c r="F395" i="43" s="1"/>
  <c r="G395" i="43" s="1"/>
  <c r="H395" i="43" s="1"/>
  <c r="I395" i="43" s="1"/>
  <c r="J395" i="43" s="1"/>
  <c r="K395" i="43" s="1"/>
  <c r="C395" i="43"/>
  <c r="A331" i="43"/>
  <c r="D331" i="43"/>
  <c r="E331" i="43" s="1"/>
  <c r="F331" i="43" s="1"/>
  <c r="G331" i="43" s="1"/>
  <c r="H331" i="43" s="1"/>
  <c r="I331" i="43" s="1"/>
  <c r="J331" i="43" s="1"/>
  <c r="K331" i="43" s="1"/>
  <c r="C331" i="43"/>
  <c r="D267" i="43"/>
  <c r="E267" i="43" s="1"/>
  <c r="F267" i="43" s="1"/>
  <c r="G267" i="43" s="1"/>
  <c r="H267" i="43" s="1"/>
  <c r="I267" i="43" s="1"/>
  <c r="J267" i="43" s="1"/>
  <c r="K267" i="43" s="1"/>
  <c r="A267" i="43"/>
  <c r="C267" i="43"/>
  <c r="D203" i="43"/>
  <c r="E203" i="43" s="1"/>
  <c r="F203" i="43" s="1"/>
  <c r="G203" i="43" s="1"/>
  <c r="H203" i="43" s="1"/>
  <c r="I203" i="43" s="1"/>
  <c r="J203" i="43" s="1"/>
  <c r="K203" i="43" s="1"/>
  <c r="A203" i="43"/>
  <c r="C203" i="43"/>
  <c r="D402" i="43"/>
  <c r="E402" i="43" s="1"/>
  <c r="F402" i="43" s="1"/>
  <c r="G402" i="43" s="1"/>
  <c r="H402" i="43" s="1"/>
  <c r="I402" i="43" s="1"/>
  <c r="J402" i="43" s="1"/>
  <c r="K402" i="43" s="1"/>
  <c r="A402" i="43"/>
  <c r="C402" i="43"/>
  <c r="D338" i="43"/>
  <c r="E338" i="43" s="1"/>
  <c r="F338" i="43" s="1"/>
  <c r="G338" i="43" s="1"/>
  <c r="H338" i="43" s="1"/>
  <c r="I338" i="43" s="1"/>
  <c r="J338" i="43" s="1"/>
  <c r="K338" i="43" s="1"/>
  <c r="A338" i="43"/>
  <c r="C338" i="43"/>
  <c r="D274" i="43"/>
  <c r="E274" i="43" s="1"/>
  <c r="F274" i="43" s="1"/>
  <c r="G274" i="43" s="1"/>
  <c r="H274" i="43" s="1"/>
  <c r="I274" i="43" s="1"/>
  <c r="J274" i="43" s="1"/>
  <c r="K274" i="43" s="1"/>
  <c r="A274" i="43"/>
  <c r="C274" i="43"/>
  <c r="D210" i="43"/>
  <c r="E210" i="43" s="1"/>
  <c r="F210" i="43" s="1"/>
  <c r="G210" i="43" s="1"/>
  <c r="H210" i="43" s="1"/>
  <c r="I210" i="43" s="1"/>
  <c r="J210" i="43" s="1"/>
  <c r="K210" i="43" s="1"/>
  <c r="A210" i="43"/>
  <c r="C210" i="43"/>
  <c r="P59" i="40"/>
  <c r="O59" i="40"/>
  <c r="P86" i="40"/>
  <c r="O86" i="40"/>
  <c r="P41" i="40"/>
  <c r="O41" i="40"/>
  <c r="P34" i="40"/>
  <c r="O34" i="40"/>
  <c r="P140" i="40"/>
  <c r="O140" i="40"/>
  <c r="P55" i="40"/>
  <c r="O55" i="40"/>
  <c r="P138" i="40"/>
  <c r="O138" i="40"/>
  <c r="P139" i="40"/>
  <c r="O139" i="40"/>
  <c r="P46" i="40"/>
  <c r="O46" i="40"/>
  <c r="R278" i="40"/>
  <c r="V278" i="40"/>
  <c r="AG278" i="40"/>
  <c r="AA278" i="40"/>
  <c r="P85" i="40"/>
  <c r="O85" i="40"/>
  <c r="P80" i="40"/>
  <c r="O80" i="40"/>
  <c r="P78" i="40"/>
  <c r="O78" i="40"/>
  <c r="P99" i="40"/>
  <c r="O99" i="40"/>
  <c r="P74" i="40"/>
  <c r="O74" i="40"/>
  <c r="P35" i="40"/>
  <c r="O35" i="40"/>
  <c r="AE266" i="40"/>
  <c r="T266" i="40"/>
  <c r="AJ266" i="40"/>
  <c r="Y266" i="40"/>
  <c r="AB266" i="40"/>
  <c r="AA266" i="40"/>
  <c r="AH266" i="40"/>
  <c r="U266" i="40"/>
  <c r="V266" i="40"/>
  <c r="P266" i="40"/>
  <c r="W266" i="40"/>
  <c r="R266" i="40"/>
  <c r="X266" i="40"/>
  <c r="AG266" i="40"/>
  <c r="S266" i="40"/>
  <c r="Z266" i="40"/>
  <c r="D404" i="43"/>
  <c r="E404" i="43" s="1"/>
  <c r="F404" i="43" s="1"/>
  <c r="G404" i="43" s="1"/>
  <c r="H404" i="43" s="1"/>
  <c r="I404" i="43" s="1"/>
  <c r="J404" i="43" s="1"/>
  <c r="K404" i="43" s="1"/>
  <c r="C404" i="43"/>
  <c r="A404" i="43"/>
  <c r="D340" i="43"/>
  <c r="E340" i="43" s="1"/>
  <c r="F340" i="43" s="1"/>
  <c r="G340" i="43" s="1"/>
  <c r="H340" i="43" s="1"/>
  <c r="I340" i="43" s="1"/>
  <c r="J340" i="43" s="1"/>
  <c r="K340" i="43" s="1"/>
  <c r="C340" i="43"/>
  <c r="A340" i="43"/>
  <c r="D276" i="43"/>
  <c r="E276" i="43" s="1"/>
  <c r="F276" i="43" s="1"/>
  <c r="G276" i="43" s="1"/>
  <c r="H276" i="43" s="1"/>
  <c r="I276" i="43" s="1"/>
  <c r="J276" i="43" s="1"/>
  <c r="K276" i="43" s="1"/>
  <c r="C276" i="43"/>
  <c r="A276" i="43"/>
  <c r="D212" i="43"/>
  <c r="E212" i="43" s="1"/>
  <c r="F212" i="43" s="1"/>
  <c r="G212" i="43" s="1"/>
  <c r="H212" i="43" s="1"/>
  <c r="I212" i="43" s="1"/>
  <c r="J212" i="43" s="1"/>
  <c r="K212" i="43" s="1"/>
  <c r="C212" i="43"/>
  <c r="A212" i="43"/>
  <c r="D387" i="43"/>
  <c r="E387" i="43" s="1"/>
  <c r="F387" i="43" s="1"/>
  <c r="G387" i="43" s="1"/>
  <c r="H387" i="43" s="1"/>
  <c r="I387" i="43" s="1"/>
  <c r="J387" i="43" s="1"/>
  <c r="K387" i="43" s="1"/>
  <c r="A387" i="43"/>
  <c r="C387" i="43"/>
  <c r="D323" i="43"/>
  <c r="E323" i="43" s="1"/>
  <c r="F323" i="43" s="1"/>
  <c r="G323" i="43" s="1"/>
  <c r="H323" i="43" s="1"/>
  <c r="I323" i="43" s="1"/>
  <c r="J323" i="43" s="1"/>
  <c r="K323" i="43" s="1"/>
  <c r="A323" i="43"/>
  <c r="C323" i="43"/>
  <c r="D259" i="43"/>
  <c r="E259" i="43" s="1"/>
  <c r="F259" i="43" s="1"/>
  <c r="G259" i="43" s="1"/>
  <c r="H259" i="43" s="1"/>
  <c r="I259" i="43" s="1"/>
  <c r="J259" i="43" s="1"/>
  <c r="K259" i="43" s="1"/>
  <c r="A259" i="43"/>
  <c r="C259" i="43"/>
  <c r="D195" i="43"/>
  <c r="E195" i="43" s="1"/>
  <c r="F195" i="43" s="1"/>
  <c r="G195" i="43" s="1"/>
  <c r="H195" i="43" s="1"/>
  <c r="I195" i="43" s="1"/>
  <c r="J195" i="43" s="1"/>
  <c r="K195" i="43" s="1"/>
  <c r="A195" i="43"/>
  <c r="C195" i="43"/>
  <c r="A15" i="43"/>
  <c r="A16" i="43" s="1"/>
  <c r="D394" i="43"/>
  <c r="E394" i="43" s="1"/>
  <c r="F394" i="43" s="1"/>
  <c r="G394" i="43" s="1"/>
  <c r="H394" i="43" s="1"/>
  <c r="I394" i="43" s="1"/>
  <c r="J394" i="43" s="1"/>
  <c r="K394" i="43" s="1"/>
  <c r="A394" i="43"/>
  <c r="C394" i="43"/>
  <c r="D330" i="43"/>
  <c r="E330" i="43" s="1"/>
  <c r="F330" i="43" s="1"/>
  <c r="G330" i="43" s="1"/>
  <c r="H330" i="43" s="1"/>
  <c r="I330" i="43" s="1"/>
  <c r="J330" i="43" s="1"/>
  <c r="K330" i="43" s="1"/>
  <c r="A330" i="43"/>
  <c r="C330" i="43"/>
  <c r="D266" i="43"/>
  <c r="E266" i="43" s="1"/>
  <c r="F266" i="43" s="1"/>
  <c r="G266" i="43" s="1"/>
  <c r="H266" i="43" s="1"/>
  <c r="I266" i="43" s="1"/>
  <c r="J266" i="43" s="1"/>
  <c r="K266" i="43" s="1"/>
  <c r="A266" i="43"/>
  <c r="C266" i="43"/>
  <c r="D202" i="43"/>
  <c r="E202" i="43" s="1"/>
  <c r="F202" i="43" s="1"/>
  <c r="G202" i="43" s="1"/>
  <c r="H202" i="43" s="1"/>
  <c r="I202" i="43" s="1"/>
  <c r="J202" i="43" s="1"/>
  <c r="K202" i="43" s="1"/>
  <c r="A202" i="43"/>
  <c r="C202" i="43"/>
  <c r="P43" i="40"/>
  <c r="O43" i="40"/>
  <c r="P81" i="40"/>
  <c r="O81" i="40"/>
  <c r="P50" i="40"/>
  <c r="O50" i="40"/>
  <c r="P10" i="40"/>
  <c r="AI152" i="40" s="1"/>
  <c r="E128" i="2" s="1"/>
  <c r="O10" i="40"/>
  <c r="P19" i="40"/>
  <c r="O19" i="40"/>
  <c r="P83" i="40"/>
  <c r="O83" i="40"/>
  <c r="P73" i="40"/>
  <c r="O73" i="40"/>
  <c r="P143" i="40"/>
  <c r="O143" i="40"/>
  <c r="P126" i="40"/>
  <c r="O126" i="40"/>
  <c r="P71" i="40"/>
  <c r="O71" i="40"/>
  <c r="P61" i="40"/>
  <c r="O61" i="40"/>
  <c r="P31" i="40"/>
  <c r="O31" i="40"/>
  <c r="P28" i="40"/>
  <c r="O28" i="40"/>
  <c r="P7" i="40"/>
  <c r="O7" i="40"/>
  <c r="P36" i="40"/>
  <c r="O36" i="40"/>
  <c r="Y279" i="40"/>
  <c r="AH279" i="40"/>
  <c r="X249" i="40"/>
  <c r="AI249" i="40"/>
  <c r="C396" i="43"/>
  <c r="D396" i="43"/>
  <c r="E396" i="43" s="1"/>
  <c r="F396" i="43" s="1"/>
  <c r="G396" i="43" s="1"/>
  <c r="H396" i="43" s="1"/>
  <c r="I396" i="43" s="1"/>
  <c r="J396" i="43" s="1"/>
  <c r="K396" i="43" s="1"/>
  <c r="A396" i="43"/>
  <c r="C332" i="43"/>
  <c r="D332" i="43"/>
  <c r="E332" i="43" s="1"/>
  <c r="F332" i="43" s="1"/>
  <c r="G332" i="43" s="1"/>
  <c r="H332" i="43" s="1"/>
  <c r="I332" i="43" s="1"/>
  <c r="J332" i="43" s="1"/>
  <c r="K332" i="43" s="1"/>
  <c r="A332" i="43"/>
  <c r="D268" i="43"/>
  <c r="E268" i="43" s="1"/>
  <c r="F268" i="43" s="1"/>
  <c r="G268" i="43" s="1"/>
  <c r="H268" i="43" s="1"/>
  <c r="I268" i="43" s="1"/>
  <c r="J268" i="43" s="1"/>
  <c r="K268" i="43" s="1"/>
  <c r="C268" i="43"/>
  <c r="A268" i="43"/>
  <c r="D204" i="43"/>
  <c r="E204" i="43" s="1"/>
  <c r="F204" i="43" s="1"/>
  <c r="G204" i="43" s="1"/>
  <c r="H204" i="43" s="1"/>
  <c r="I204" i="43" s="1"/>
  <c r="J204" i="43" s="1"/>
  <c r="K204" i="43" s="1"/>
  <c r="C204" i="43"/>
  <c r="A204" i="43"/>
  <c r="A443" i="43"/>
  <c r="D443" i="43"/>
  <c r="E443" i="43" s="1"/>
  <c r="F443" i="43" s="1"/>
  <c r="G443" i="43" s="1"/>
  <c r="H443" i="43" s="1"/>
  <c r="I443" i="43" s="1"/>
  <c r="J443" i="43" s="1"/>
  <c r="K443" i="43" s="1"/>
  <c r="C443" i="43"/>
  <c r="A379" i="43"/>
  <c r="D379" i="43"/>
  <c r="E379" i="43" s="1"/>
  <c r="F379" i="43" s="1"/>
  <c r="G379" i="43" s="1"/>
  <c r="H379" i="43" s="1"/>
  <c r="I379" i="43" s="1"/>
  <c r="J379" i="43" s="1"/>
  <c r="K379" i="43" s="1"/>
  <c r="C379" i="43"/>
  <c r="D315" i="43"/>
  <c r="E315" i="43" s="1"/>
  <c r="F315" i="43" s="1"/>
  <c r="G315" i="43" s="1"/>
  <c r="H315" i="43" s="1"/>
  <c r="I315" i="43" s="1"/>
  <c r="J315" i="43" s="1"/>
  <c r="K315" i="43" s="1"/>
  <c r="A315" i="43"/>
  <c r="C315" i="43"/>
  <c r="D251" i="43"/>
  <c r="E251" i="43" s="1"/>
  <c r="F251" i="43" s="1"/>
  <c r="G251" i="43" s="1"/>
  <c r="H251" i="43" s="1"/>
  <c r="I251" i="43" s="1"/>
  <c r="J251" i="43" s="1"/>
  <c r="K251" i="43" s="1"/>
  <c r="A251" i="43"/>
  <c r="C251" i="43"/>
  <c r="D187" i="43"/>
  <c r="E187" i="43" s="1"/>
  <c r="F187" i="43" s="1"/>
  <c r="G187" i="43" s="1"/>
  <c r="H187" i="43" s="1"/>
  <c r="I187" i="43" s="1"/>
  <c r="J187" i="43" s="1"/>
  <c r="K187" i="43" s="1"/>
  <c r="A187" i="43"/>
  <c r="C187" i="43"/>
  <c r="D450" i="43"/>
  <c r="E450" i="43" s="1"/>
  <c r="F450" i="43" s="1"/>
  <c r="G450" i="43" s="1"/>
  <c r="H450" i="43" s="1"/>
  <c r="I450" i="43" s="1"/>
  <c r="J450" i="43" s="1"/>
  <c r="K450" i="43" s="1"/>
  <c r="A450" i="43"/>
  <c r="C450" i="43"/>
  <c r="D386" i="43"/>
  <c r="E386" i="43" s="1"/>
  <c r="F386" i="43" s="1"/>
  <c r="G386" i="43" s="1"/>
  <c r="H386" i="43" s="1"/>
  <c r="I386" i="43" s="1"/>
  <c r="J386" i="43" s="1"/>
  <c r="K386" i="43" s="1"/>
  <c r="A386" i="43"/>
  <c r="C386" i="43"/>
  <c r="D322" i="43"/>
  <c r="E322" i="43" s="1"/>
  <c r="F322" i="43" s="1"/>
  <c r="G322" i="43" s="1"/>
  <c r="H322" i="43" s="1"/>
  <c r="I322" i="43" s="1"/>
  <c r="J322" i="43" s="1"/>
  <c r="K322" i="43" s="1"/>
  <c r="A322" i="43"/>
  <c r="C322" i="43"/>
  <c r="D258" i="43"/>
  <c r="E258" i="43" s="1"/>
  <c r="F258" i="43" s="1"/>
  <c r="G258" i="43" s="1"/>
  <c r="H258" i="43" s="1"/>
  <c r="I258" i="43" s="1"/>
  <c r="J258" i="43" s="1"/>
  <c r="K258" i="43" s="1"/>
  <c r="A258" i="43"/>
  <c r="C258" i="43"/>
  <c r="D194" i="43"/>
  <c r="E194" i="43" s="1"/>
  <c r="F194" i="43" s="1"/>
  <c r="G194" i="43" s="1"/>
  <c r="H194" i="43" s="1"/>
  <c r="I194" i="43" s="1"/>
  <c r="J194" i="43" s="1"/>
  <c r="K194" i="43" s="1"/>
  <c r="A194" i="43"/>
  <c r="C194" i="43"/>
  <c r="O82" i="40"/>
  <c r="P82" i="40"/>
  <c r="P64" i="40"/>
  <c r="O64" i="40"/>
  <c r="P124" i="40"/>
  <c r="O124" i="40"/>
  <c r="P91" i="40"/>
  <c r="O91" i="40"/>
  <c r="P14" i="40"/>
  <c r="O14" i="40"/>
  <c r="P122" i="40"/>
  <c r="O122" i="40"/>
  <c r="P101" i="40"/>
  <c r="O101" i="40"/>
  <c r="O132" i="40"/>
  <c r="P132" i="40"/>
  <c r="P112" i="40"/>
  <c r="O112" i="40"/>
  <c r="P70" i="40"/>
  <c r="O70" i="40"/>
  <c r="AF215" i="40"/>
  <c r="U215" i="40"/>
  <c r="X215" i="40"/>
  <c r="Y215" i="40"/>
  <c r="Z215" i="40"/>
  <c r="R215" i="40"/>
  <c r="S215" i="40"/>
  <c r="T215" i="40"/>
  <c r="AI215" i="40"/>
  <c r="AB215" i="40"/>
  <c r="P215" i="40"/>
  <c r="AH215" i="40"/>
  <c r="V215" i="40"/>
  <c r="W215" i="40"/>
  <c r="AA215" i="40"/>
  <c r="AC215" i="40"/>
  <c r="P58" i="40"/>
  <c r="O58" i="40"/>
  <c r="P116" i="40"/>
  <c r="O116" i="40"/>
  <c r="P96" i="40"/>
  <c r="O96" i="40"/>
  <c r="P18" i="40"/>
  <c r="O18" i="40"/>
  <c r="E718" i="2"/>
  <c r="G954" i="2" s="1"/>
  <c r="I954" i="2" s="1"/>
  <c r="E712" i="2"/>
  <c r="G953" i="2" s="1"/>
  <c r="I953" i="2" s="1"/>
  <c r="E292" i="2"/>
  <c r="G883" i="2" s="1"/>
  <c r="I883" i="2" s="1"/>
  <c r="E502" i="2"/>
  <c r="G918" i="2" s="1"/>
  <c r="I918" i="2" s="1"/>
  <c r="E658" i="2"/>
  <c r="G944" i="2" s="1"/>
  <c r="I944" i="2" s="1"/>
  <c r="E316" i="2"/>
  <c r="G887" i="2" s="1"/>
  <c r="I887" i="2" s="1"/>
  <c r="E412" i="2"/>
  <c r="G903" i="2" s="1"/>
  <c r="I903" i="2" s="1"/>
  <c r="E724" i="2"/>
  <c r="G955" i="2" s="1"/>
  <c r="I955" i="2" s="1"/>
  <c r="E448" i="2"/>
  <c r="G909" i="2" s="1"/>
  <c r="I909" i="2" s="1"/>
  <c r="E418" i="2"/>
  <c r="G904" i="2" s="1"/>
  <c r="I904" i="2" s="1"/>
  <c r="E430" i="2"/>
  <c r="G906" i="2" s="1"/>
  <c r="I906" i="2" s="1"/>
  <c r="E670" i="2"/>
  <c r="G946" i="2" s="1"/>
  <c r="I946" i="2" s="1"/>
  <c r="E598" i="2"/>
  <c r="G934" i="2" s="1"/>
  <c r="I934" i="2" s="1"/>
  <c r="E394" i="2"/>
  <c r="G900" i="2" s="1"/>
  <c r="I900" i="2" s="1"/>
  <c r="E706" i="2"/>
  <c r="G952" i="2" s="1"/>
  <c r="I952" i="2" s="1"/>
  <c r="E376" i="2"/>
  <c r="G897" i="2" s="1"/>
  <c r="I897" i="2" s="1"/>
  <c r="E574" i="2"/>
  <c r="G930" i="2" s="1"/>
  <c r="I930" i="2" s="1"/>
  <c r="E772" i="2"/>
  <c r="G963" i="2" s="1"/>
  <c r="I963" i="2" s="1"/>
  <c r="E664" i="2"/>
  <c r="G945" i="2" s="1"/>
  <c r="I945" i="2" s="1"/>
  <c r="E742" i="2"/>
  <c r="G958" i="2" s="1"/>
  <c r="I958" i="2" s="1"/>
  <c r="E616" i="2"/>
  <c r="G937" i="2" s="1"/>
  <c r="I937" i="2" s="1"/>
  <c r="E586" i="2"/>
  <c r="G932" i="2" s="1"/>
  <c r="I932" i="2" s="1"/>
  <c r="E382" i="2"/>
  <c r="G898" i="2" s="1"/>
  <c r="I898" i="2" s="1"/>
  <c r="E478" i="2"/>
  <c r="G914" i="2" s="1"/>
  <c r="I914" i="2" s="1"/>
  <c r="E298" i="2"/>
  <c r="G884" i="2" s="1"/>
  <c r="I884" i="2" s="1"/>
  <c r="E514" i="2"/>
  <c r="G920" i="2" s="1"/>
  <c r="I920" i="2" s="1"/>
  <c r="E628" i="2"/>
  <c r="G939" i="2" s="1"/>
  <c r="I939" i="2" s="1"/>
  <c r="E676" i="2"/>
  <c r="G947" i="2" s="1"/>
  <c r="I947" i="2" s="1"/>
  <c r="E508" i="2"/>
  <c r="G919" i="2" s="1"/>
  <c r="I919" i="2" s="1"/>
  <c r="E286" i="2"/>
  <c r="G882" i="2" s="1"/>
  <c r="I882" i="2" s="1"/>
  <c r="E310" i="2"/>
  <c r="G886" i="2" s="1"/>
  <c r="I886" i="2" s="1"/>
  <c r="E352" i="2"/>
  <c r="G893" i="2" s="1"/>
  <c r="I893" i="2" s="1"/>
  <c r="E754" i="2"/>
  <c r="G960" i="2" s="1"/>
  <c r="I960" i="2" s="1"/>
  <c r="E406" i="2"/>
  <c r="G902" i="2" s="1"/>
  <c r="I902" i="2" s="1"/>
  <c r="E760" i="2"/>
  <c r="G961" i="2" s="1"/>
  <c r="I961" i="2" s="1"/>
  <c r="E682" i="2"/>
  <c r="G948" i="2" s="1"/>
  <c r="I948" i="2" s="1"/>
  <c r="M844" i="2"/>
  <c r="M805" i="2"/>
  <c r="M824" i="2"/>
  <c r="M816" i="2"/>
  <c r="E700" i="2"/>
  <c r="G951" i="2" s="1"/>
  <c r="I951" i="2" s="1"/>
  <c r="E490" i="2"/>
  <c r="G916" i="2" s="1"/>
  <c r="I916" i="2" s="1"/>
  <c r="E538" i="2"/>
  <c r="G924" i="2" s="1"/>
  <c r="I924" i="2" s="1"/>
  <c r="E334" i="2"/>
  <c r="G890" i="2" s="1"/>
  <c r="I890" i="2" s="1"/>
  <c r="E736" i="2"/>
  <c r="G957" i="2" s="1"/>
  <c r="I957" i="2" s="1"/>
  <c r="E580" i="2"/>
  <c r="G931" i="2" s="1"/>
  <c r="I931" i="2" s="1"/>
  <c r="E778" i="2"/>
  <c r="G964" i="2" s="1"/>
  <c r="I964" i="2" s="1"/>
  <c r="E466" i="2"/>
  <c r="G912" i="2" s="1"/>
  <c r="I912" i="2" s="1"/>
  <c r="E640" i="2"/>
  <c r="G941" i="2" s="1"/>
  <c r="I941" i="2" s="1"/>
  <c r="E562" i="2"/>
  <c r="G928" i="2" s="1"/>
  <c r="I928" i="2" s="1"/>
  <c r="E784" i="2"/>
  <c r="G965" i="2" s="1"/>
  <c r="I965" i="2" s="1"/>
  <c r="E304" i="2"/>
  <c r="G885" i="2" s="1"/>
  <c r="I885" i="2" s="1"/>
  <c r="E652" i="2"/>
  <c r="G943" i="2" s="1"/>
  <c r="I943" i="2" s="1"/>
  <c r="E526" i="2"/>
  <c r="G922" i="2" s="1"/>
  <c r="I922" i="2" s="1"/>
  <c r="E370" i="2"/>
  <c r="G896" i="2" s="1"/>
  <c r="I896" i="2" s="1"/>
  <c r="E442" i="2"/>
  <c r="G908" i="2" s="1"/>
  <c r="I908" i="2" s="1"/>
  <c r="E340" i="2"/>
  <c r="G891" i="2" s="1"/>
  <c r="I891" i="2" s="1"/>
  <c r="E496" i="2"/>
  <c r="G917" i="2" s="1"/>
  <c r="I917" i="2" s="1"/>
  <c r="E604" i="2"/>
  <c r="G935" i="2" s="1"/>
  <c r="I935" i="2" s="1"/>
  <c r="E766" i="2"/>
  <c r="G962" i="2" s="1"/>
  <c r="I962" i="2" s="1"/>
  <c r="E688" i="2"/>
  <c r="G949" i="2" s="1"/>
  <c r="I949" i="2" s="1"/>
  <c r="E388" i="2"/>
  <c r="G899" i="2" s="1"/>
  <c r="I899" i="2" s="1"/>
  <c r="M819" i="2"/>
  <c r="M815" i="2"/>
  <c r="E454" i="2"/>
  <c r="G910" i="2" s="1"/>
  <c r="I910" i="2" s="1"/>
  <c r="E520" i="2"/>
  <c r="G921" i="2" s="1"/>
  <c r="I921" i="2" s="1"/>
  <c r="E622" i="2"/>
  <c r="G938" i="2" s="1"/>
  <c r="I938" i="2" s="1"/>
  <c r="E400" i="2"/>
  <c r="G901" i="2" s="1"/>
  <c r="I901" i="2" s="1"/>
  <c r="E364" i="2"/>
  <c r="G895" i="2" s="1"/>
  <c r="I895" i="2" s="1"/>
  <c r="E322" i="2"/>
  <c r="G888" i="2" s="1"/>
  <c r="I888" i="2" s="1"/>
  <c r="E358" i="2"/>
  <c r="G894" i="2" s="1"/>
  <c r="I894" i="2" s="1"/>
  <c r="E592" i="2"/>
  <c r="G933" i="2" s="1"/>
  <c r="I933" i="2" s="1"/>
  <c r="E484" i="2"/>
  <c r="G915" i="2" s="1"/>
  <c r="I915" i="2" s="1"/>
  <c r="E424" i="2"/>
  <c r="G905" i="2" s="1"/>
  <c r="I905" i="2" s="1"/>
  <c r="E544" i="2"/>
  <c r="G925" i="2" s="1"/>
  <c r="I925" i="2" s="1"/>
  <c r="E730" i="2"/>
  <c r="G956" i="2" s="1"/>
  <c r="I956" i="2" s="1"/>
  <c r="E346" i="2"/>
  <c r="G892" i="2" s="1"/>
  <c r="I892" i="2" s="1"/>
  <c r="E646" i="2"/>
  <c r="G942" i="2" s="1"/>
  <c r="I942" i="2" s="1"/>
  <c r="E460" i="2"/>
  <c r="G911" i="2" s="1"/>
  <c r="I911" i="2" s="1"/>
  <c r="E472" i="2"/>
  <c r="G913" i="2" s="1"/>
  <c r="I913" i="2" s="1"/>
  <c r="E694" i="2"/>
  <c r="G950" i="2" s="1"/>
  <c r="I950" i="2" s="1"/>
  <c r="E532" i="2"/>
  <c r="G923" i="2" s="1"/>
  <c r="I923" i="2" s="1"/>
  <c r="E568" i="2"/>
  <c r="G929" i="2" s="1"/>
  <c r="I929" i="2" s="1"/>
  <c r="E610" i="2"/>
  <c r="G936" i="2" s="1"/>
  <c r="I936" i="2" s="1"/>
  <c r="E436" i="2"/>
  <c r="G907" i="2" s="1"/>
  <c r="I907" i="2" s="1"/>
  <c r="E634" i="2"/>
  <c r="G940" i="2" s="1"/>
  <c r="I940" i="2" s="1"/>
  <c r="E328" i="2"/>
  <c r="G889" i="2" s="1"/>
  <c r="I889" i="2" s="1"/>
  <c r="M822" i="2"/>
  <c r="D870" i="2"/>
  <c r="M870" i="2"/>
  <c r="D864" i="2"/>
  <c r="M864" i="2"/>
  <c r="D878" i="2"/>
  <c r="M878" i="2"/>
  <c r="M863" i="2"/>
  <c r="D872" i="2"/>
  <c r="M872" i="2"/>
  <c r="D869" i="2"/>
  <c r="M869" i="2"/>
  <c r="D845" i="2"/>
  <c r="M845" i="2"/>
  <c r="M806" i="2"/>
  <c r="D835" i="2"/>
  <c r="M835" i="2"/>
  <c r="D853" i="2"/>
  <c r="M853" i="2"/>
  <c r="M862" i="2"/>
  <c r="M809" i="2"/>
  <c r="D838" i="2"/>
  <c r="M838" i="2"/>
  <c r="G927" i="2"/>
  <c r="I927" i="2" s="1"/>
  <c r="D865" i="2"/>
  <c r="M865" i="2"/>
  <c r="D877" i="2"/>
  <c r="M877" i="2"/>
  <c r="M812" i="2"/>
  <c r="M818" i="2"/>
  <c r="M808" i="2"/>
  <c r="D851" i="2"/>
  <c r="M851" i="2"/>
  <c r="D832" i="2"/>
  <c r="M832" i="2"/>
  <c r="D854" i="2"/>
  <c r="M854" i="2"/>
  <c r="D875" i="2"/>
  <c r="M875" i="2"/>
  <c r="D833" i="2"/>
  <c r="M833" i="2"/>
  <c r="D858" i="2"/>
  <c r="M858" i="2"/>
  <c r="G926" i="2"/>
  <c r="I926" i="2" s="1"/>
  <c r="M810" i="2"/>
  <c r="M860" i="2"/>
  <c r="M821" i="2"/>
  <c r="M823" i="2"/>
  <c r="D841" i="2"/>
  <c r="M841" i="2"/>
  <c r="D831" i="2"/>
  <c r="M831" i="2"/>
  <c r="D847" i="2"/>
  <c r="M847" i="2"/>
  <c r="M813" i="2"/>
  <c r="M814" i="2"/>
  <c r="D879" i="2"/>
  <c r="M879" i="2"/>
  <c r="D827" i="2"/>
  <c r="M827" i="2"/>
  <c r="D829" i="2"/>
  <c r="M829" i="2"/>
  <c r="M811" i="2"/>
  <c r="M807" i="2"/>
  <c r="E748" i="2"/>
  <c r="G959" i="2" s="1"/>
  <c r="I959" i="2" s="1"/>
  <c r="C846" i="2"/>
  <c r="P157" i="40"/>
  <c r="P148" i="40"/>
  <c r="P156" i="40"/>
  <c r="P163" i="40"/>
  <c r="P154" i="40"/>
  <c r="P160" i="40"/>
  <c r="P150" i="40"/>
  <c r="P149" i="40"/>
  <c r="P164" i="40"/>
  <c r="P162" i="40"/>
  <c r="P158" i="40"/>
  <c r="P155" i="40"/>
  <c r="R150" i="40"/>
  <c r="E30" i="2" s="1"/>
  <c r="P152" i="40"/>
  <c r="P151" i="40"/>
  <c r="AF149" i="40"/>
  <c r="E113" i="2" s="1"/>
  <c r="P161" i="40"/>
  <c r="AH150" i="40"/>
  <c r="E120" i="2" s="1"/>
  <c r="AB149" i="40"/>
  <c r="E89" i="2" s="1"/>
  <c r="AF280" i="40"/>
  <c r="AG280" i="40"/>
  <c r="AJ280" i="40"/>
  <c r="AD280" i="40"/>
  <c r="W280" i="40"/>
  <c r="X280" i="40"/>
  <c r="AC280" i="40"/>
  <c r="Z280" i="40"/>
  <c r="AI280" i="40"/>
  <c r="U280" i="40"/>
  <c r="S280" i="40"/>
  <c r="AE280" i="40"/>
  <c r="V280" i="40"/>
  <c r="AB280" i="40"/>
  <c r="Y280" i="40"/>
  <c r="AH280" i="40"/>
  <c r="AA280" i="40"/>
  <c r="R280" i="40"/>
  <c r="P280" i="40"/>
  <c r="T280" i="40"/>
  <c r="AE265" i="40"/>
  <c r="AF265" i="40"/>
  <c r="AH265" i="40"/>
  <c r="AC265" i="40"/>
  <c r="AG265" i="40"/>
  <c r="AB265" i="40"/>
  <c r="AI265" i="40"/>
  <c r="V265" i="40"/>
  <c r="R265" i="40"/>
  <c r="W265" i="40"/>
  <c r="AD265" i="40"/>
  <c r="Y265" i="40"/>
  <c r="T265" i="40"/>
  <c r="AA265" i="40"/>
  <c r="S265" i="40"/>
  <c r="X265" i="40"/>
  <c r="P265" i="40"/>
  <c r="Z265" i="40"/>
  <c r="U265" i="40"/>
  <c r="AJ265" i="40"/>
  <c r="AE245" i="40"/>
  <c r="AC245" i="40"/>
  <c r="Z245" i="40"/>
  <c r="S245" i="40"/>
  <c r="U245" i="40"/>
  <c r="Y245" i="40"/>
  <c r="P245" i="40"/>
  <c r="AJ245" i="40"/>
  <c r="AD281" i="40"/>
  <c r="AB281" i="40"/>
  <c r="AE281" i="40"/>
  <c r="AH281" i="40"/>
  <c r="AJ281" i="40"/>
  <c r="AC281" i="40"/>
  <c r="V281" i="40"/>
  <c r="R281" i="40"/>
  <c r="AF281" i="40"/>
  <c r="W281" i="40"/>
  <c r="AI281" i="40"/>
  <c r="Y281" i="40"/>
  <c r="T281" i="40"/>
  <c r="U281" i="40"/>
  <c r="X281" i="40"/>
  <c r="Z281" i="40"/>
  <c r="S281" i="40"/>
  <c r="AG281" i="40"/>
  <c r="AA281" i="40"/>
  <c r="P281" i="40"/>
  <c r="AE269" i="40"/>
  <c r="AF269" i="40"/>
  <c r="AH269" i="40"/>
  <c r="AC269" i="40"/>
  <c r="AJ269" i="40"/>
  <c r="AB269" i="40"/>
  <c r="AG269" i="40"/>
  <c r="Z269" i="40"/>
  <c r="S269" i="40"/>
  <c r="AA269" i="40"/>
  <c r="U269" i="40"/>
  <c r="AI269" i="40"/>
  <c r="X269" i="40"/>
  <c r="T269" i="40"/>
  <c r="P269" i="40"/>
  <c r="W269" i="40"/>
  <c r="Y269" i="40"/>
  <c r="R269" i="40"/>
  <c r="AD269" i="40"/>
  <c r="V269" i="40"/>
  <c r="AF284" i="40"/>
  <c r="AG284" i="40"/>
  <c r="AJ284" i="40"/>
  <c r="AD284" i="40"/>
  <c r="AC284" i="40"/>
  <c r="S284" i="40"/>
  <c r="AA284" i="40"/>
  <c r="AE284" i="40"/>
  <c r="T284" i="40"/>
  <c r="AI284" i="40"/>
  <c r="V284" i="40"/>
  <c r="R284" i="40"/>
  <c r="Y284" i="40"/>
  <c r="AH284" i="40"/>
  <c r="Z284" i="40"/>
  <c r="U284" i="40"/>
  <c r="W284" i="40"/>
  <c r="P284" i="40"/>
  <c r="X284" i="40"/>
  <c r="AB284" i="40"/>
  <c r="B272" i="2"/>
  <c r="C826" i="2"/>
  <c r="C830" i="2"/>
  <c r="B271" i="2"/>
  <c r="C842" i="2"/>
  <c r="C861" i="2"/>
  <c r="B241" i="2"/>
  <c r="C876" i="2"/>
  <c r="C828" i="2"/>
  <c r="B252" i="2"/>
  <c r="B268" i="2"/>
  <c r="C874" i="2"/>
  <c r="D874" i="2" s="1"/>
  <c r="C843" i="2"/>
  <c r="C859" i="2"/>
  <c r="C856" i="2"/>
  <c r="C837" i="2"/>
  <c r="B227" i="2"/>
  <c r="B235" i="2"/>
  <c r="C868" i="2"/>
  <c r="B267" i="2"/>
  <c r="C873" i="2"/>
  <c r="D873" i="2" s="1"/>
  <c r="B262" i="2"/>
  <c r="B233" i="2"/>
  <c r="B234" i="2"/>
  <c r="C840" i="2"/>
  <c r="C836" i="2"/>
  <c r="C839" i="2"/>
  <c r="B219" i="2"/>
  <c r="C825" i="2"/>
  <c r="C855" i="2"/>
  <c r="B263" i="2"/>
  <c r="B251" i="2"/>
  <c r="C857" i="2"/>
  <c r="C848" i="2"/>
  <c r="B242" i="2"/>
  <c r="C850" i="2"/>
  <c r="B244" i="2"/>
  <c r="B228" i="2"/>
  <c r="C834" i="2"/>
  <c r="B265" i="2"/>
  <c r="C871" i="2"/>
  <c r="C852" i="2"/>
  <c r="B246" i="2"/>
  <c r="B243" i="2"/>
  <c r="C849" i="2"/>
  <c r="B261" i="2"/>
  <c r="C867" i="2"/>
  <c r="B260" i="2"/>
  <c r="C866" i="2"/>
  <c r="B274" i="2"/>
  <c r="C880" i="2"/>
  <c r="D14" i="43"/>
  <c r="E20" i="45"/>
  <c r="E22" i="45"/>
  <c r="J270" i="2"/>
  <c r="J231" i="2"/>
  <c r="D15" i="43"/>
  <c r="J272" i="2"/>
  <c r="E27" i="45"/>
  <c r="E26" i="45"/>
  <c r="J253" i="2"/>
  <c r="E12" i="43"/>
  <c r="E23" i="45"/>
  <c r="E31" i="45"/>
  <c r="J252" i="2"/>
  <c r="E30" i="45"/>
  <c r="E32" i="45"/>
  <c r="J222" i="2"/>
  <c r="E19" i="45"/>
  <c r="E25" i="45"/>
  <c r="E24" i="45"/>
  <c r="E18" i="45"/>
  <c r="J249" i="2"/>
  <c r="J240" i="2"/>
  <c r="J255" i="2"/>
  <c r="F13" i="43"/>
  <c r="J241" i="2"/>
  <c r="E28" i="45"/>
  <c r="E29" i="45"/>
  <c r="J227" i="2"/>
  <c r="E21" i="45"/>
  <c r="J230" i="2"/>
  <c r="J236" i="2"/>
  <c r="C14" i="43" l="1"/>
  <c r="R245" i="40"/>
  <c r="AD245" i="40"/>
  <c r="AH245" i="40"/>
  <c r="X149" i="40"/>
  <c r="E65" i="2" s="1"/>
  <c r="R149" i="40"/>
  <c r="E29" i="2" s="1"/>
  <c r="T245" i="40"/>
  <c r="AA245" i="40"/>
  <c r="AF245" i="40"/>
  <c r="AL149" i="40"/>
  <c r="E136" i="2" s="1"/>
  <c r="E158" i="2" s="1"/>
  <c r="G822" i="2" s="1"/>
  <c r="I822" i="2" s="1"/>
  <c r="U233" i="40"/>
  <c r="AB233" i="40"/>
  <c r="P233" i="40"/>
  <c r="Z233" i="40"/>
  <c r="AI233" i="40"/>
  <c r="AA233" i="40"/>
  <c r="AJ233" i="40"/>
  <c r="AH233" i="40"/>
  <c r="AE233" i="40"/>
  <c r="S233" i="40"/>
  <c r="AC233" i="40"/>
  <c r="AF233" i="40"/>
  <c r="AD233" i="40"/>
  <c r="W233" i="40"/>
  <c r="V233" i="40"/>
  <c r="T233" i="40"/>
  <c r="X233" i="40"/>
  <c r="R233" i="40"/>
  <c r="AG233" i="40"/>
  <c r="Y233" i="40"/>
  <c r="AB148" i="40"/>
  <c r="E88" i="2" s="1"/>
  <c r="Z151" i="40"/>
  <c r="E79" i="2" s="1"/>
  <c r="W245" i="40"/>
  <c r="AB245" i="40"/>
  <c r="V245" i="40"/>
  <c r="AI245" i="40"/>
  <c r="S149" i="40"/>
  <c r="E35" i="2" s="1"/>
  <c r="AG149" i="40"/>
  <c r="X245" i="40"/>
  <c r="S150" i="40"/>
  <c r="E36" i="2" s="1"/>
  <c r="C15" i="43"/>
  <c r="A17" i="43"/>
  <c r="AB219" i="40"/>
  <c r="Y219" i="40"/>
  <c r="AH219" i="40"/>
  <c r="AC219" i="40"/>
  <c r="X219" i="40"/>
  <c r="R219" i="40"/>
  <c r="Z219" i="40"/>
  <c r="AA219" i="40"/>
  <c r="V219" i="40"/>
  <c r="W219" i="40"/>
  <c r="P219" i="40"/>
  <c r="U219" i="40"/>
  <c r="S219" i="40"/>
  <c r="T219" i="40"/>
  <c r="AJ219" i="40"/>
  <c r="AF219" i="40"/>
  <c r="AI219" i="40"/>
  <c r="AD219" i="40"/>
  <c r="AG219" i="40"/>
  <c r="AE219" i="40"/>
  <c r="AH262" i="40"/>
  <c r="Z262" i="40"/>
  <c r="AJ262" i="40"/>
  <c r="T262" i="40"/>
  <c r="U262" i="40"/>
  <c r="V262" i="40"/>
  <c r="R262" i="40"/>
  <c r="AE262" i="40"/>
  <c r="S262" i="40"/>
  <c r="P262" i="40"/>
  <c r="AG262" i="40"/>
  <c r="W262" i="40"/>
  <c r="AB262" i="40"/>
  <c r="X262" i="40"/>
  <c r="Y262" i="40"/>
  <c r="AA262" i="40"/>
  <c r="AC262" i="40"/>
  <c r="AD262" i="40"/>
  <c r="AI262" i="40"/>
  <c r="AF262" i="40"/>
  <c r="AC285" i="40"/>
  <c r="AG285" i="40"/>
  <c r="W285" i="40"/>
  <c r="R285" i="40"/>
  <c r="P285" i="40"/>
  <c r="T285" i="40"/>
  <c r="V285" i="40"/>
  <c r="AJ285" i="40"/>
  <c r="Z285" i="40"/>
  <c r="S285" i="40"/>
  <c r="AA285" i="40"/>
  <c r="AD285" i="40"/>
  <c r="Y285" i="40"/>
  <c r="AB285" i="40"/>
  <c r="AI285" i="40"/>
  <c r="U285" i="40"/>
  <c r="AF285" i="40"/>
  <c r="AE285" i="40"/>
  <c r="AH285" i="40"/>
  <c r="X285" i="40"/>
  <c r="AB192" i="40"/>
  <c r="T192" i="40"/>
  <c r="V192" i="40"/>
  <c r="W192" i="40"/>
  <c r="X192" i="40"/>
  <c r="Y192" i="40"/>
  <c r="Z192" i="40"/>
  <c r="R192" i="40"/>
  <c r="P192" i="40"/>
  <c r="AD192" i="40"/>
  <c r="AI192" i="40"/>
  <c r="AG192" i="40"/>
  <c r="S192" i="40"/>
  <c r="AJ192" i="40"/>
  <c r="AH192" i="40"/>
  <c r="AF192" i="40"/>
  <c r="U192" i="40"/>
  <c r="AC192" i="40"/>
  <c r="AE192" i="40"/>
  <c r="AA192" i="40"/>
  <c r="AF302" i="40"/>
  <c r="AI302" i="40"/>
  <c r="AC302" i="40"/>
  <c r="U302" i="40"/>
  <c r="AB302" i="40"/>
  <c r="W302" i="40"/>
  <c r="S302" i="40"/>
  <c r="T302" i="40"/>
  <c r="V302" i="40"/>
  <c r="R302" i="40"/>
  <c r="Z302" i="40"/>
  <c r="AA302" i="40"/>
  <c r="AG302" i="40"/>
  <c r="X302" i="40"/>
  <c r="Y302" i="40"/>
  <c r="P302" i="40"/>
  <c r="AE302" i="40"/>
  <c r="AJ302" i="40"/>
  <c r="AH302" i="40"/>
  <c r="AD302" i="40"/>
  <c r="Y224" i="40"/>
  <c r="AG224" i="40"/>
  <c r="U224" i="40"/>
  <c r="V224" i="40"/>
  <c r="W224" i="40"/>
  <c r="AB224" i="40"/>
  <c r="AA224" i="40"/>
  <c r="P224" i="40"/>
  <c r="S224" i="40"/>
  <c r="T224" i="40"/>
  <c r="X224" i="40"/>
  <c r="Z224" i="40"/>
  <c r="R224" i="40"/>
  <c r="AC224" i="40"/>
  <c r="AH224" i="40"/>
  <c r="AD224" i="40"/>
  <c r="AF224" i="40"/>
  <c r="AE224" i="40"/>
  <c r="AI224" i="40"/>
  <c r="AJ224" i="40"/>
  <c r="X186" i="40"/>
  <c r="V186" i="40"/>
  <c r="P186" i="40"/>
  <c r="U186" i="40"/>
  <c r="AF186" i="40"/>
  <c r="AH186" i="40"/>
  <c r="AC186" i="40"/>
  <c r="W186" i="40"/>
  <c r="AD186" i="40"/>
  <c r="Y186" i="40"/>
  <c r="AE186" i="40"/>
  <c r="S186" i="40"/>
  <c r="AA186" i="40"/>
  <c r="Z186" i="40"/>
  <c r="AG186" i="40"/>
  <c r="AJ186" i="40"/>
  <c r="AI186" i="40"/>
  <c r="AB186" i="40"/>
  <c r="R186" i="40"/>
  <c r="T186" i="40"/>
  <c r="AB205" i="40"/>
  <c r="W205" i="40"/>
  <c r="Y205" i="40"/>
  <c r="AI205" i="40"/>
  <c r="Z205" i="40"/>
  <c r="P205" i="40"/>
  <c r="AC205" i="40"/>
  <c r="S205" i="40"/>
  <c r="V205" i="40"/>
  <c r="AF205" i="40"/>
  <c r="AA205" i="40"/>
  <c r="U205" i="40"/>
  <c r="X205" i="40"/>
  <c r="T205" i="40"/>
  <c r="AH205" i="40"/>
  <c r="R205" i="40"/>
  <c r="AD205" i="40"/>
  <c r="AE205" i="40"/>
  <c r="AJ205" i="40"/>
  <c r="AG205" i="40"/>
  <c r="AC248" i="40"/>
  <c r="Z248" i="40"/>
  <c r="AF248" i="40"/>
  <c r="W248" i="40"/>
  <c r="AB248" i="40"/>
  <c r="X248" i="40"/>
  <c r="Y248" i="40"/>
  <c r="S248" i="40"/>
  <c r="P248" i="40"/>
  <c r="T248" i="40"/>
  <c r="U248" i="40"/>
  <c r="V248" i="40"/>
  <c r="AA248" i="40"/>
  <c r="R248" i="40"/>
  <c r="AD248" i="40"/>
  <c r="AJ248" i="40"/>
  <c r="AI248" i="40"/>
  <c r="AG248" i="40"/>
  <c r="AH248" i="40"/>
  <c r="AE248" i="40"/>
  <c r="AH274" i="40"/>
  <c r="Y274" i="40"/>
  <c r="T274" i="40"/>
  <c r="W274" i="40"/>
  <c r="Z274" i="40"/>
  <c r="P274" i="40"/>
  <c r="AJ274" i="40"/>
  <c r="AE274" i="40"/>
  <c r="AC274" i="40"/>
  <c r="AA274" i="40"/>
  <c r="AG274" i="40"/>
  <c r="U274" i="40"/>
  <c r="AD274" i="40"/>
  <c r="AI274" i="40"/>
  <c r="R274" i="40"/>
  <c r="AB274" i="40"/>
  <c r="V274" i="40"/>
  <c r="X274" i="40"/>
  <c r="S274" i="40"/>
  <c r="AF274" i="40"/>
  <c r="W150" i="40"/>
  <c r="E60" i="2" s="1"/>
  <c r="Z150" i="40"/>
  <c r="E78" i="2" s="1"/>
  <c r="AC152" i="40"/>
  <c r="E98" i="2" s="1"/>
  <c r="E99" i="2" s="1"/>
  <c r="E151" i="2" s="1"/>
  <c r="G815" i="2" s="1"/>
  <c r="I815" i="2" s="1"/>
  <c r="AF151" i="40"/>
  <c r="E115" i="2" s="1"/>
  <c r="W151" i="40"/>
  <c r="E61" i="2" s="1"/>
  <c r="AA148" i="40"/>
  <c r="E82" i="2" s="1"/>
  <c r="X196" i="40"/>
  <c r="U196" i="40"/>
  <c r="Z196" i="40"/>
  <c r="AF196" i="40"/>
  <c r="AA196" i="40"/>
  <c r="AB196" i="40"/>
  <c r="S196" i="40"/>
  <c r="T196" i="40"/>
  <c r="R196" i="40"/>
  <c r="V196" i="40"/>
  <c r="W196" i="40"/>
  <c r="Y196" i="40"/>
  <c r="P196" i="40"/>
  <c r="AC196" i="40"/>
  <c r="AE196" i="40"/>
  <c r="AG196" i="40"/>
  <c r="AI196" i="40"/>
  <c r="AH196" i="40"/>
  <c r="AD196" i="40"/>
  <c r="AJ196" i="40"/>
  <c r="Z218" i="40"/>
  <c r="AB218" i="40"/>
  <c r="X218" i="40"/>
  <c r="Y218" i="40"/>
  <c r="AA218" i="40"/>
  <c r="S218" i="40"/>
  <c r="T218" i="40"/>
  <c r="U218" i="40"/>
  <c r="V218" i="40"/>
  <c r="R218" i="40"/>
  <c r="P218" i="40"/>
  <c r="AH218" i="40"/>
  <c r="W218" i="40"/>
  <c r="AG218" i="40"/>
  <c r="AD218" i="40"/>
  <c r="AC218" i="40"/>
  <c r="AE218" i="40"/>
  <c r="AI218" i="40"/>
  <c r="AJ218" i="40"/>
  <c r="AF218" i="40"/>
  <c r="AE198" i="40"/>
  <c r="AB198" i="40"/>
  <c r="AJ198" i="40"/>
  <c r="V198" i="40"/>
  <c r="AH198" i="40"/>
  <c r="U198" i="40"/>
  <c r="S198" i="40"/>
  <c r="T198" i="40"/>
  <c r="Z198" i="40"/>
  <c r="R198" i="40"/>
  <c r="P198" i="40"/>
  <c r="AA198" i="40"/>
  <c r="AC198" i="40"/>
  <c r="W198" i="40"/>
  <c r="Y198" i="40"/>
  <c r="X198" i="40"/>
  <c r="AF198" i="40"/>
  <c r="AG198" i="40"/>
  <c r="AD198" i="40"/>
  <c r="AI198" i="40"/>
  <c r="AG213" i="40"/>
  <c r="AE213" i="40"/>
  <c r="W213" i="40"/>
  <c r="X213" i="40"/>
  <c r="Y213" i="40"/>
  <c r="Z213" i="40"/>
  <c r="R213" i="40"/>
  <c r="S213" i="40"/>
  <c r="T213" i="40"/>
  <c r="AD213" i="40"/>
  <c r="U213" i="40"/>
  <c r="AJ213" i="40"/>
  <c r="V213" i="40"/>
  <c r="AA213" i="40"/>
  <c r="AB213" i="40"/>
  <c r="P213" i="40"/>
  <c r="AH213" i="40"/>
  <c r="AC213" i="40"/>
  <c r="AF213" i="40"/>
  <c r="AI213" i="40"/>
  <c r="S261" i="40"/>
  <c r="AA261" i="40"/>
  <c r="T261" i="40"/>
  <c r="U261" i="40"/>
  <c r="V261" i="40"/>
  <c r="AI261" i="40"/>
  <c r="Y261" i="40"/>
  <c r="P261" i="40"/>
  <c r="Z261" i="40"/>
  <c r="W261" i="40"/>
  <c r="R261" i="40"/>
  <c r="X261" i="40"/>
  <c r="AG261" i="40"/>
  <c r="AH261" i="40"/>
  <c r="AD261" i="40"/>
  <c r="AJ261" i="40"/>
  <c r="AB261" i="40"/>
  <c r="AF261" i="40"/>
  <c r="AC261" i="40"/>
  <c r="AE261" i="40"/>
  <c r="AI148" i="40"/>
  <c r="E124" i="2" s="1"/>
  <c r="AD148" i="40"/>
  <c r="E100" i="2" s="1"/>
  <c r="AJ151" i="40"/>
  <c r="E133" i="2" s="1"/>
  <c r="AE149" i="40"/>
  <c r="E107" i="2" s="1"/>
  <c r="AA152" i="40"/>
  <c r="E86" i="2" s="1"/>
  <c r="E87" i="2" s="1"/>
  <c r="E149" i="2" s="1"/>
  <c r="Z149" i="40"/>
  <c r="E77" i="2" s="1"/>
  <c r="AJ148" i="40"/>
  <c r="E130" i="2" s="1"/>
  <c r="AE150" i="40"/>
  <c r="E108" i="2" s="1"/>
  <c r="AJ152" i="40"/>
  <c r="E134" i="2" s="1"/>
  <c r="AB152" i="40"/>
  <c r="E92" i="2" s="1"/>
  <c r="E93" i="2" s="1"/>
  <c r="E150" i="2" s="1"/>
  <c r="G814" i="2" s="1"/>
  <c r="I814" i="2" s="1"/>
  <c r="T150" i="40"/>
  <c r="E42" i="2" s="1"/>
  <c r="AD150" i="40"/>
  <c r="E102" i="2" s="1"/>
  <c r="T149" i="40"/>
  <c r="E41" i="2" s="1"/>
  <c r="T148" i="40"/>
  <c r="E40" i="2" s="1"/>
  <c r="T151" i="40"/>
  <c r="E43" i="2" s="1"/>
  <c r="AG216" i="40"/>
  <c r="AD216" i="40"/>
  <c r="T216" i="40"/>
  <c r="AF216" i="40"/>
  <c r="X216" i="40"/>
  <c r="AI216" i="40"/>
  <c r="Y216" i="40"/>
  <c r="Z216" i="40"/>
  <c r="U216" i="40"/>
  <c r="V216" i="40"/>
  <c r="P216" i="40"/>
  <c r="W216" i="40"/>
  <c r="R216" i="40"/>
  <c r="AA216" i="40"/>
  <c r="AB216" i="40"/>
  <c r="S216" i="40"/>
  <c r="AJ216" i="40"/>
  <c r="AC216" i="40"/>
  <c r="AH216" i="40"/>
  <c r="AE216" i="40"/>
  <c r="AI247" i="40"/>
  <c r="AH247" i="40"/>
  <c r="AB247" i="40"/>
  <c r="S247" i="40"/>
  <c r="AA247" i="40"/>
  <c r="AJ247" i="40"/>
  <c r="W247" i="40"/>
  <c r="R247" i="40"/>
  <c r="X247" i="40"/>
  <c r="Y247" i="40"/>
  <c r="AC247" i="40"/>
  <c r="AE247" i="40"/>
  <c r="AF247" i="40"/>
  <c r="P247" i="40"/>
  <c r="Z247" i="40"/>
  <c r="T247" i="40"/>
  <c r="U247" i="40"/>
  <c r="V247" i="40"/>
  <c r="AG247" i="40"/>
  <c r="AD247" i="40"/>
  <c r="AG297" i="40"/>
  <c r="AH297" i="40"/>
  <c r="T297" i="40"/>
  <c r="V297" i="40"/>
  <c r="Z297" i="40"/>
  <c r="AA297" i="40"/>
  <c r="AD297" i="40"/>
  <c r="AJ297" i="40"/>
  <c r="S297" i="40"/>
  <c r="U297" i="40"/>
  <c r="P297" i="40"/>
  <c r="Y297" i="40"/>
  <c r="W297" i="40"/>
  <c r="X297" i="40"/>
  <c r="R297" i="40"/>
  <c r="AC297" i="40"/>
  <c r="AE297" i="40"/>
  <c r="AF297" i="40"/>
  <c r="AI297" i="40"/>
  <c r="AB297" i="40"/>
  <c r="AE181" i="40"/>
  <c r="AB181" i="40"/>
  <c r="V181" i="40"/>
  <c r="AC181" i="40"/>
  <c r="AA181" i="40"/>
  <c r="AH181" i="40"/>
  <c r="Y181" i="40"/>
  <c r="W181" i="40"/>
  <c r="X181" i="40"/>
  <c r="Z181" i="40"/>
  <c r="T181" i="40"/>
  <c r="U181" i="40"/>
  <c r="R181" i="40"/>
  <c r="AJ181" i="40"/>
  <c r="P181" i="40"/>
  <c r="S181" i="40"/>
  <c r="AI181" i="40"/>
  <c r="AG181" i="40"/>
  <c r="AD181" i="40"/>
  <c r="AF181" i="40"/>
  <c r="AE254" i="40"/>
  <c r="AB254" i="40"/>
  <c r="Y254" i="40"/>
  <c r="S254" i="40"/>
  <c r="T254" i="40"/>
  <c r="U254" i="40"/>
  <c r="V254" i="40"/>
  <c r="W254" i="40"/>
  <c r="X254" i="40"/>
  <c r="Z254" i="40"/>
  <c r="AH254" i="40"/>
  <c r="P254" i="40"/>
  <c r="R254" i="40"/>
  <c r="AA254" i="40"/>
  <c r="AI254" i="40"/>
  <c r="AJ254" i="40"/>
  <c r="AD254" i="40"/>
  <c r="AG254" i="40"/>
  <c r="AC254" i="40"/>
  <c r="AF254" i="40"/>
  <c r="AE286" i="40"/>
  <c r="Z286" i="40"/>
  <c r="S286" i="40"/>
  <c r="U286" i="40"/>
  <c r="R286" i="40"/>
  <c r="AB286" i="40"/>
  <c r="T286" i="40"/>
  <c r="V286" i="40"/>
  <c r="AD286" i="40"/>
  <c r="W286" i="40"/>
  <c r="AG286" i="40"/>
  <c r="AI286" i="40"/>
  <c r="P286" i="40"/>
  <c r="X286" i="40"/>
  <c r="AA286" i="40"/>
  <c r="Y286" i="40"/>
  <c r="AF286" i="40"/>
  <c r="AJ286" i="40"/>
  <c r="AC286" i="40"/>
  <c r="AH286" i="40"/>
  <c r="AI291" i="40"/>
  <c r="AF291" i="40"/>
  <c r="AJ291" i="40"/>
  <c r="AD291" i="40"/>
  <c r="T291" i="40"/>
  <c r="AH291" i="40"/>
  <c r="V291" i="40"/>
  <c r="Z291" i="40"/>
  <c r="AB291" i="40"/>
  <c r="AA291" i="40"/>
  <c r="AC291" i="40"/>
  <c r="R291" i="40"/>
  <c r="S291" i="40"/>
  <c r="X291" i="40"/>
  <c r="Y291" i="40"/>
  <c r="P291" i="40"/>
  <c r="U291" i="40"/>
  <c r="W291" i="40"/>
  <c r="AE291" i="40"/>
  <c r="AG291" i="40"/>
  <c r="Y169" i="40"/>
  <c r="AG169" i="40"/>
  <c r="AA169" i="40"/>
  <c r="X169" i="40"/>
  <c r="R169" i="40"/>
  <c r="U169" i="40"/>
  <c r="P169" i="40"/>
  <c r="S169" i="40"/>
  <c r="AJ169" i="40"/>
  <c r="AB169" i="40"/>
  <c r="AE169" i="40"/>
  <c r="V169" i="40"/>
  <c r="AF169" i="40"/>
  <c r="W169" i="40"/>
  <c r="AD169" i="40"/>
  <c r="Z169" i="40"/>
  <c r="AH169" i="40"/>
  <c r="T169" i="40"/>
  <c r="AC169" i="40"/>
  <c r="AI169" i="40"/>
  <c r="AF251" i="40"/>
  <c r="AE251" i="40"/>
  <c r="W251" i="40"/>
  <c r="V251" i="40"/>
  <c r="X251" i="40"/>
  <c r="Y251" i="40"/>
  <c r="R251" i="40"/>
  <c r="AB251" i="40"/>
  <c r="AC251" i="40"/>
  <c r="S251" i="40"/>
  <c r="P251" i="40"/>
  <c r="T251" i="40"/>
  <c r="U251" i="40"/>
  <c r="AA251" i="40"/>
  <c r="Z251" i="40"/>
  <c r="AH251" i="40"/>
  <c r="AI251" i="40"/>
  <c r="AJ251" i="40"/>
  <c r="AD251" i="40"/>
  <c r="AG251" i="40"/>
  <c r="AH226" i="40"/>
  <c r="AJ226" i="40"/>
  <c r="S226" i="40"/>
  <c r="AA226" i="40"/>
  <c r="Y226" i="40"/>
  <c r="Z226" i="40"/>
  <c r="R226" i="40"/>
  <c r="AB226" i="40"/>
  <c r="T226" i="40"/>
  <c r="X226" i="40"/>
  <c r="AC226" i="40"/>
  <c r="P226" i="40"/>
  <c r="U226" i="40"/>
  <c r="AE226" i="40"/>
  <c r="V226" i="40"/>
  <c r="W226" i="40"/>
  <c r="AF226" i="40"/>
  <c r="AI226" i="40"/>
  <c r="AD226" i="40"/>
  <c r="AG226" i="40"/>
  <c r="AB212" i="40"/>
  <c r="U212" i="40"/>
  <c r="W212" i="40"/>
  <c r="X212" i="40"/>
  <c r="P212" i="40"/>
  <c r="Z212" i="40"/>
  <c r="AG212" i="40"/>
  <c r="R212" i="40"/>
  <c r="AD212" i="40"/>
  <c r="AF212" i="40"/>
  <c r="AJ212" i="40"/>
  <c r="S212" i="40"/>
  <c r="V212" i="40"/>
  <c r="AE212" i="40"/>
  <c r="AI212" i="40"/>
  <c r="Y212" i="40"/>
  <c r="AH212" i="40"/>
  <c r="AC212" i="40"/>
  <c r="AA212" i="40"/>
  <c r="T212" i="40"/>
  <c r="AH288" i="40"/>
  <c r="T288" i="40"/>
  <c r="AA288" i="40"/>
  <c r="R288" i="40"/>
  <c r="P288" i="40"/>
  <c r="AF288" i="40"/>
  <c r="AE288" i="40"/>
  <c r="AJ288" i="40"/>
  <c r="U288" i="40"/>
  <c r="AD288" i="40"/>
  <c r="S288" i="40"/>
  <c r="AI288" i="40"/>
  <c r="AC288" i="40"/>
  <c r="V288" i="40"/>
  <c r="Y288" i="40"/>
  <c r="AB288" i="40"/>
  <c r="X288" i="40"/>
  <c r="Z288" i="40"/>
  <c r="AG288" i="40"/>
  <c r="W288" i="40"/>
  <c r="AF296" i="40"/>
  <c r="R296" i="40"/>
  <c r="AD296" i="40"/>
  <c r="AJ296" i="40"/>
  <c r="T296" i="40"/>
  <c r="Y296" i="40"/>
  <c r="AA296" i="40"/>
  <c r="AB296" i="40"/>
  <c r="S296" i="40"/>
  <c r="P296" i="40"/>
  <c r="AI296" i="40"/>
  <c r="AH296" i="40"/>
  <c r="AC296" i="40"/>
  <c r="AE296" i="40"/>
  <c r="AG296" i="40"/>
  <c r="X296" i="40"/>
  <c r="W296" i="40"/>
  <c r="Z296" i="40"/>
  <c r="U296" i="40"/>
  <c r="V296" i="40"/>
  <c r="AG151" i="40"/>
  <c r="S151" i="40"/>
  <c r="E37" i="2" s="1"/>
  <c r="AG150" i="40"/>
  <c r="AF207" i="40"/>
  <c r="X207" i="40"/>
  <c r="S207" i="40"/>
  <c r="T207" i="40"/>
  <c r="U207" i="40"/>
  <c r="P207" i="40"/>
  <c r="V207" i="40"/>
  <c r="W207" i="40"/>
  <c r="Y207" i="40"/>
  <c r="AA207" i="40"/>
  <c r="R207" i="40"/>
  <c r="Z207" i="40"/>
  <c r="AI207" i="40"/>
  <c r="AB207" i="40"/>
  <c r="AD207" i="40"/>
  <c r="AE207" i="40"/>
  <c r="AC207" i="40"/>
  <c r="AH207" i="40"/>
  <c r="AG207" i="40"/>
  <c r="AJ207" i="40"/>
  <c r="AE301" i="40"/>
  <c r="V301" i="40"/>
  <c r="AC301" i="40"/>
  <c r="X301" i="40"/>
  <c r="S301" i="40"/>
  <c r="R301" i="40"/>
  <c r="AH301" i="40"/>
  <c r="T301" i="40"/>
  <c r="AI301" i="40"/>
  <c r="U301" i="40"/>
  <c r="W301" i="40"/>
  <c r="Y301" i="40"/>
  <c r="P301" i="40"/>
  <c r="Z301" i="40"/>
  <c r="AA301" i="40"/>
  <c r="AG301" i="40"/>
  <c r="AB301" i="40"/>
  <c r="AD301" i="40"/>
  <c r="AF301" i="40"/>
  <c r="AJ301" i="40"/>
  <c r="AF220" i="40"/>
  <c r="AG220" i="40"/>
  <c r="X220" i="40"/>
  <c r="Y220" i="40"/>
  <c r="AD220" i="40"/>
  <c r="AB220" i="40"/>
  <c r="Z220" i="40"/>
  <c r="AI220" i="40"/>
  <c r="AA220" i="40"/>
  <c r="P220" i="40"/>
  <c r="S220" i="40"/>
  <c r="T220" i="40"/>
  <c r="U220" i="40"/>
  <c r="V220" i="40"/>
  <c r="R220" i="40"/>
  <c r="W220" i="40"/>
  <c r="AE220" i="40"/>
  <c r="AC220" i="40"/>
  <c r="AJ220" i="40"/>
  <c r="AH220" i="40"/>
  <c r="AI240" i="40"/>
  <c r="AC240" i="40"/>
  <c r="AD240" i="40"/>
  <c r="U240" i="40"/>
  <c r="AF240" i="40"/>
  <c r="AB240" i="40"/>
  <c r="AA240" i="40"/>
  <c r="S240" i="40"/>
  <c r="T240" i="40"/>
  <c r="V240" i="40"/>
  <c r="P240" i="40"/>
  <c r="W240" i="40"/>
  <c r="R240" i="40"/>
  <c r="X240" i="40"/>
  <c r="Y240" i="40"/>
  <c r="Z240" i="40"/>
  <c r="AJ240" i="40"/>
  <c r="AE240" i="40"/>
  <c r="AH240" i="40"/>
  <c r="AG240" i="40"/>
  <c r="AC275" i="40"/>
  <c r="Y275" i="40"/>
  <c r="AB275" i="40"/>
  <c r="AE275" i="40"/>
  <c r="V275" i="40"/>
  <c r="AJ275" i="40"/>
  <c r="X275" i="40"/>
  <c r="AA275" i="40"/>
  <c r="P275" i="40"/>
  <c r="S275" i="40"/>
  <c r="T275" i="40"/>
  <c r="U275" i="40"/>
  <c r="W275" i="40"/>
  <c r="Z275" i="40"/>
  <c r="R275" i="40"/>
  <c r="AH275" i="40"/>
  <c r="AI275" i="40"/>
  <c r="AF275" i="40"/>
  <c r="AG275" i="40"/>
  <c r="AD275" i="40"/>
  <c r="V209" i="40"/>
  <c r="AA209" i="40"/>
  <c r="S209" i="40"/>
  <c r="T209" i="40"/>
  <c r="U209" i="40"/>
  <c r="W209" i="40"/>
  <c r="X209" i="40"/>
  <c r="AB209" i="40"/>
  <c r="Y209" i="40"/>
  <c r="Z209" i="40"/>
  <c r="P209" i="40"/>
  <c r="AE209" i="40"/>
  <c r="R209" i="40"/>
  <c r="AJ209" i="40"/>
  <c r="AH209" i="40"/>
  <c r="AG209" i="40"/>
  <c r="AD209" i="40"/>
  <c r="AC209" i="40"/>
  <c r="AI209" i="40"/>
  <c r="AF209" i="40"/>
  <c r="AN149" i="40"/>
  <c r="E138" i="2" s="1"/>
  <c r="E160" i="2" s="1"/>
  <c r="G823" i="2" s="1"/>
  <c r="I823" i="2" s="1"/>
  <c r="W223" i="40"/>
  <c r="T223" i="40"/>
  <c r="U223" i="40"/>
  <c r="Z223" i="40"/>
  <c r="P223" i="40"/>
  <c r="AJ223" i="40"/>
  <c r="S223" i="40"/>
  <c r="AI223" i="40"/>
  <c r="V223" i="40"/>
  <c r="AF223" i="40"/>
  <c r="R223" i="40"/>
  <c r="AB223" i="40"/>
  <c r="X223" i="40"/>
  <c r="Y223" i="40"/>
  <c r="AH223" i="40"/>
  <c r="AE223" i="40"/>
  <c r="AG223" i="40"/>
  <c r="AA223" i="40"/>
  <c r="AD223" i="40"/>
  <c r="AC223" i="40"/>
  <c r="AG306" i="40"/>
  <c r="AI306" i="40"/>
  <c r="Y306" i="40"/>
  <c r="AC306" i="40"/>
  <c r="S306" i="40"/>
  <c r="AA306" i="40"/>
  <c r="Z306" i="40"/>
  <c r="W306" i="40"/>
  <c r="AF306" i="40"/>
  <c r="X306" i="40"/>
  <c r="R306" i="40"/>
  <c r="T306" i="40"/>
  <c r="U306" i="40"/>
  <c r="P306" i="40"/>
  <c r="V306" i="40"/>
  <c r="AD306" i="40"/>
  <c r="AE306" i="40"/>
  <c r="AH306" i="40"/>
  <c r="AJ306" i="40"/>
  <c r="AB306" i="40"/>
  <c r="AE201" i="40"/>
  <c r="S201" i="40"/>
  <c r="AA201" i="40"/>
  <c r="V201" i="40"/>
  <c r="AG201" i="40"/>
  <c r="AB201" i="40"/>
  <c r="W201" i="40"/>
  <c r="AJ201" i="40"/>
  <c r="X201" i="40"/>
  <c r="Y201" i="40"/>
  <c r="R201" i="40"/>
  <c r="T201" i="40"/>
  <c r="U201" i="40"/>
  <c r="AD201" i="40"/>
  <c r="Z201" i="40"/>
  <c r="P201" i="40"/>
  <c r="AC201" i="40"/>
  <c r="AI201" i="40"/>
  <c r="AF201" i="40"/>
  <c r="AH201" i="40"/>
  <c r="AG200" i="40"/>
  <c r="AI200" i="40"/>
  <c r="T200" i="40"/>
  <c r="V200" i="40"/>
  <c r="U200" i="40"/>
  <c r="W200" i="40"/>
  <c r="X200" i="40"/>
  <c r="Z200" i="40"/>
  <c r="AA200" i="40"/>
  <c r="R200" i="40"/>
  <c r="AD200" i="40"/>
  <c r="AB200" i="40"/>
  <c r="AF200" i="40"/>
  <c r="S200" i="40"/>
  <c r="Y200" i="40"/>
  <c r="P200" i="40"/>
  <c r="AJ200" i="40"/>
  <c r="AE200" i="40"/>
  <c r="AH200" i="40"/>
  <c r="AC200" i="40"/>
  <c r="Y206" i="40"/>
  <c r="W206" i="40"/>
  <c r="S206" i="40"/>
  <c r="AE206" i="40"/>
  <c r="AB206" i="40"/>
  <c r="T206" i="40"/>
  <c r="X206" i="40"/>
  <c r="Z206" i="40"/>
  <c r="AA206" i="40"/>
  <c r="U206" i="40"/>
  <c r="V206" i="40"/>
  <c r="R206" i="40"/>
  <c r="P206" i="40"/>
  <c r="AC206" i="40"/>
  <c r="AF206" i="40"/>
  <c r="AG206" i="40"/>
  <c r="AD206" i="40"/>
  <c r="AH206" i="40"/>
  <c r="AJ206" i="40"/>
  <c r="AI206" i="40"/>
  <c r="AH152" i="40"/>
  <c r="E122" i="2" s="1"/>
  <c r="AH148" i="40"/>
  <c r="E118" i="2" s="1"/>
  <c r="R151" i="40"/>
  <c r="E31" i="2" s="1"/>
  <c r="Y150" i="40"/>
  <c r="E72" i="2" s="1"/>
  <c r="AG152" i="40"/>
  <c r="X152" i="40"/>
  <c r="E68" i="2" s="1"/>
  <c r="Z148" i="40"/>
  <c r="E76" i="2" s="1"/>
  <c r="AE152" i="40"/>
  <c r="E110" i="2" s="1"/>
  <c r="AD151" i="40"/>
  <c r="E103" i="2" s="1"/>
  <c r="R148" i="40"/>
  <c r="E28" i="2" s="1"/>
  <c r="AF231" i="40"/>
  <c r="V231" i="40"/>
  <c r="Z231" i="40"/>
  <c r="AC231" i="40"/>
  <c r="AA231" i="40"/>
  <c r="AH231" i="40"/>
  <c r="S231" i="40"/>
  <c r="R231" i="40"/>
  <c r="Y231" i="40"/>
  <c r="T231" i="40"/>
  <c r="U231" i="40"/>
  <c r="AI231" i="40"/>
  <c r="W231" i="40"/>
  <c r="X231" i="40"/>
  <c r="AB231" i="40"/>
  <c r="P231" i="40"/>
  <c r="AE231" i="40"/>
  <c r="AJ231" i="40"/>
  <c r="AD231" i="40"/>
  <c r="AG231" i="40"/>
  <c r="R283" i="40"/>
  <c r="AE283" i="40"/>
  <c r="V283" i="40"/>
  <c r="AG283" i="40"/>
  <c r="S283" i="40"/>
  <c r="X283" i="40"/>
  <c r="Y283" i="40"/>
  <c r="AA283" i="40"/>
  <c r="P283" i="40"/>
  <c r="AC283" i="40"/>
  <c r="AH283" i="40"/>
  <c r="W283" i="40"/>
  <c r="AI283" i="40"/>
  <c r="AJ283" i="40"/>
  <c r="Z283" i="40"/>
  <c r="AD283" i="40"/>
  <c r="U283" i="40"/>
  <c r="AB283" i="40"/>
  <c r="AF283" i="40"/>
  <c r="T283" i="40"/>
  <c r="X225" i="40"/>
  <c r="Z225" i="40"/>
  <c r="AA225" i="40"/>
  <c r="S225" i="40"/>
  <c r="U225" i="40"/>
  <c r="P225" i="40"/>
  <c r="AB225" i="40"/>
  <c r="AI225" i="40"/>
  <c r="V225" i="40"/>
  <c r="AC225" i="40"/>
  <c r="R225" i="40"/>
  <c r="W225" i="40"/>
  <c r="AF225" i="40"/>
  <c r="AJ225" i="40"/>
  <c r="AD225" i="40"/>
  <c r="T225" i="40"/>
  <c r="AE225" i="40"/>
  <c r="AH225" i="40"/>
  <c r="AG225" i="40"/>
  <c r="Y225" i="40"/>
  <c r="AG197" i="40"/>
  <c r="AJ197" i="40"/>
  <c r="AB197" i="40"/>
  <c r="W197" i="40"/>
  <c r="U197" i="40"/>
  <c r="AA197" i="40"/>
  <c r="S197" i="40"/>
  <c r="T197" i="40"/>
  <c r="V197" i="40"/>
  <c r="X197" i="40"/>
  <c r="AD197" i="40"/>
  <c r="Y197" i="40"/>
  <c r="AE197" i="40"/>
  <c r="R197" i="40"/>
  <c r="Z197" i="40"/>
  <c r="P197" i="40"/>
  <c r="AH197" i="40"/>
  <c r="AC197" i="40"/>
  <c r="AF197" i="40"/>
  <c r="AI197" i="40"/>
  <c r="V222" i="40"/>
  <c r="Y222" i="40"/>
  <c r="Z222" i="40"/>
  <c r="AB222" i="40"/>
  <c r="AA222" i="40"/>
  <c r="X222" i="40"/>
  <c r="R222" i="40"/>
  <c r="S222" i="40"/>
  <c r="T222" i="40"/>
  <c r="W222" i="40"/>
  <c r="U222" i="40"/>
  <c r="P222" i="40"/>
  <c r="AE222" i="40"/>
  <c r="AG222" i="40"/>
  <c r="AI222" i="40"/>
  <c r="AD222" i="40"/>
  <c r="AH222" i="40"/>
  <c r="AC222" i="40"/>
  <c r="AJ222" i="40"/>
  <c r="AF222" i="40"/>
  <c r="AE234" i="40"/>
  <c r="S234" i="40"/>
  <c r="AA234" i="40"/>
  <c r="AI234" i="40"/>
  <c r="Z234" i="40"/>
  <c r="AB234" i="40"/>
  <c r="T234" i="40"/>
  <c r="AH234" i="40"/>
  <c r="U234" i="40"/>
  <c r="V234" i="40"/>
  <c r="W234" i="40"/>
  <c r="X234" i="40"/>
  <c r="Y234" i="40"/>
  <c r="P234" i="40"/>
  <c r="R234" i="40"/>
  <c r="AF234" i="40"/>
  <c r="AD234" i="40"/>
  <c r="AC234" i="40"/>
  <c r="AG234" i="40"/>
  <c r="AJ234" i="40"/>
  <c r="AH211" i="40"/>
  <c r="AB211" i="40"/>
  <c r="T211" i="40"/>
  <c r="AI211" i="40"/>
  <c r="AA211" i="40"/>
  <c r="S211" i="40"/>
  <c r="AC211" i="40"/>
  <c r="U211" i="40"/>
  <c r="V211" i="40"/>
  <c r="W211" i="40"/>
  <c r="P211" i="40"/>
  <c r="AF211" i="40"/>
  <c r="R211" i="40"/>
  <c r="Y211" i="40"/>
  <c r="X211" i="40"/>
  <c r="Z211" i="40"/>
  <c r="AG211" i="40"/>
  <c r="AD211" i="40"/>
  <c r="AJ211" i="40"/>
  <c r="AE211" i="40"/>
  <c r="AG246" i="40"/>
  <c r="T246" i="40"/>
  <c r="AH246" i="40"/>
  <c r="AB246" i="40"/>
  <c r="W246" i="40"/>
  <c r="AJ246" i="40"/>
  <c r="X246" i="40"/>
  <c r="Y246" i="40"/>
  <c r="U246" i="40"/>
  <c r="V246" i="40"/>
  <c r="AE246" i="40"/>
  <c r="Z246" i="40"/>
  <c r="AA246" i="40"/>
  <c r="P246" i="40"/>
  <c r="S246" i="40"/>
  <c r="R246" i="40"/>
  <c r="AC246" i="40"/>
  <c r="AF246" i="40"/>
  <c r="AI246" i="40"/>
  <c r="AD246" i="40"/>
  <c r="A13" i="33"/>
  <c r="X255" i="40"/>
  <c r="AH255" i="40"/>
  <c r="S255" i="40"/>
  <c r="T255" i="40"/>
  <c r="U255" i="40"/>
  <c r="Z255" i="40"/>
  <c r="AF255" i="40"/>
  <c r="AA255" i="40"/>
  <c r="Y255" i="40"/>
  <c r="P255" i="40"/>
  <c r="R255" i="40"/>
  <c r="V255" i="40"/>
  <c r="W255" i="40"/>
  <c r="AC255" i="40"/>
  <c r="AB255" i="40"/>
  <c r="AI255" i="40"/>
  <c r="AJ255" i="40"/>
  <c r="AG255" i="40"/>
  <c r="AD255" i="40"/>
  <c r="AE255" i="40"/>
  <c r="AI305" i="40"/>
  <c r="AH305" i="40"/>
  <c r="Z305" i="40"/>
  <c r="R305" i="40"/>
  <c r="T305" i="40"/>
  <c r="X305" i="40"/>
  <c r="Y305" i="40"/>
  <c r="AC305" i="40"/>
  <c r="AA305" i="40"/>
  <c r="AE305" i="40"/>
  <c r="S305" i="40"/>
  <c r="U305" i="40"/>
  <c r="V305" i="40"/>
  <c r="P305" i="40"/>
  <c r="W305" i="40"/>
  <c r="AF305" i="40"/>
  <c r="AB305" i="40"/>
  <c r="AG305" i="40"/>
  <c r="AD305" i="40"/>
  <c r="AJ305" i="40"/>
  <c r="AE263" i="40"/>
  <c r="U263" i="40"/>
  <c r="Z263" i="40"/>
  <c r="W263" i="40"/>
  <c r="P263" i="40"/>
  <c r="T263" i="40"/>
  <c r="X263" i="40"/>
  <c r="AJ263" i="40"/>
  <c r="S263" i="40"/>
  <c r="AD263" i="40"/>
  <c r="AA263" i="40"/>
  <c r="AH263" i="40"/>
  <c r="AG263" i="40"/>
  <c r="AB263" i="40"/>
  <c r="AI263" i="40"/>
  <c r="Y263" i="40"/>
  <c r="AC263" i="40"/>
  <c r="AF263" i="40"/>
  <c r="V263" i="40"/>
  <c r="R263" i="40"/>
  <c r="Z182" i="40"/>
  <c r="Y182" i="40"/>
  <c r="AF182" i="40"/>
  <c r="X182" i="40"/>
  <c r="R182" i="40"/>
  <c r="AH182" i="40"/>
  <c r="AA182" i="40"/>
  <c r="AI182" i="40"/>
  <c r="P182" i="40"/>
  <c r="AB182" i="40"/>
  <c r="S182" i="40"/>
  <c r="T182" i="40"/>
  <c r="W182" i="40"/>
  <c r="AC182" i="40"/>
  <c r="V182" i="40"/>
  <c r="U182" i="40"/>
  <c r="AD182" i="40"/>
  <c r="AG182" i="40"/>
  <c r="AJ182" i="40"/>
  <c r="AE182" i="40"/>
  <c r="AE184" i="40"/>
  <c r="X184" i="40"/>
  <c r="Z184" i="40"/>
  <c r="AJ184" i="40"/>
  <c r="S184" i="40"/>
  <c r="T184" i="40"/>
  <c r="R184" i="40"/>
  <c r="AA184" i="40"/>
  <c r="AD184" i="40"/>
  <c r="AG184" i="40"/>
  <c r="AB184" i="40"/>
  <c r="P184" i="40"/>
  <c r="U184" i="40"/>
  <c r="V184" i="40"/>
  <c r="W184" i="40"/>
  <c r="Y184" i="40"/>
  <c r="AH184" i="40"/>
  <c r="AI184" i="40"/>
  <c r="AF184" i="40"/>
  <c r="AC184" i="40"/>
  <c r="AE294" i="40"/>
  <c r="AJ294" i="40"/>
  <c r="AF294" i="40"/>
  <c r="U294" i="40"/>
  <c r="W294" i="40"/>
  <c r="V294" i="40"/>
  <c r="X294" i="40"/>
  <c r="AB294" i="40"/>
  <c r="Y294" i="40"/>
  <c r="S294" i="40"/>
  <c r="R294" i="40"/>
  <c r="T294" i="40"/>
  <c r="AA294" i="40"/>
  <c r="Z294" i="40"/>
  <c r="P294" i="40"/>
  <c r="AD294" i="40"/>
  <c r="AI294" i="40"/>
  <c r="AG294" i="40"/>
  <c r="AH294" i="40"/>
  <c r="AC294" i="40"/>
  <c r="AI268" i="40"/>
  <c r="AC268" i="40"/>
  <c r="AB268" i="40"/>
  <c r="Z268" i="40"/>
  <c r="Y268" i="40"/>
  <c r="S268" i="40"/>
  <c r="AA268" i="40"/>
  <c r="AD268" i="40"/>
  <c r="AF268" i="40"/>
  <c r="T268" i="40"/>
  <c r="U268" i="40"/>
  <c r="V268" i="40"/>
  <c r="W268" i="40"/>
  <c r="X268" i="40"/>
  <c r="R268" i="40"/>
  <c r="P268" i="40"/>
  <c r="AG268" i="40"/>
  <c r="AJ268" i="40"/>
  <c r="AE268" i="40"/>
  <c r="AH268" i="40"/>
  <c r="W253" i="40"/>
  <c r="P253" i="40"/>
  <c r="R253" i="40"/>
  <c r="T253" i="40"/>
  <c r="V253" i="40"/>
  <c r="Y253" i="40"/>
  <c r="AF253" i="40"/>
  <c r="AI253" i="40"/>
  <c r="AC253" i="40"/>
  <c r="AA253" i="40"/>
  <c r="AJ253" i="40"/>
  <c r="U253" i="40"/>
  <c r="AB253" i="40"/>
  <c r="X253" i="40"/>
  <c r="AG253" i="40"/>
  <c r="AD253" i="40"/>
  <c r="Z253" i="40"/>
  <c r="S253" i="40"/>
  <c r="AH253" i="40"/>
  <c r="AE253" i="40"/>
  <c r="AE304" i="40"/>
  <c r="AJ304" i="40"/>
  <c r="AG304" i="40"/>
  <c r="S304" i="40"/>
  <c r="AA304" i="40"/>
  <c r="AB304" i="40"/>
  <c r="U304" i="40"/>
  <c r="AC304" i="40"/>
  <c r="W304" i="40"/>
  <c r="X304" i="40"/>
  <c r="Y304" i="40"/>
  <c r="Z304" i="40"/>
  <c r="P304" i="40"/>
  <c r="T304" i="40"/>
  <c r="R304" i="40"/>
  <c r="V304" i="40"/>
  <c r="AH304" i="40"/>
  <c r="AI304" i="40"/>
  <c r="AD304" i="40"/>
  <c r="AF304" i="40"/>
  <c r="AC171" i="40"/>
  <c r="AE171" i="40"/>
  <c r="X171" i="40"/>
  <c r="AA171" i="40"/>
  <c r="W171" i="40"/>
  <c r="U171" i="40"/>
  <c r="V171" i="40"/>
  <c r="AH171" i="40"/>
  <c r="Y171" i="40"/>
  <c r="P171" i="40"/>
  <c r="S171" i="40"/>
  <c r="AB171" i="40"/>
  <c r="T171" i="40"/>
  <c r="R171" i="40"/>
  <c r="Z171" i="40"/>
  <c r="AF171" i="40"/>
  <c r="AI171" i="40"/>
  <c r="AJ171" i="40"/>
  <c r="AD171" i="40"/>
  <c r="AG171" i="40"/>
  <c r="AC151" i="40"/>
  <c r="E97" i="2" s="1"/>
  <c r="U152" i="40"/>
  <c r="E50" i="2" s="1"/>
  <c r="AH151" i="40"/>
  <c r="E121" i="2" s="1"/>
  <c r="W152" i="40"/>
  <c r="E62" i="2" s="1"/>
  <c r="E63" i="2" s="1"/>
  <c r="E145" i="2" s="1"/>
  <c r="G809" i="2" s="1"/>
  <c r="I809" i="2" s="1"/>
  <c r="AM149" i="40"/>
  <c r="E137" i="2" s="1"/>
  <c r="E159" i="2" s="1"/>
  <c r="AJ150" i="40"/>
  <c r="E132" i="2" s="1"/>
  <c r="AJ149" i="40"/>
  <c r="E131" i="2" s="1"/>
  <c r="AI149" i="40"/>
  <c r="E125" i="2" s="1"/>
  <c r="W148" i="40"/>
  <c r="E58" i="2" s="1"/>
  <c r="V148" i="40"/>
  <c r="E52" i="2" s="1"/>
  <c r="X148" i="40"/>
  <c r="E64" i="2" s="1"/>
  <c r="W149" i="40"/>
  <c r="E59" i="2" s="1"/>
  <c r="T152" i="40"/>
  <c r="E44" i="2" s="1"/>
  <c r="Z152" i="40"/>
  <c r="E80" i="2" s="1"/>
  <c r="E81" i="2" s="1"/>
  <c r="E148" i="2" s="1"/>
  <c r="G812" i="2" s="1"/>
  <c r="I812" i="2" s="1"/>
  <c r="X179" i="40"/>
  <c r="AA179" i="40"/>
  <c r="V179" i="40"/>
  <c r="S179" i="40"/>
  <c r="AB179" i="40"/>
  <c r="T179" i="40"/>
  <c r="AF179" i="40"/>
  <c r="U179" i="40"/>
  <c r="W179" i="40"/>
  <c r="Y179" i="40"/>
  <c r="R179" i="40"/>
  <c r="P179" i="40"/>
  <c r="Z179" i="40"/>
  <c r="AG179" i="40"/>
  <c r="AD179" i="40"/>
  <c r="AJ179" i="40"/>
  <c r="AE179" i="40"/>
  <c r="AH179" i="40"/>
  <c r="AI179" i="40"/>
  <c r="AC179" i="40"/>
  <c r="AG273" i="40"/>
  <c r="V273" i="40"/>
  <c r="AD273" i="40"/>
  <c r="Z273" i="40"/>
  <c r="S273" i="40"/>
  <c r="AA273" i="40"/>
  <c r="T273" i="40"/>
  <c r="P273" i="40"/>
  <c r="U273" i="40"/>
  <c r="W273" i="40"/>
  <c r="R273" i="40"/>
  <c r="Y273" i="40"/>
  <c r="X273" i="40"/>
  <c r="AE273" i="40"/>
  <c r="AF273" i="40"/>
  <c r="AH273" i="40"/>
  <c r="AC273" i="40"/>
  <c r="AJ273" i="40"/>
  <c r="AI273" i="40"/>
  <c r="AB273" i="40"/>
  <c r="AG175" i="40"/>
  <c r="T175" i="40"/>
  <c r="Z175" i="40"/>
  <c r="AA175" i="40"/>
  <c r="S175" i="40"/>
  <c r="U175" i="40"/>
  <c r="AB175" i="40"/>
  <c r="V175" i="40"/>
  <c r="W175" i="40"/>
  <c r="P175" i="40"/>
  <c r="X175" i="40"/>
  <c r="Y175" i="40"/>
  <c r="R175" i="40"/>
  <c r="AC175" i="40"/>
  <c r="AH175" i="40"/>
  <c r="AD175" i="40"/>
  <c r="AF175" i="40"/>
  <c r="AI175" i="40"/>
  <c r="AE175" i="40"/>
  <c r="AJ175" i="40"/>
  <c r="AD168" i="40"/>
  <c r="AB168" i="40"/>
  <c r="AF168" i="40"/>
  <c r="P168" i="40"/>
  <c r="AG168" i="40"/>
  <c r="W168" i="40"/>
  <c r="T168" i="40"/>
  <c r="X168" i="40"/>
  <c r="AH168" i="40"/>
  <c r="Z168" i="40"/>
  <c r="AI168" i="40"/>
  <c r="S168" i="40"/>
  <c r="AJ168" i="40"/>
  <c r="R168" i="40"/>
  <c r="AA168" i="40"/>
  <c r="V168" i="40"/>
  <c r="AE168" i="40"/>
  <c r="AC168" i="40"/>
  <c r="U168" i="40"/>
  <c r="Y168" i="40"/>
  <c r="AG232" i="40"/>
  <c r="AF232" i="40"/>
  <c r="AB232" i="40"/>
  <c r="U232" i="40"/>
  <c r="AD232" i="40"/>
  <c r="Z232" i="40"/>
  <c r="AA232" i="40"/>
  <c r="S232" i="40"/>
  <c r="T232" i="40"/>
  <c r="P232" i="40"/>
  <c r="V232" i="40"/>
  <c r="W232" i="40"/>
  <c r="R232" i="40"/>
  <c r="AI232" i="40"/>
  <c r="X232" i="40"/>
  <c r="Y232" i="40"/>
  <c r="AJ232" i="40"/>
  <c r="AE232" i="40"/>
  <c r="AH232" i="40"/>
  <c r="AC232" i="40"/>
  <c r="AC244" i="40"/>
  <c r="AF244" i="40"/>
  <c r="U244" i="40"/>
  <c r="W244" i="40"/>
  <c r="X244" i="40"/>
  <c r="Y244" i="40"/>
  <c r="AB244" i="40"/>
  <c r="P244" i="40"/>
  <c r="S244" i="40"/>
  <c r="T244" i="40"/>
  <c r="AD244" i="40"/>
  <c r="V244" i="40"/>
  <c r="Z244" i="40"/>
  <c r="AA244" i="40"/>
  <c r="R244" i="40"/>
  <c r="AG244" i="40"/>
  <c r="AH244" i="40"/>
  <c r="AI244" i="40"/>
  <c r="AJ244" i="40"/>
  <c r="AE244" i="40"/>
  <c r="AH242" i="40"/>
  <c r="AB242" i="40"/>
  <c r="W242" i="40"/>
  <c r="V242" i="40"/>
  <c r="X242" i="40"/>
  <c r="Y242" i="40"/>
  <c r="S242" i="40"/>
  <c r="T242" i="40"/>
  <c r="AE242" i="40"/>
  <c r="U242" i="40"/>
  <c r="AG242" i="40"/>
  <c r="Z242" i="40"/>
  <c r="R242" i="40"/>
  <c r="P242" i="40"/>
  <c r="AA242" i="40"/>
  <c r="AJ242" i="40"/>
  <c r="AI242" i="40"/>
  <c r="AD242" i="40"/>
  <c r="AC242" i="40"/>
  <c r="AF242" i="40"/>
  <c r="AC260" i="40"/>
  <c r="T260" i="40"/>
  <c r="AF260" i="40"/>
  <c r="S260" i="40"/>
  <c r="U260" i="40"/>
  <c r="V260" i="40"/>
  <c r="W260" i="40"/>
  <c r="X260" i="40"/>
  <c r="Y260" i="40"/>
  <c r="Z260" i="40"/>
  <c r="AA260" i="40"/>
  <c r="R260" i="40"/>
  <c r="AB260" i="40"/>
  <c r="P260" i="40"/>
  <c r="AE260" i="40"/>
  <c r="AI260" i="40"/>
  <c r="AJ260" i="40"/>
  <c r="AG260" i="40"/>
  <c r="AH260" i="40"/>
  <c r="AD260" i="40"/>
  <c r="AG229" i="40"/>
  <c r="AB229" i="40"/>
  <c r="AE229" i="40"/>
  <c r="X229" i="40"/>
  <c r="Z229" i="40"/>
  <c r="R229" i="40"/>
  <c r="AA229" i="40"/>
  <c r="S229" i="40"/>
  <c r="AD229" i="40"/>
  <c r="AJ229" i="40"/>
  <c r="T229" i="40"/>
  <c r="U229" i="40"/>
  <c r="P229" i="40"/>
  <c r="V229" i="40"/>
  <c r="W229" i="40"/>
  <c r="Y229" i="40"/>
  <c r="AH229" i="40"/>
  <c r="AI229" i="40"/>
  <c r="AC229" i="40"/>
  <c r="AF229" i="40"/>
  <c r="AO149" i="40"/>
  <c r="E139" i="2" s="1"/>
  <c r="E161" i="2" s="1"/>
  <c r="AE258" i="40"/>
  <c r="V258" i="40"/>
  <c r="AH258" i="40"/>
  <c r="S258" i="40"/>
  <c r="T258" i="40"/>
  <c r="U258" i="40"/>
  <c r="X258" i="40"/>
  <c r="Y258" i="40"/>
  <c r="Z258" i="40"/>
  <c r="P258" i="40"/>
  <c r="AA258" i="40"/>
  <c r="R258" i="40"/>
  <c r="AB258" i="40"/>
  <c r="AG258" i="40"/>
  <c r="W258" i="40"/>
  <c r="AC258" i="40"/>
  <c r="AD258" i="40"/>
  <c r="AF258" i="40"/>
  <c r="AI258" i="40"/>
  <c r="AJ258" i="40"/>
  <c r="AF271" i="40"/>
  <c r="X271" i="40"/>
  <c r="Z271" i="40"/>
  <c r="AH271" i="40"/>
  <c r="S271" i="40"/>
  <c r="U271" i="40"/>
  <c r="V271" i="40"/>
  <c r="W271" i="40"/>
  <c r="P271" i="40"/>
  <c r="Y271" i="40"/>
  <c r="AA271" i="40"/>
  <c r="T271" i="40"/>
  <c r="R271" i="40"/>
  <c r="AD271" i="40"/>
  <c r="AC271" i="40"/>
  <c r="AE271" i="40"/>
  <c r="AI271" i="40"/>
  <c r="AB271" i="40"/>
  <c r="AJ271" i="40"/>
  <c r="AG271" i="40"/>
  <c r="AB259" i="40"/>
  <c r="U259" i="40"/>
  <c r="S259" i="40"/>
  <c r="AE259" i="40"/>
  <c r="T259" i="40"/>
  <c r="V259" i="40"/>
  <c r="R259" i="40"/>
  <c r="AA259" i="40"/>
  <c r="W259" i="40"/>
  <c r="X259" i="40"/>
  <c r="Z259" i="40"/>
  <c r="Y259" i="40"/>
  <c r="P259" i="40"/>
  <c r="AG259" i="40"/>
  <c r="AH259" i="40"/>
  <c r="AC259" i="40"/>
  <c r="AD259" i="40"/>
  <c r="AI259" i="40"/>
  <c r="AJ259" i="40"/>
  <c r="AF259" i="40"/>
  <c r="AC236" i="40"/>
  <c r="Y236" i="40"/>
  <c r="AI236" i="40"/>
  <c r="AD236" i="40"/>
  <c r="AA236" i="40"/>
  <c r="AE236" i="40"/>
  <c r="S236" i="40"/>
  <c r="AF236" i="40"/>
  <c r="T236" i="40"/>
  <c r="X236" i="40"/>
  <c r="R236" i="40"/>
  <c r="Z236" i="40"/>
  <c r="P236" i="40"/>
  <c r="AB236" i="40"/>
  <c r="U236" i="40"/>
  <c r="W236" i="40"/>
  <c r="V236" i="40"/>
  <c r="AH236" i="40"/>
  <c r="AJ236" i="40"/>
  <c r="AG236" i="40"/>
  <c r="AD295" i="40"/>
  <c r="U295" i="40"/>
  <c r="Z295" i="40"/>
  <c r="W295" i="40"/>
  <c r="T295" i="40"/>
  <c r="P295" i="40"/>
  <c r="AE295" i="40"/>
  <c r="AA295" i="40"/>
  <c r="AB295" i="40"/>
  <c r="V295" i="40"/>
  <c r="AF295" i="40"/>
  <c r="R295" i="40"/>
  <c r="X295" i="40"/>
  <c r="AI295" i="40"/>
  <c r="AJ295" i="40"/>
  <c r="AG295" i="40"/>
  <c r="Y295" i="40"/>
  <c r="S295" i="40"/>
  <c r="AC295" i="40"/>
  <c r="AH295" i="40"/>
  <c r="S193" i="40"/>
  <c r="AA193" i="40"/>
  <c r="U193" i="40"/>
  <c r="V193" i="40"/>
  <c r="W193" i="40"/>
  <c r="AE193" i="40"/>
  <c r="AB193" i="40"/>
  <c r="X193" i="40"/>
  <c r="R193" i="40"/>
  <c r="T193" i="40"/>
  <c r="Y193" i="40"/>
  <c r="Z193" i="40"/>
  <c r="P193" i="40"/>
  <c r="AC193" i="40"/>
  <c r="AG193" i="40"/>
  <c r="AJ193" i="40"/>
  <c r="AD193" i="40"/>
  <c r="AI193" i="40"/>
  <c r="AF193" i="40"/>
  <c r="AH193" i="40"/>
  <c r="S176" i="40"/>
  <c r="AA176" i="40"/>
  <c r="AE176" i="40"/>
  <c r="Z176" i="40"/>
  <c r="AB176" i="40"/>
  <c r="U176" i="40"/>
  <c r="V176" i="40"/>
  <c r="W176" i="40"/>
  <c r="R176" i="40"/>
  <c r="T176" i="40"/>
  <c r="P176" i="40"/>
  <c r="X176" i="40"/>
  <c r="Y176" i="40"/>
  <c r="AD176" i="40"/>
  <c r="AH176" i="40"/>
  <c r="AI176" i="40"/>
  <c r="AC176" i="40"/>
  <c r="AG176" i="40"/>
  <c r="AJ176" i="40"/>
  <c r="AF176" i="40"/>
  <c r="Y152" i="40"/>
  <c r="E74" i="2" s="1"/>
  <c r="U148" i="40"/>
  <c r="E46" i="2" s="1"/>
  <c r="AI150" i="40"/>
  <c r="E126" i="2" s="1"/>
  <c r="AF150" i="40"/>
  <c r="E114" i="2" s="1"/>
  <c r="AD149" i="40"/>
  <c r="E101" i="2" s="1"/>
  <c r="Y148" i="40"/>
  <c r="E70" i="2" s="1"/>
  <c r="E75" i="2" s="1"/>
  <c r="E147" i="2" s="1"/>
  <c r="G811" i="2" s="1"/>
  <c r="I811" i="2" s="1"/>
  <c r="AD152" i="40"/>
  <c r="E104" i="2" s="1"/>
  <c r="E105" i="2" s="1"/>
  <c r="E152" i="2" s="1"/>
  <c r="G816" i="2" s="1"/>
  <c r="I816" i="2" s="1"/>
  <c r="AC300" i="40"/>
  <c r="AB300" i="40"/>
  <c r="AG300" i="40"/>
  <c r="U300" i="40"/>
  <c r="Z300" i="40"/>
  <c r="W300" i="40"/>
  <c r="P300" i="40"/>
  <c r="AD300" i="40"/>
  <c r="AE300" i="40"/>
  <c r="AJ300" i="40"/>
  <c r="S300" i="40"/>
  <c r="X300" i="40"/>
  <c r="AA300" i="40"/>
  <c r="AI300" i="40"/>
  <c r="AF300" i="40"/>
  <c r="R300" i="40"/>
  <c r="Y300" i="40"/>
  <c r="T300" i="40"/>
  <c r="V300" i="40"/>
  <c r="AH300" i="40"/>
  <c r="AC195" i="40"/>
  <c r="AF195" i="40"/>
  <c r="Y195" i="40"/>
  <c r="U195" i="40"/>
  <c r="AI195" i="40"/>
  <c r="X195" i="40"/>
  <c r="Z195" i="40"/>
  <c r="AA195" i="40"/>
  <c r="T195" i="40"/>
  <c r="V195" i="40"/>
  <c r="W195" i="40"/>
  <c r="P195" i="40"/>
  <c r="AB195" i="40"/>
  <c r="S195" i="40"/>
  <c r="R195" i="40"/>
  <c r="AH195" i="40"/>
  <c r="AD195" i="40"/>
  <c r="AE195" i="40"/>
  <c r="AJ195" i="40"/>
  <c r="AG195" i="40"/>
  <c r="AH177" i="40"/>
  <c r="AJ177" i="40"/>
  <c r="Z177" i="40"/>
  <c r="AA177" i="40"/>
  <c r="T177" i="40"/>
  <c r="W177" i="40"/>
  <c r="AB177" i="40"/>
  <c r="X177" i="40"/>
  <c r="Y177" i="40"/>
  <c r="S177" i="40"/>
  <c r="R177" i="40"/>
  <c r="U177" i="40"/>
  <c r="V177" i="40"/>
  <c r="P177" i="40"/>
  <c r="AC177" i="40"/>
  <c r="AE177" i="40"/>
  <c r="AI177" i="40"/>
  <c r="AG177" i="40"/>
  <c r="AF177" i="40"/>
  <c r="AD177" i="40"/>
  <c r="AB151" i="40"/>
  <c r="E91" i="2" s="1"/>
  <c r="AB150" i="40"/>
  <c r="E90" i="2" s="1"/>
  <c r="AC150" i="40"/>
  <c r="E96" i="2" s="1"/>
  <c r="AA149" i="40"/>
  <c r="E83" i="2" s="1"/>
  <c r="AE151" i="40"/>
  <c r="E109" i="2" s="1"/>
  <c r="X150" i="40"/>
  <c r="E66" i="2" s="1"/>
  <c r="X151" i="40"/>
  <c r="E67" i="2" s="1"/>
  <c r="AA151" i="40"/>
  <c r="E85" i="2" s="1"/>
  <c r="Y151" i="40"/>
  <c r="E73" i="2" s="1"/>
  <c r="AF148" i="40"/>
  <c r="E112" i="2" s="1"/>
  <c r="V150" i="40"/>
  <c r="E54" i="2" s="1"/>
  <c r="S148" i="40"/>
  <c r="E34" i="2" s="1"/>
  <c r="V149" i="40"/>
  <c r="E53" i="2" s="1"/>
  <c r="V151" i="40"/>
  <c r="E55" i="2" s="1"/>
  <c r="V152" i="40"/>
  <c r="E56" i="2" s="1"/>
  <c r="E57" i="2" s="1"/>
  <c r="E144" i="2" s="1"/>
  <c r="G808" i="2" s="1"/>
  <c r="I808" i="2" s="1"/>
  <c r="AG293" i="40"/>
  <c r="T293" i="40"/>
  <c r="V293" i="40"/>
  <c r="W293" i="40"/>
  <c r="R293" i="40"/>
  <c r="P293" i="40"/>
  <c r="AH293" i="40"/>
  <c r="S293" i="40"/>
  <c r="AE293" i="40"/>
  <c r="AD293" i="40"/>
  <c r="AF293" i="40"/>
  <c r="U293" i="40"/>
  <c r="AI293" i="40"/>
  <c r="AJ293" i="40"/>
  <c r="AC293" i="40"/>
  <c r="AA293" i="40"/>
  <c r="X293" i="40"/>
  <c r="Y293" i="40"/>
  <c r="Z293" i="40"/>
  <c r="AB293" i="40"/>
  <c r="AH235" i="40"/>
  <c r="Z235" i="40"/>
  <c r="AA235" i="40"/>
  <c r="S235" i="40"/>
  <c r="AB235" i="40"/>
  <c r="T235" i="40"/>
  <c r="U235" i="40"/>
  <c r="V235" i="40"/>
  <c r="W235" i="40"/>
  <c r="X235" i="40"/>
  <c r="R235" i="40"/>
  <c r="Y235" i="40"/>
  <c r="P235" i="40"/>
  <c r="AF235" i="40"/>
  <c r="AI235" i="40"/>
  <c r="AE235" i="40"/>
  <c r="AD235" i="40"/>
  <c r="AJ235" i="40"/>
  <c r="AC235" i="40"/>
  <c r="AG235" i="40"/>
  <c r="AB299" i="40"/>
  <c r="AG299" i="40"/>
  <c r="Z299" i="40"/>
  <c r="T299" i="40"/>
  <c r="AE299" i="40"/>
  <c r="S299" i="40"/>
  <c r="R299" i="40"/>
  <c r="AI299" i="40"/>
  <c r="U299" i="40"/>
  <c r="V299" i="40"/>
  <c r="AD299" i="40"/>
  <c r="W299" i="40"/>
  <c r="Y299" i="40"/>
  <c r="AA299" i="40"/>
  <c r="P299" i="40"/>
  <c r="X299" i="40"/>
  <c r="AJ299" i="40"/>
  <c r="AC299" i="40"/>
  <c r="AH299" i="40"/>
  <c r="AF299" i="40"/>
  <c r="U202" i="40"/>
  <c r="AC202" i="40"/>
  <c r="Z202" i="40"/>
  <c r="AJ202" i="40"/>
  <c r="T202" i="40"/>
  <c r="AB202" i="40"/>
  <c r="W202" i="40"/>
  <c r="AF202" i="40"/>
  <c r="V202" i="40"/>
  <c r="AH202" i="40"/>
  <c r="AG202" i="40"/>
  <c r="X202" i="40"/>
  <c r="AE202" i="40"/>
  <c r="Y202" i="40"/>
  <c r="AI202" i="40"/>
  <c r="P202" i="40"/>
  <c r="S202" i="40"/>
  <c r="AD202" i="40"/>
  <c r="AA202" i="40"/>
  <c r="R202" i="40"/>
  <c r="AC264" i="40"/>
  <c r="AF264" i="40"/>
  <c r="U264" i="40"/>
  <c r="AB264" i="40"/>
  <c r="Y264" i="40"/>
  <c r="AD264" i="40"/>
  <c r="AA264" i="40"/>
  <c r="S264" i="40"/>
  <c r="R264" i="40"/>
  <c r="T264" i="40"/>
  <c r="V264" i="40"/>
  <c r="W264" i="40"/>
  <c r="X264" i="40"/>
  <c r="Z264" i="40"/>
  <c r="P264" i="40"/>
  <c r="AJ264" i="40"/>
  <c r="AG264" i="40"/>
  <c r="AH264" i="40"/>
  <c r="AI264" i="40"/>
  <c r="AE264" i="40"/>
  <c r="AH210" i="40"/>
  <c r="AC210" i="40"/>
  <c r="AB210" i="40"/>
  <c r="AJ210" i="40"/>
  <c r="U210" i="40"/>
  <c r="AE210" i="40"/>
  <c r="AA210" i="40"/>
  <c r="R210" i="40"/>
  <c r="S210" i="40"/>
  <c r="T210" i="40"/>
  <c r="Y210" i="40"/>
  <c r="Z210" i="40"/>
  <c r="V210" i="40"/>
  <c r="W210" i="40"/>
  <c r="P210" i="40"/>
  <c r="X210" i="40"/>
  <c r="AF210" i="40"/>
  <c r="AI210" i="40"/>
  <c r="AG210" i="40"/>
  <c r="AD210" i="40"/>
  <c r="AE270" i="40"/>
  <c r="Y270" i="40"/>
  <c r="AH270" i="40"/>
  <c r="Z270" i="40"/>
  <c r="S270" i="40"/>
  <c r="R270" i="40"/>
  <c r="P270" i="40"/>
  <c r="T270" i="40"/>
  <c r="U270" i="40"/>
  <c r="V270" i="40"/>
  <c r="AB270" i="40"/>
  <c r="W270" i="40"/>
  <c r="X270" i="40"/>
  <c r="AA270" i="40"/>
  <c r="AD270" i="40"/>
  <c r="AI270" i="40"/>
  <c r="AG270" i="40"/>
  <c r="AJ270" i="40"/>
  <c r="AC270" i="40"/>
  <c r="AF270" i="40"/>
  <c r="AH185" i="40"/>
  <c r="W185" i="40"/>
  <c r="Z185" i="40"/>
  <c r="S185" i="40"/>
  <c r="T185" i="40"/>
  <c r="U185" i="40"/>
  <c r="V185" i="40"/>
  <c r="X185" i="40"/>
  <c r="Y185" i="40"/>
  <c r="R185" i="40"/>
  <c r="P185" i="40"/>
  <c r="AA185" i="40"/>
  <c r="AB185" i="40"/>
  <c r="AF185" i="40"/>
  <c r="AI185" i="40"/>
  <c r="AD185" i="40"/>
  <c r="AC185" i="40"/>
  <c r="AE185" i="40"/>
  <c r="AJ185" i="40"/>
  <c r="AG185" i="40"/>
  <c r="AG290" i="40"/>
  <c r="X290" i="40"/>
  <c r="AE290" i="40"/>
  <c r="AA290" i="40"/>
  <c r="U290" i="40"/>
  <c r="T290" i="40"/>
  <c r="W290" i="40"/>
  <c r="AF290" i="40"/>
  <c r="AD290" i="40"/>
  <c r="AC290" i="40"/>
  <c r="AB290" i="40"/>
  <c r="AH290" i="40"/>
  <c r="R290" i="40"/>
  <c r="AJ290" i="40"/>
  <c r="S290" i="40"/>
  <c r="P290" i="40"/>
  <c r="AI290" i="40"/>
  <c r="Z290" i="40"/>
  <c r="Y290" i="40"/>
  <c r="V290" i="40"/>
  <c r="P208" i="40"/>
  <c r="Y208" i="40"/>
  <c r="AC208" i="40"/>
  <c r="X208" i="40"/>
  <c r="AA208" i="40"/>
  <c r="AH208" i="40"/>
  <c r="Z208" i="40"/>
  <c r="AD208" i="40"/>
  <c r="U208" i="40"/>
  <c r="S208" i="40"/>
  <c r="AF208" i="40"/>
  <c r="AB208" i="40"/>
  <c r="T208" i="40"/>
  <c r="AI208" i="40"/>
  <c r="V208" i="40"/>
  <c r="W208" i="40"/>
  <c r="AJ208" i="40"/>
  <c r="R208" i="40"/>
  <c r="AE208" i="40"/>
  <c r="AG208" i="40"/>
  <c r="AB272" i="40"/>
  <c r="W272" i="40"/>
  <c r="Z272" i="40"/>
  <c r="S272" i="40"/>
  <c r="X272" i="40"/>
  <c r="Y272" i="40"/>
  <c r="AA272" i="40"/>
  <c r="P272" i="40"/>
  <c r="T272" i="40"/>
  <c r="U272" i="40"/>
  <c r="AD272" i="40"/>
  <c r="V272" i="40"/>
  <c r="R272" i="40"/>
  <c r="AI272" i="40"/>
  <c r="AJ272" i="40"/>
  <c r="AF272" i="40"/>
  <c r="AG272" i="40"/>
  <c r="AC272" i="40"/>
  <c r="AH272" i="40"/>
  <c r="AE272" i="40"/>
  <c r="AI237" i="40"/>
  <c r="AB237" i="40"/>
  <c r="AC237" i="40"/>
  <c r="X237" i="40"/>
  <c r="AA237" i="40"/>
  <c r="R237" i="40"/>
  <c r="S237" i="40"/>
  <c r="T237" i="40"/>
  <c r="AG237" i="40"/>
  <c r="AJ237" i="40"/>
  <c r="U237" i="40"/>
  <c r="V237" i="40"/>
  <c r="W237" i="40"/>
  <c r="Y237" i="40"/>
  <c r="P237" i="40"/>
  <c r="Z237" i="40"/>
  <c r="AF237" i="40"/>
  <c r="AH237" i="40"/>
  <c r="AD237" i="40"/>
  <c r="AE237" i="40"/>
  <c r="U241" i="40"/>
  <c r="S241" i="40"/>
  <c r="X241" i="40"/>
  <c r="P241" i="40"/>
  <c r="Z241" i="40"/>
  <c r="AA241" i="40"/>
  <c r="AB241" i="40"/>
  <c r="T241" i="40"/>
  <c r="AD241" i="40"/>
  <c r="AE241" i="40"/>
  <c r="V241" i="40"/>
  <c r="R241" i="40"/>
  <c r="AF241" i="40"/>
  <c r="AC241" i="40"/>
  <c r="AG241" i="40"/>
  <c r="Y241" i="40"/>
  <c r="AH241" i="40"/>
  <c r="AI241" i="40"/>
  <c r="AJ241" i="40"/>
  <c r="W241" i="40"/>
  <c r="Y149" i="40"/>
  <c r="E71" i="2" s="1"/>
  <c r="AF152" i="40"/>
  <c r="E116" i="2" s="1"/>
  <c r="AE148" i="40"/>
  <c r="E106" i="2" s="1"/>
  <c r="AI243" i="40"/>
  <c r="AJ243" i="40"/>
  <c r="V243" i="40"/>
  <c r="AC243" i="40"/>
  <c r="AE243" i="40"/>
  <c r="W243" i="40"/>
  <c r="AF243" i="40"/>
  <c r="X243" i="40"/>
  <c r="AH243" i="40"/>
  <c r="Y243" i="40"/>
  <c r="AB243" i="40"/>
  <c r="Z243" i="40"/>
  <c r="AA243" i="40"/>
  <c r="R243" i="40"/>
  <c r="S243" i="40"/>
  <c r="U243" i="40"/>
  <c r="T243" i="40"/>
  <c r="P243" i="40"/>
  <c r="AD243" i="40"/>
  <c r="AG243" i="40"/>
  <c r="AF267" i="40"/>
  <c r="S267" i="40"/>
  <c r="AA267" i="40"/>
  <c r="AC267" i="40"/>
  <c r="Y267" i="40"/>
  <c r="R267" i="40"/>
  <c r="AE267" i="40"/>
  <c r="AH267" i="40"/>
  <c r="AB267" i="40"/>
  <c r="W267" i="40"/>
  <c r="X267" i="40"/>
  <c r="Z267" i="40"/>
  <c r="P267" i="40"/>
  <c r="T267" i="40"/>
  <c r="V267" i="40"/>
  <c r="U267" i="40"/>
  <c r="AI267" i="40"/>
  <c r="AD267" i="40"/>
  <c r="AG267" i="40"/>
  <c r="AJ267" i="40"/>
  <c r="AE230" i="40"/>
  <c r="AJ230" i="40"/>
  <c r="W230" i="40"/>
  <c r="AB230" i="40"/>
  <c r="Z230" i="40"/>
  <c r="AA230" i="40"/>
  <c r="S230" i="40"/>
  <c r="U230" i="40"/>
  <c r="V230" i="40"/>
  <c r="X230" i="40"/>
  <c r="AC230" i="40"/>
  <c r="Y230" i="40"/>
  <c r="AH230" i="40"/>
  <c r="R230" i="40"/>
  <c r="P230" i="40"/>
  <c r="T230" i="40"/>
  <c r="AF230" i="40"/>
  <c r="AG230" i="40"/>
  <c r="AI230" i="40"/>
  <c r="AD230" i="40"/>
  <c r="AF199" i="40"/>
  <c r="U199" i="40"/>
  <c r="V199" i="40"/>
  <c r="S199" i="40"/>
  <c r="R199" i="40"/>
  <c r="AC199" i="40"/>
  <c r="T199" i="40"/>
  <c r="AH199" i="40"/>
  <c r="W199" i="40"/>
  <c r="AI199" i="40"/>
  <c r="AB199" i="40"/>
  <c r="AB160" i="40" s="1" a="1"/>
  <c r="AB160" i="40" s="1"/>
  <c r="G88" i="2" s="1"/>
  <c r="X199" i="40"/>
  <c r="P199" i="40"/>
  <c r="Y199" i="40"/>
  <c r="Z199" i="40"/>
  <c r="AA199" i="40"/>
  <c r="AJ199" i="40"/>
  <c r="AE199" i="40"/>
  <c r="AD199" i="40"/>
  <c r="AD164" i="40" s="1" a="1"/>
  <c r="AD164" i="40" s="1"/>
  <c r="G104" i="2" s="1"/>
  <c r="AG199" i="40"/>
  <c r="AA150" i="40"/>
  <c r="E84" i="2" s="1"/>
  <c r="AC149" i="40"/>
  <c r="E95" i="2" s="1"/>
  <c r="AC148" i="40"/>
  <c r="E94" i="2" s="1"/>
  <c r="R152" i="40"/>
  <c r="E32" i="2" s="1"/>
  <c r="E33" i="2" s="1"/>
  <c r="E140" i="2" s="1"/>
  <c r="G805" i="2" s="1"/>
  <c r="I805" i="2" s="1"/>
  <c r="U150" i="40"/>
  <c r="E48" i="2" s="1"/>
  <c r="AI151" i="40"/>
  <c r="E127" i="2" s="1"/>
  <c r="U149" i="40"/>
  <c r="E47" i="2" s="1"/>
  <c r="AH149" i="40"/>
  <c r="E119" i="2" s="1"/>
  <c r="U151" i="40"/>
  <c r="E49" i="2" s="1"/>
  <c r="AG148" i="40"/>
  <c r="S152" i="40"/>
  <c r="E38" i="2" s="1"/>
  <c r="E39" i="2" s="1"/>
  <c r="E141" i="2" s="1"/>
  <c r="X257" i="40"/>
  <c r="AB257" i="40"/>
  <c r="Y257" i="40"/>
  <c r="AJ257" i="40"/>
  <c r="Z257" i="40"/>
  <c r="AD257" i="40"/>
  <c r="AA257" i="40"/>
  <c r="V257" i="40"/>
  <c r="AE257" i="40"/>
  <c r="P257" i="40"/>
  <c r="AI257" i="40"/>
  <c r="W257" i="40"/>
  <c r="W160" i="40" s="1" a="1"/>
  <c r="W160" i="40" s="1"/>
  <c r="G58" i="2" s="1"/>
  <c r="AH257" i="40"/>
  <c r="AC257" i="40"/>
  <c r="T257" i="40"/>
  <c r="U257" i="40"/>
  <c r="AG257" i="40"/>
  <c r="R257" i="40"/>
  <c r="AF257" i="40"/>
  <c r="S257" i="40"/>
  <c r="AG277" i="40"/>
  <c r="T277" i="40"/>
  <c r="R277" i="40"/>
  <c r="P277" i="40"/>
  <c r="V277" i="40"/>
  <c r="W277" i="40"/>
  <c r="AD277" i="40"/>
  <c r="AC277" i="40"/>
  <c r="AH277" i="40"/>
  <c r="AI277" i="40"/>
  <c r="AB277" i="40"/>
  <c r="X277" i="40"/>
  <c r="AJ277" i="40"/>
  <c r="Y277" i="40"/>
  <c r="AA277" i="40"/>
  <c r="AF277" i="40"/>
  <c r="U277" i="40"/>
  <c r="Z277" i="40"/>
  <c r="S277" i="40"/>
  <c r="AE277" i="40"/>
  <c r="V252" i="40"/>
  <c r="AC252" i="40"/>
  <c r="W252" i="40"/>
  <c r="AD252" i="40"/>
  <c r="X252" i="40"/>
  <c r="AF252" i="40"/>
  <c r="Y252" i="40"/>
  <c r="S252" i="40"/>
  <c r="T252" i="40"/>
  <c r="R252" i="40"/>
  <c r="U252" i="40"/>
  <c r="AB252" i="40"/>
  <c r="Z252" i="40"/>
  <c r="AA252" i="40"/>
  <c r="P252" i="40"/>
  <c r="AI252" i="40"/>
  <c r="AG252" i="40"/>
  <c r="AJ252" i="40"/>
  <c r="AE252" i="40"/>
  <c r="AH252" i="40"/>
  <c r="T189" i="40"/>
  <c r="Z189" i="40"/>
  <c r="AE189" i="40"/>
  <c r="AB189" i="40"/>
  <c r="W189" i="40"/>
  <c r="X189" i="40"/>
  <c r="Y189" i="40"/>
  <c r="AA189" i="40"/>
  <c r="R189" i="40"/>
  <c r="P189" i="40"/>
  <c r="S189" i="40"/>
  <c r="U189" i="40"/>
  <c r="V189" i="40"/>
  <c r="AD189" i="40"/>
  <c r="AJ189" i="40"/>
  <c r="AC189" i="40"/>
  <c r="AI189" i="40"/>
  <c r="AG189" i="40"/>
  <c r="AF189" i="40"/>
  <c r="AH189" i="40"/>
  <c r="AG287" i="40"/>
  <c r="T287" i="40"/>
  <c r="W287" i="40"/>
  <c r="U287" i="40"/>
  <c r="P287" i="40"/>
  <c r="Z287" i="40"/>
  <c r="AD287" i="40"/>
  <c r="S287" i="40"/>
  <c r="AB287" i="40"/>
  <c r="V287" i="40"/>
  <c r="AC287" i="40"/>
  <c r="R287" i="40"/>
  <c r="X287" i="40"/>
  <c r="AJ287" i="40"/>
  <c r="AA287" i="40"/>
  <c r="AE287" i="40"/>
  <c r="Y287" i="40"/>
  <c r="AH287" i="40"/>
  <c r="AI287" i="40"/>
  <c r="AF287" i="40"/>
  <c r="AG180" i="40"/>
  <c r="AD180" i="40"/>
  <c r="W180" i="40"/>
  <c r="AA180" i="40"/>
  <c r="AB180" i="40"/>
  <c r="X180" i="40"/>
  <c r="T180" i="40"/>
  <c r="U180" i="40"/>
  <c r="AE180" i="40"/>
  <c r="V180" i="40"/>
  <c r="AJ180" i="40"/>
  <c r="S180" i="40"/>
  <c r="Y180" i="40"/>
  <c r="P180" i="40"/>
  <c r="Z180" i="40"/>
  <c r="R180" i="40"/>
  <c r="R154" i="40" s="1" a="1"/>
  <c r="R154" i="40" s="1"/>
  <c r="F28" i="2" s="1"/>
  <c r="AI180" i="40"/>
  <c r="AC180" i="40"/>
  <c r="AH180" i="40"/>
  <c r="AF180" i="40"/>
  <c r="AF204" i="40"/>
  <c r="AD204" i="40"/>
  <c r="Z204" i="40"/>
  <c r="AI204" i="40"/>
  <c r="W204" i="40"/>
  <c r="AA204" i="40"/>
  <c r="AB204" i="40"/>
  <c r="S204" i="40"/>
  <c r="T204" i="40"/>
  <c r="U204" i="40"/>
  <c r="V204" i="40"/>
  <c r="AG204" i="40"/>
  <c r="X204" i="40"/>
  <c r="Y204" i="40"/>
  <c r="P204" i="40"/>
  <c r="R204" i="40"/>
  <c r="AJ204" i="40"/>
  <c r="AC204" i="40"/>
  <c r="AE204" i="40"/>
  <c r="AH204" i="40"/>
  <c r="AI239" i="40"/>
  <c r="V239" i="40"/>
  <c r="AA239" i="40"/>
  <c r="S239" i="40"/>
  <c r="T239" i="40"/>
  <c r="R239" i="40"/>
  <c r="AJ239" i="40"/>
  <c r="Z239" i="40"/>
  <c r="AB239" i="40"/>
  <c r="AC239" i="40"/>
  <c r="AE239" i="40"/>
  <c r="AF239" i="40"/>
  <c r="Y239" i="40"/>
  <c r="AH239" i="40"/>
  <c r="P239" i="40"/>
  <c r="X239" i="40"/>
  <c r="U239" i="40"/>
  <c r="W239" i="40"/>
  <c r="AG239" i="40"/>
  <c r="AD239" i="40"/>
  <c r="AD282" i="40"/>
  <c r="Z282" i="40"/>
  <c r="Y282" i="40"/>
  <c r="W282" i="40"/>
  <c r="P282" i="40"/>
  <c r="T282" i="40"/>
  <c r="AH282" i="40"/>
  <c r="AA282" i="40"/>
  <c r="AG282" i="40"/>
  <c r="U282" i="40"/>
  <c r="V282" i="40"/>
  <c r="AJ282" i="40"/>
  <c r="R282" i="40"/>
  <c r="AF282" i="40"/>
  <c r="AE282" i="40"/>
  <c r="S282" i="40"/>
  <c r="AB282" i="40"/>
  <c r="AI282" i="40"/>
  <c r="X282" i="40"/>
  <c r="AC282" i="40"/>
  <c r="AB188" i="40"/>
  <c r="S188" i="40"/>
  <c r="Z188" i="40"/>
  <c r="T188" i="40"/>
  <c r="U188" i="40"/>
  <c r="V188" i="40"/>
  <c r="R188" i="40"/>
  <c r="X188" i="40"/>
  <c r="AA188" i="40"/>
  <c r="P188" i="40"/>
  <c r="AG188" i="40"/>
  <c r="AI188" i="40"/>
  <c r="Y188" i="40"/>
  <c r="AC188" i="40"/>
  <c r="AF188" i="40"/>
  <c r="AH188" i="40"/>
  <c r="AD188" i="40"/>
  <c r="AJ188" i="40"/>
  <c r="W188" i="40"/>
  <c r="AE188" i="40"/>
  <c r="W172" i="40"/>
  <c r="AA172" i="40"/>
  <c r="Y172" i="40"/>
  <c r="X172" i="40"/>
  <c r="Z172" i="40"/>
  <c r="T172" i="40"/>
  <c r="U172" i="40"/>
  <c r="V172" i="40"/>
  <c r="AB172" i="40"/>
  <c r="R172" i="40"/>
  <c r="R164" i="40" s="1" a="1"/>
  <c r="R164" i="40" s="1"/>
  <c r="G32" i="2" s="1"/>
  <c r="S172" i="40"/>
  <c r="P172" i="40"/>
  <c r="AD172" i="40"/>
  <c r="AD163" i="40" s="1" a="1"/>
  <c r="AD163" i="40" s="1"/>
  <c r="G103" i="2" s="1"/>
  <c r="AH172" i="40"/>
  <c r="AJ172" i="40"/>
  <c r="AE172" i="40"/>
  <c r="AE157" i="40" s="1" a="1"/>
  <c r="AE157" i="40" s="1"/>
  <c r="F109" i="2" s="1"/>
  <c r="AF172" i="40"/>
  <c r="AG172" i="40"/>
  <c r="AI172" i="40"/>
  <c r="AC172" i="40"/>
  <c r="AC155" i="40" s="1" a="1"/>
  <c r="AC155" i="40" s="1"/>
  <c r="F95" i="2" s="1"/>
  <c r="AE250" i="40"/>
  <c r="X250" i="40"/>
  <c r="AJ250" i="40"/>
  <c r="V250" i="40"/>
  <c r="W250" i="40"/>
  <c r="AB250" i="40"/>
  <c r="Y250" i="40"/>
  <c r="R250" i="40"/>
  <c r="AG250" i="40"/>
  <c r="U250" i="40"/>
  <c r="AH250" i="40"/>
  <c r="Z250" i="40"/>
  <c r="AA250" i="40"/>
  <c r="S250" i="40"/>
  <c r="T250" i="40"/>
  <c r="P250" i="40"/>
  <c r="AC250" i="40"/>
  <c r="AD250" i="40"/>
  <c r="AF250" i="40"/>
  <c r="AI250" i="40"/>
  <c r="AB173" i="40"/>
  <c r="V173" i="40"/>
  <c r="AA173" i="40"/>
  <c r="AA161" i="40" s="1" a="1"/>
  <c r="AA161" i="40" s="1"/>
  <c r="G83" i="2" s="1"/>
  <c r="Z173" i="40"/>
  <c r="Z162" i="40" s="1" a="1"/>
  <c r="Z162" i="40" s="1"/>
  <c r="G78" i="2" s="1"/>
  <c r="S173" i="40"/>
  <c r="AD173" i="40"/>
  <c r="AG173" i="40"/>
  <c r="AJ173" i="40"/>
  <c r="AJ154" i="40" s="1" a="1"/>
  <c r="AJ154" i="40" s="1"/>
  <c r="F130" i="2" s="1"/>
  <c r="T173" i="40"/>
  <c r="Y173" i="40"/>
  <c r="P173" i="40"/>
  <c r="U173" i="40"/>
  <c r="U157" i="40" s="1" a="1"/>
  <c r="U157" i="40" s="1"/>
  <c r="F49" i="2" s="1"/>
  <c r="W173" i="40"/>
  <c r="R173" i="40"/>
  <c r="X173" i="40"/>
  <c r="AE173" i="40"/>
  <c r="AF173" i="40"/>
  <c r="AI173" i="40"/>
  <c r="AH173" i="40"/>
  <c r="AC173" i="40"/>
  <c r="AE276" i="40"/>
  <c r="U276" i="40"/>
  <c r="W276" i="40"/>
  <c r="X276" i="40"/>
  <c r="P276" i="40"/>
  <c r="AJ276" i="40"/>
  <c r="V276" i="40"/>
  <c r="AH276" i="40"/>
  <c r="AC276" i="40"/>
  <c r="AB276" i="40"/>
  <c r="Y276" i="40"/>
  <c r="S276" i="40"/>
  <c r="AF276" i="40"/>
  <c r="AG276" i="40"/>
  <c r="AD276" i="40"/>
  <c r="T276" i="40"/>
  <c r="Z276" i="40"/>
  <c r="AA276" i="40"/>
  <c r="AI276" i="40"/>
  <c r="R276" i="40"/>
  <c r="AD292" i="40"/>
  <c r="U292" i="40"/>
  <c r="X292" i="40"/>
  <c r="W292" i="40"/>
  <c r="AI292" i="40"/>
  <c r="P292" i="40"/>
  <c r="S292" i="40"/>
  <c r="AG292" i="40"/>
  <c r="T292" i="40"/>
  <c r="AH292" i="40"/>
  <c r="V292" i="40"/>
  <c r="AC292" i="40"/>
  <c r="R292" i="40"/>
  <c r="AA292" i="40"/>
  <c r="AF292" i="40"/>
  <c r="Y292" i="40"/>
  <c r="AJ292" i="40"/>
  <c r="Z292" i="40"/>
  <c r="AE292" i="40"/>
  <c r="AB292" i="40"/>
  <c r="E135" i="2"/>
  <c r="E157" i="2" s="1"/>
  <c r="G821" i="2" s="1"/>
  <c r="I821" i="2" s="1"/>
  <c r="E69" i="2"/>
  <c r="E146" i="2" s="1"/>
  <c r="G810" i="2" s="1"/>
  <c r="I810" i="2" s="1"/>
  <c r="E111" i="2"/>
  <c r="E153" i="2" s="1"/>
  <c r="E129" i="2"/>
  <c r="E156" i="2" s="1"/>
  <c r="G820" i="2" s="1"/>
  <c r="I820" i="2" s="1"/>
  <c r="E45" i="2"/>
  <c r="E142" i="2" s="1"/>
  <c r="G806" i="2" s="1"/>
  <c r="I806" i="2" s="1"/>
  <c r="E51" i="2"/>
  <c r="E143" i="2" s="1"/>
  <c r="G807" i="2" s="1"/>
  <c r="I807" i="2" s="1"/>
  <c r="E162" i="2"/>
  <c r="G824" i="2" s="1"/>
  <c r="I824" i="2" s="1"/>
  <c r="D836" i="2"/>
  <c r="M836" i="2"/>
  <c r="D866" i="2"/>
  <c r="M866" i="2"/>
  <c r="D837" i="2"/>
  <c r="M837" i="2"/>
  <c r="D876" i="2"/>
  <c r="M876" i="2"/>
  <c r="D839" i="2"/>
  <c r="M839" i="2"/>
  <c r="D830" i="2"/>
  <c r="M830" i="2"/>
  <c r="D852" i="2"/>
  <c r="M852" i="2"/>
  <c r="G813" i="2"/>
  <c r="I813" i="2" s="1"/>
  <c r="D871" i="2"/>
  <c r="M871" i="2"/>
  <c r="D840" i="2"/>
  <c r="M840" i="2"/>
  <c r="D834" i="2"/>
  <c r="M834" i="2"/>
  <c r="G817" i="2"/>
  <c r="I817" i="2" s="1"/>
  <c r="D846" i="2"/>
  <c r="M846" i="2"/>
  <c r="D855" i="2"/>
  <c r="M855" i="2"/>
  <c r="D859" i="2"/>
  <c r="M859" i="2"/>
  <c r="D861" i="2"/>
  <c r="M861" i="2"/>
  <c r="D850" i="2"/>
  <c r="M850" i="2"/>
  <c r="D880" i="2"/>
  <c r="M880" i="2"/>
  <c r="D868" i="2"/>
  <c r="M868" i="2"/>
  <c r="D848" i="2"/>
  <c r="M848" i="2"/>
  <c r="D826" i="2"/>
  <c r="M826" i="2"/>
  <c r="D857" i="2"/>
  <c r="M857" i="2"/>
  <c r="D828" i="2"/>
  <c r="M828" i="2"/>
  <c r="D867" i="2"/>
  <c r="M867" i="2"/>
  <c r="D856" i="2"/>
  <c r="M856" i="2"/>
  <c r="D849" i="2"/>
  <c r="M849" i="2"/>
  <c r="D825" i="2"/>
  <c r="M825" i="2"/>
  <c r="D843" i="2"/>
  <c r="M843" i="2"/>
  <c r="D842" i="2"/>
  <c r="M842" i="2"/>
  <c r="G278" i="2"/>
  <c r="E279" i="2"/>
  <c r="G276" i="2"/>
  <c r="E278" i="2"/>
  <c r="F275" i="2"/>
  <c r="E277" i="2"/>
  <c r="G279" i="2"/>
  <c r="G277" i="2"/>
  <c r="F278" i="2"/>
  <c r="E275" i="2"/>
  <c r="F277" i="2"/>
  <c r="G275" i="2"/>
  <c r="F279" i="2"/>
  <c r="F276" i="2"/>
  <c r="E276" i="2"/>
  <c r="AI156" i="40" a="1"/>
  <c r="AI156" i="40" s="1"/>
  <c r="F126" i="2" s="1"/>
  <c r="W161" i="40" a="1"/>
  <c r="W161" i="40" s="1"/>
  <c r="G59" i="2" s="1"/>
  <c r="AE163" i="40" a="1"/>
  <c r="AE163" i="40" s="1"/>
  <c r="G109" i="2" s="1"/>
  <c r="E14" i="43"/>
  <c r="D16" i="43"/>
  <c r="G13" i="43"/>
  <c r="E15" i="43"/>
  <c r="F12" i="43"/>
  <c r="U162" i="40" l="1" a="1"/>
  <c r="U162" i="40" s="1"/>
  <c r="G48" i="2" s="1"/>
  <c r="AC158" i="40" a="1"/>
  <c r="AC158" i="40" s="1"/>
  <c r="F98" i="2" s="1"/>
  <c r="AB157" i="40" a="1"/>
  <c r="AB157" i="40" s="1"/>
  <c r="F91" i="2" s="1"/>
  <c r="Y162" i="40" a="1"/>
  <c r="Y162" i="40" s="1"/>
  <c r="G72" i="2" s="1"/>
  <c r="U156" i="40" a="1"/>
  <c r="U156" i="40" s="1"/>
  <c r="F48" i="2" s="1"/>
  <c r="AF160" i="40" a="1"/>
  <c r="AF160" i="40" s="1"/>
  <c r="G112" i="2" s="1"/>
  <c r="Z157" i="40" a="1"/>
  <c r="Z157" i="40" s="1"/>
  <c r="F79" i="2" s="1"/>
  <c r="S162" i="40" a="1"/>
  <c r="S162" i="40" s="1"/>
  <c r="G36" i="2" s="1"/>
  <c r="AC154" i="40" a="1"/>
  <c r="AC154" i="40" s="1"/>
  <c r="F94" i="2" s="1"/>
  <c r="E117" i="2"/>
  <c r="E154" i="2" s="1"/>
  <c r="G818" i="2" s="1"/>
  <c r="I818" i="2" s="1"/>
  <c r="AC163" i="40" a="1"/>
  <c r="AC163" i="40" s="1"/>
  <c r="G97" i="2" s="1"/>
  <c r="AD161" i="40" a="1"/>
  <c r="AD161" i="40" s="1"/>
  <c r="G101" i="2" s="1"/>
  <c r="AC160" i="40" a="1"/>
  <c r="AC160" i="40" s="1"/>
  <c r="G94" i="2" s="1"/>
  <c r="AH155" i="40" a="1"/>
  <c r="AH155" i="40" s="1"/>
  <c r="F119" i="2" s="1"/>
  <c r="AD160" i="40" a="1"/>
  <c r="AD160" i="40" s="1"/>
  <c r="G100" i="2" s="1"/>
  <c r="R156" i="40" a="1"/>
  <c r="R156" i="40" s="1"/>
  <c r="F30" i="2" s="1"/>
  <c r="W154" i="40" a="1"/>
  <c r="W154" i="40" s="1"/>
  <c r="F58" i="2" s="1"/>
  <c r="U160" i="40" a="1"/>
  <c r="U160" i="40" s="1"/>
  <c r="G46" i="2" s="1"/>
  <c r="AH164" i="40" a="1"/>
  <c r="AH164" i="40" s="1"/>
  <c r="G122" i="2" s="1"/>
  <c r="AH162" i="40" a="1"/>
  <c r="AH162" i="40" s="1"/>
  <c r="G120" i="2" s="1"/>
  <c r="V158" i="40" a="1"/>
  <c r="V158" i="40" s="1"/>
  <c r="F56" i="2" s="1"/>
  <c r="AH154" i="40" a="1"/>
  <c r="AH154" i="40" s="1"/>
  <c r="F118" i="2" s="1"/>
  <c r="V160" i="40" a="1"/>
  <c r="V160" i="40" s="1"/>
  <c r="G52" i="2" s="1"/>
  <c r="X160" i="40" a="1"/>
  <c r="X160" i="40" s="1"/>
  <c r="G64" i="2" s="1"/>
  <c r="R163" i="40" a="1"/>
  <c r="R163" i="40" s="1"/>
  <c r="G31" i="2" s="1"/>
  <c r="AH156" i="40" a="1"/>
  <c r="AH156" i="40" s="1"/>
  <c r="F120" i="2" s="1"/>
  <c r="AA155" i="40" a="1"/>
  <c r="AA155" i="40" s="1"/>
  <c r="F83" i="2" s="1"/>
  <c r="T162" i="40" a="1"/>
  <c r="T162" i="40" s="1"/>
  <c r="G42" i="2" s="1"/>
  <c r="T160" i="40" a="1"/>
  <c r="T160" i="40" s="1"/>
  <c r="G40" i="2" s="1"/>
  <c r="W158" i="40" a="1"/>
  <c r="W158" i="40" s="1"/>
  <c r="F62" i="2" s="1"/>
  <c r="W156" i="40" a="1"/>
  <c r="W156" i="40" s="1"/>
  <c r="F60" i="2" s="1"/>
  <c r="AD154" i="40" a="1"/>
  <c r="AD154" i="40" s="1"/>
  <c r="F100" i="2" s="1"/>
  <c r="R161" i="40" a="1"/>
  <c r="R161" i="40" s="1"/>
  <c r="G29" i="2" s="1"/>
  <c r="AB156" i="40" a="1"/>
  <c r="AB156" i="40" s="1"/>
  <c r="F90" i="2" s="1"/>
  <c r="AA163" i="40" a="1"/>
  <c r="AA163" i="40" s="1"/>
  <c r="G85" i="2" s="1"/>
  <c r="X155" i="40" a="1"/>
  <c r="X155" i="40" s="1"/>
  <c r="F65" i="2" s="1"/>
  <c r="AJ155" i="40" a="1"/>
  <c r="AJ155" i="40" s="1"/>
  <c r="F131" i="2" s="1"/>
  <c r="AG162" i="40" a="1"/>
  <c r="AG162" i="40" s="1"/>
  <c r="AF156" i="40" a="1"/>
  <c r="AF156" i="40" s="1"/>
  <c r="F114" i="2" s="1"/>
  <c r="AE162" i="40" a="1"/>
  <c r="AE162" i="40" s="1"/>
  <c r="G108" i="2" s="1"/>
  <c r="X154" i="40" a="1"/>
  <c r="X154" i="40" s="1"/>
  <c r="F64" i="2" s="1"/>
  <c r="R158" i="40" a="1"/>
  <c r="R158" i="40" s="1"/>
  <c r="F32" i="2" s="1"/>
  <c r="AE154" i="40" a="1"/>
  <c r="AE154" i="40" s="1"/>
  <c r="F106" i="2" s="1"/>
  <c r="Y163" i="40" a="1"/>
  <c r="Y163" i="40" s="1"/>
  <c r="G73" i="2" s="1"/>
  <c r="S154" i="40" a="1"/>
  <c r="S154" i="40" s="1"/>
  <c r="F34" i="2" s="1"/>
  <c r="V162" i="40" a="1"/>
  <c r="V162" i="40" s="1"/>
  <c r="G54" i="2" s="1"/>
  <c r="C16" i="43"/>
  <c r="AH160" i="40" a="1"/>
  <c r="AH160" i="40" s="1"/>
  <c r="G118" i="2" s="1"/>
  <c r="AD156" i="40" a="1"/>
  <c r="AD156" i="40" s="1"/>
  <c r="F102" i="2" s="1"/>
  <c r="Y164" i="40" a="1"/>
  <c r="Y164" i="40" s="1"/>
  <c r="G74" i="2" s="1"/>
  <c r="X156" i="40" a="1"/>
  <c r="X156" i="40" s="1"/>
  <c r="F66" i="2" s="1"/>
  <c r="X162" i="40" a="1"/>
  <c r="X162" i="40" s="1"/>
  <c r="G66" i="2" s="1"/>
  <c r="AJ160" i="40" a="1"/>
  <c r="AJ160" i="40" s="1"/>
  <c r="G130" i="2" s="1"/>
  <c r="Z160" i="40" a="1"/>
  <c r="Z160" i="40" s="1"/>
  <c r="G76" i="2" s="1"/>
  <c r="AE155" i="40" a="1"/>
  <c r="AE155" i="40" s="1"/>
  <c r="F107" i="2" s="1"/>
  <c r="T154" i="40" a="1"/>
  <c r="T154" i="40" s="1"/>
  <c r="F40" i="2" s="1"/>
  <c r="Y155" i="40" a="1"/>
  <c r="Y155" i="40" s="1"/>
  <c r="F71" i="2" s="1"/>
  <c r="AE161" i="40" a="1"/>
  <c r="AE161" i="40" s="1"/>
  <c r="G107" i="2" s="1"/>
  <c r="V161" i="40" a="1"/>
  <c r="V161" i="40" s="1"/>
  <c r="G53" i="2" s="1"/>
  <c r="Y156" i="40" a="1"/>
  <c r="Y156" i="40" s="1"/>
  <c r="F72" i="2" s="1"/>
  <c r="Y157" i="40" a="1"/>
  <c r="Y157" i="40" s="1"/>
  <c r="F73" i="2" s="1"/>
  <c r="U155" i="40" a="1"/>
  <c r="U155" i="40" s="1"/>
  <c r="F47" i="2" s="1"/>
  <c r="AF161" i="40" a="1"/>
  <c r="AF161" i="40" s="1"/>
  <c r="G113" i="2" s="1"/>
  <c r="X163" i="40" a="1"/>
  <c r="X163" i="40" s="1"/>
  <c r="G67" i="2" s="1"/>
  <c r="A18" i="43"/>
  <c r="AH161" i="40" a="1"/>
  <c r="AH161" i="40" s="1"/>
  <c r="G119" i="2" s="1"/>
  <c r="T155" i="40" a="1"/>
  <c r="T155" i="40" s="1"/>
  <c r="F41" i="2" s="1"/>
  <c r="AF158" i="40" a="1"/>
  <c r="AF158" i="40" s="1"/>
  <c r="F116" i="2" s="1"/>
  <c r="Y161" i="40" a="1"/>
  <c r="Y161" i="40" s="1"/>
  <c r="G71" i="2" s="1"/>
  <c r="T163" i="40" a="1"/>
  <c r="T163" i="40" s="1"/>
  <c r="G43" i="2" s="1"/>
  <c r="AJ161" i="40" a="1"/>
  <c r="AJ161" i="40" s="1"/>
  <c r="G131" i="2" s="1"/>
  <c r="AG160" i="40" a="1"/>
  <c r="AG160" i="40" s="1"/>
  <c r="U154" i="40" a="1"/>
  <c r="U154" i="40" s="1"/>
  <c r="F46" i="2" s="1"/>
  <c r="Z161" i="40" a="1"/>
  <c r="Z161" i="40" s="1"/>
  <c r="G77" i="2" s="1"/>
  <c r="AG161" i="40" a="1"/>
  <c r="AG161" i="40" s="1"/>
  <c r="AD155" i="40" a="1"/>
  <c r="AD155" i="40" s="1"/>
  <c r="F101" i="2" s="1"/>
  <c r="W164" i="40" a="1"/>
  <c r="W164" i="40" s="1"/>
  <c r="G62" i="2" s="1"/>
  <c r="AA162" i="40" a="1"/>
  <c r="AA162" i="40" s="1"/>
  <c r="G84" i="2" s="1"/>
  <c r="AC162" i="40" a="1"/>
  <c r="AC162" i="40" s="1"/>
  <c r="G96" i="2" s="1"/>
  <c r="X157" i="40" a="1"/>
  <c r="X157" i="40" s="1"/>
  <c r="F67" i="2" s="1"/>
  <c r="X161" i="40" a="1"/>
  <c r="X161" i="40" s="1"/>
  <c r="G65" i="2" s="1"/>
  <c r="S164" i="40" a="1"/>
  <c r="S164" i="40" s="1"/>
  <c r="G38" i="2" s="1"/>
  <c r="A14" i="33"/>
  <c r="Z158" i="40" a="1"/>
  <c r="Z158" i="40" s="1"/>
  <c r="F80" i="2" s="1"/>
  <c r="AJ157" i="40" a="1"/>
  <c r="AJ157" i="40" s="1"/>
  <c r="F133" i="2" s="1"/>
  <c r="Y158" i="40" a="1"/>
  <c r="Y158" i="40" s="1"/>
  <c r="F74" i="2" s="1"/>
  <c r="AH157" i="40" a="1"/>
  <c r="AH157" i="40" s="1"/>
  <c r="F121" i="2" s="1"/>
  <c r="AJ156" i="40" a="1"/>
  <c r="AJ156" i="40" s="1"/>
  <c r="F132" i="2" s="1"/>
  <c r="AA154" i="40" a="1"/>
  <c r="AA154" i="40" s="1"/>
  <c r="F82" i="2" s="1"/>
  <c r="U161" i="40" a="1"/>
  <c r="U161" i="40" s="1"/>
  <c r="G47" i="2" s="1"/>
  <c r="AI163" i="40" a="1"/>
  <c r="AI163" i="40" s="1"/>
  <c r="G127" i="2" s="1"/>
  <c r="AI164" i="40" a="1"/>
  <c r="AI164" i="40" s="1"/>
  <c r="G128" i="2" s="1"/>
  <c r="AI155" i="40" a="1"/>
  <c r="AI155" i="40" s="1"/>
  <c r="F125" i="2" s="1"/>
  <c r="AA164" i="40" a="1"/>
  <c r="AA164" i="40" s="1"/>
  <c r="G86" i="2" s="1"/>
  <c r="R162" i="40" a="1"/>
  <c r="R162" i="40" s="1"/>
  <c r="G30" i="2" s="1"/>
  <c r="AE156" i="40" a="1"/>
  <c r="AE156" i="40" s="1"/>
  <c r="F108" i="2" s="1"/>
  <c r="AI162" i="40" a="1"/>
  <c r="AI162" i="40" s="1"/>
  <c r="G126" i="2" s="1"/>
  <c r="AE158" i="40" a="1"/>
  <c r="AE158" i="40" s="1"/>
  <c r="F110" i="2" s="1"/>
  <c r="AH158" i="40" a="1"/>
  <c r="AH158" i="40" s="1"/>
  <c r="F122" i="2" s="1"/>
  <c r="AC156" i="40" a="1"/>
  <c r="AC156" i="40" s="1"/>
  <c r="F96" i="2" s="1"/>
  <c r="AD158" i="40" a="1"/>
  <c r="AD158" i="40" s="1"/>
  <c r="F104" i="2" s="1"/>
  <c r="R157" i="40" a="1"/>
  <c r="R157" i="40" s="1"/>
  <c r="F31" i="2" s="1"/>
  <c r="AD157" i="40" a="1"/>
  <c r="AD157" i="40" s="1"/>
  <c r="F103" i="2" s="1"/>
  <c r="Y154" i="40" a="1"/>
  <c r="Y154" i="40" s="1"/>
  <c r="F70" i="2" s="1"/>
  <c r="AJ164" i="40" a="1"/>
  <c r="AJ164" i="40" s="1"/>
  <c r="G134" i="2" s="1"/>
  <c r="AJ158" i="40" a="1"/>
  <c r="AJ158" i="40" s="1"/>
  <c r="F134" i="2" s="1"/>
  <c r="W163" i="40" a="1"/>
  <c r="W163" i="40" s="1"/>
  <c r="G61" i="2" s="1"/>
  <c r="AF162" i="40" a="1"/>
  <c r="AF162" i="40" s="1"/>
  <c r="G114" i="2" s="1"/>
  <c r="T164" i="40" a="1"/>
  <c r="T164" i="40" s="1"/>
  <c r="G44" i="2" s="1"/>
  <c r="AA156" i="40" a="1"/>
  <c r="AA156" i="40" s="1"/>
  <c r="F84" i="2" s="1"/>
  <c r="AC157" i="40" a="1"/>
  <c r="AC157" i="40" s="1"/>
  <c r="F97" i="2" s="1"/>
  <c r="X164" i="40" a="1"/>
  <c r="X164" i="40" s="1"/>
  <c r="G68" i="2" s="1"/>
  <c r="Y160" i="40" a="1"/>
  <c r="Y160" i="40" s="1"/>
  <c r="G70" i="2" s="1"/>
  <c r="AF163" i="40" a="1"/>
  <c r="AF163" i="40" s="1"/>
  <c r="G115" i="2" s="1"/>
  <c r="Z163" i="40" a="1"/>
  <c r="Z163" i="40" s="1"/>
  <c r="G79" i="2" s="1"/>
  <c r="T157" i="40" a="1"/>
  <c r="T157" i="40" s="1"/>
  <c r="F43" i="2" s="1"/>
  <c r="W162" i="40" a="1"/>
  <c r="W162" i="40" s="1"/>
  <c r="G60" i="2" s="1"/>
  <c r="AB155" i="40" a="1"/>
  <c r="AB155" i="40" s="1"/>
  <c r="F89" i="2" s="1"/>
  <c r="AB158" i="40" a="1"/>
  <c r="AB158" i="40" s="1"/>
  <c r="F92" i="2" s="1"/>
  <c r="AE160" i="40" a="1"/>
  <c r="AE160" i="40" s="1"/>
  <c r="G106" i="2" s="1"/>
  <c r="V155" i="40" a="1"/>
  <c r="V155" i="40" s="1"/>
  <c r="F53" i="2" s="1"/>
  <c r="AB162" i="40" a="1"/>
  <c r="AB162" i="40" s="1"/>
  <c r="G90" i="2" s="1"/>
  <c r="Z156" i="40" a="1"/>
  <c r="Z156" i="40" s="1"/>
  <c r="F78" i="2" s="1"/>
  <c r="AB163" i="40" a="1"/>
  <c r="AB163" i="40" s="1"/>
  <c r="G91" i="2" s="1"/>
  <c r="AI154" i="40" a="1"/>
  <c r="AI154" i="40" s="1"/>
  <c r="F124" i="2" s="1"/>
  <c r="U164" i="40" a="1"/>
  <c r="U164" i="40" s="1"/>
  <c r="G50" i="2" s="1"/>
  <c r="AB164" i="40" a="1"/>
  <c r="AB164" i="40" s="1"/>
  <c r="G92" i="2" s="1"/>
  <c r="AA158" i="40" a="1"/>
  <c r="AA158" i="40" s="1"/>
  <c r="F86" i="2" s="1"/>
  <c r="AG154" i="40" a="1"/>
  <c r="AG154" i="40" s="1"/>
  <c r="AF155" i="40" a="1"/>
  <c r="AF155" i="40" s="1"/>
  <c r="F113" i="2" s="1"/>
  <c r="X158" i="40" a="1"/>
  <c r="X158" i="40" s="1"/>
  <c r="F68" i="2" s="1"/>
  <c r="E123" i="2"/>
  <c r="E155" i="2" s="1"/>
  <c r="G819" i="2" s="1"/>
  <c r="I819" i="2" s="1"/>
  <c r="AD162" i="40" a="1"/>
  <c r="AD162" i="40" s="1"/>
  <c r="G102" i="2" s="1"/>
  <c r="AH163" i="40" a="1"/>
  <c r="AH163" i="40" s="1"/>
  <c r="G121" i="2" s="1"/>
  <c r="AJ163" i="40" a="1"/>
  <c r="AJ163" i="40" s="1"/>
  <c r="G133" i="2" s="1"/>
  <c r="W157" i="40" a="1"/>
  <c r="W157" i="40" s="1"/>
  <c r="F61" i="2" s="1"/>
  <c r="AG156" i="40" a="1"/>
  <c r="AG156" i="40" s="1"/>
  <c r="AG155" i="40" a="1"/>
  <c r="AG155" i="40" s="1"/>
  <c r="S160" i="40" a="1"/>
  <c r="S160" i="40" s="1"/>
  <c r="G34" i="2" s="1"/>
  <c r="S161" i="40" a="1"/>
  <c r="S161" i="40" s="1"/>
  <c r="G35" i="2" s="1"/>
  <c r="S163" i="40" a="1"/>
  <c r="S163" i="40" s="1"/>
  <c r="G37" i="2" s="1"/>
  <c r="S157" i="40" a="1"/>
  <c r="S157" i="40" s="1"/>
  <c r="F37" i="2" s="1"/>
  <c r="AE164" i="40" a="1"/>
  <c r="AE164" i="40" s="1"/>
  <c r="G110" i="2" s="1"/>
  <c r="AA160" i="40" a="1"/>
  <c r="AA160" i="40" s="1"/>
  <c r="G82" i="2" s="1"/>
  <c r="AG163" i="40" a="1"/>
  <c r="AG163" i="40" s="1"/>
  <c r="V154" i="40" a="1"/>
  <c r="V154" i="40" s="1"/>
  <c r="F52" i="2" s="1"/>
  <c r="AF154" i="40" a="1"/>
  <c r="AF154" i="40" s="1"/>
  <c r="F112" i="2" s="1"/>
  <c r="AB161" i="40" a="1"/>
  <c r="AB161" i="40" s="1"/>
  <c r="G89" i="2" s="1"/>
  <c r="R155" i="40" a="1"/>
  <c r="R155" i="40" s="1"/>
  <c r="F29" i="2" s="1"/>
  <c r="V164" i="40" a="1"/>
  <c r="V164" i="40" s="1"/>
  <c r="G56" i="2" s="1"/>
  <c r="V163" i="40" a="1"/>
  <c r="V163" i="40" s="1"/>
  <c r="G55" i="2" s="1"/>
  <c r="W155" i="40" a="1"/>
  <c r="W155" i="40" s="1"/>
  <c r="F59" i="2" s="1"/>
  <c r="AJ162" i="40" a="1"/>
  <c r="AJ162" i="40" s="1"/>
  <c r="G132" i="2" s="1"/>
  <c r="Z154" i="40" a="1"/>
  <c r="Z154" i="40" s="1"/>
  <c r="F76" i="2" s="1"/>
  <c r="T156" i="40" a="1"/>
  <c r="T156" i="40" s="1"/>
  <c r="F42" i="2" s="1"/>
  <c r="Z164" i="40" a="1"/>
  <c r="Z164" i="40" s="1"/>
  <c r="G80" i="2" s="1"/>
  <c r="AC161" i="40" a="1"/>
  <c r="AC161" i="40" s="1"/>
  <c r="G95" i="2" s="1"/>
  <c r="AC164" i="40" a="1"/>
  <c r="AC164" i="40" s="1"/>
  <c r="G98" i="2" s="1"/>
  <c r="T161" i="40" a="1"/>
  <c r="T161" i="40" s="1"/>
  <c r="G41" i="2" s="1"/>
  <c r="AF157" i="40" a="1"/>
  <c r="AF157" i="40" s="1"/>
  <c r="F115" i="2" s="1"/>
  <c r="U158" i="40" a="1"/>
  <c r="U158" i="40" s="1"/>
  <c r="F50" i="2" s="1"/>
  <c r="AI161" i="40" a="1"/>
  <c r="AI161" i="40" s="1"/>
  <c r="G125" i="2" s="1"/>
  <c r="S155" i="40" a="1"/>
  <c r="S155" i="40" s="1"/>
  <c r="F35" i="2" s="1"/>
  <c r="S156" i="40" a="1"/>
  <c r="S156" i="40" s="1"/>
  <c r="F36" i="2" s="1"/>
  <c r="AI157" i="40" a="1"/>
  <c r="AI157" i="40" s="1"/>
  <c r="F127" i="2" s="1"/>
  <c r="AA157" i="40" a="1"/>
  <c r="AA157" i="40" s="1"/>
  <c r="F85" i="2" s="1"/>
  <c r="S158" i="40" a="1"/>
  <c r="S158" i="40" s="1"/>
  <c r="F38" i="2" s="1"/>
  <c r="Z155" i="40" a="1"/>
  <c r="Z155" i="40" s="1"/>
  <c r="F77" i="2" s="1"/>
  <c r="V157" i="40" a="1"/>
  <c r="V157" i="40" s="1"/>
  <c r="F55" i="2" s="1"/>
  <c r="R160" i="40" a="1"/>
  <c r="R160" i="40" s="1"/>
  <c r="G28" i="2" s="1"/>
  <c r="U163" i="40" a="1"/>
  <c r="U163" i="40" s="1"/>
  <c r="G49" i="2" s="1"/>
  <c r="AG164" i="40" a="1"/>
  <c r="AG164" i="40" s="1"/>
  <c r="AG157" i="40" a="1"/>
  <c r="AG157" i="40" s="1"/>
  <c r="AI158" i="40" a="1"/>
  <c r="AI158" i="40" s="1"/>
  <c r="F128" i="2" s="1"/>
  <c r="AF164" i="40" a="1"/>
  <c r="AF164" i="40" s="1"/>
  <c r="G116" i="2" s="1"/>
  <c r="T158" i="40" a="1"/>
  <c r="T158" i="40" s="1"/>
  <c r="F44" i="2" s="1"/>
  <c r="AG158" i="40" a="1"/>
  <c r="AG158" i="40" s="1"/>
  <c r="AI160" i="40" a="1"/>
  <c r="AI160" i="40" s="1"/>
  <c r="G124" i="2" s="1"/>
  <c r="AB154" i="40" a="1"/>
  <c r="AB154" i="40" s="1"/>
  <c r="F88" i="2" s="1"/>
  <c r="V156" i="40" a="1"/>
  <c r="V156" i="40" s="1"/>
  <c r="F54" i="2" s="1"/>
  <c r="E280" i="2"/>
  <c r="G881" i="2" s="1"/>
  <c r="I881" i="2" s="1"/>
  <c r="H13" i="43"/>
  <c r="F14" i="43"/>
  <c r="D17" i="43"/>
  <c r="E16" i="43"/>
  <c r="F15" i="43"/>
  <c r="G12" i="43"/>
  <c r="C17" i="43" l="1"/>
  <c r="H12" i="43"/>
  <c r="A19" i="43"/>
  <c r="A15" i="33"/>
  <c r="A16" i="33" s="1"/>
  <c r="G14" i="43"/>
  <c r="D18" i="43"/>
  <c r="G15" i="43"/>
  <c r="E17" i="43"/>
  <c r="F16" i="43"/>
  <c r="H14" i="43" l="1"/>
  <c r="C18" i="43"/>
  <c r="H15" i="43"/>
  <c r="A18" i="33"/>
  <c r="A20" i="43"/>
  <c r="G16" i="43"/>
  <c r="D19" i="43"/>
  <c r="F17" i="43"/>
  <c r="E18" i="43"/>
  <c r="A19" i="33" l="1"/>
  <c r="A20" i="33" s="1"/>
  <c r="A21" i="33" s="1"/>
  <c r="A22" i="33" s="1"/>
  <c r="A23" i="33" s="1"/>
  <c r="A24" i="33" s="1"/>
  <c r="A25" i="33" s="1"/>
  <c r="A26" i="33" s="1"/>
  <c r="A28" i="33" s="1"/>
  <c r="A29" i="33" s="1"/>
  <c r="A30" i="33" s="1"/>
  <c r="A31" i="33" s="1"/>
  <c r="A32" i="33" s="1"/>
  <c r="A33" i="33" s="1"/>
  <c r="A35" i="33" s="1"/>
  <c r="A36" i="33" s="1"/>
  <c r="A37" i="33" s="1"/>
  <c r="A39" i="33" s="1"/>
  <c r="A40" i="33" s="1"/>
  <c r="A41" i="33" s="1"/>
  <c r="A42" i="33" s="1"/>
  <c r="A44" i="33" s="1"/>
  <c r="A45" i="33" s="1"/>
  <c r="A46" i="33" s="1"/>
  <c r="A47" i="33" s="1"/>
  <c r="A48" i="33" s="1"/>
  <c r="H16" i="43"/>
  <c r="C19" i="43"/>
  <c r="A21" i="43"/>
  <c r="D20" i="43"/>
  <c r="F18" i="43"/>
  <c r="G17" i="43"/>
  <c r="E19" i="43"/>
  <c r="H17" i="43" l="1"/>
  <c r="C20" i="43"/>
  <c r="A49" i="33"/>
  <c r="A50" i="33" s="1"/>
  <c r="A51" i="33" s="1"/>
  <c r="A52" i="33" s="1"/>
  <c r="A53" i="33" s="1"/>
  <c r="A54" i="33" s="1"/>
  <c r="A56" i="33" s="1"/>
  <c r="A57" i="33" s="1"/>
  <c r="A58" i="33" s="1"/>
  <c r="A59" i="33" s="1"/>
  <c r="A61" i="33" s="1"/>
  <c r="A73" i="33" s="1"/>
  <c r="A74" i="33" s="1"/>
  <c r="A77" i="33" s="1"/>
  <c r="A78" i="33" s="1"/>
  <c r="A83" i="33" s="1"/>
  <c r="A84" i="33" s="1"/>
  <c r="A86" i="33" s="1"/>
  <c r="A87" i="33" s="1"/>
  <c r="A89" i="33" s="1"/>
  <c r="A90" i="33" s="1"/>
  <c r="A91" i="33" s="1"/>
  <c r="A92" i="33" s="1"/>
  <c r="A22" i="43"/>
  <c r="G18" i="43"/>
  <c r="E20" i="43"/>
  <c r="D21" i="43"/>
  <c r="F19" i="43"/>
  <c r="C21" i="43" l="1"/>
  <c r="H18" i="43"/>
  <c r="A23" i="43"/>
  <c r="F20" i="43"/>
  <c r="E21" i="43"/>
  <c r="G19" i="43"/>
  <c r="D22" i="43"/>
  <c r="C22" i="43" l="1"/>
  <c r="H19" i="43"/>
  <c r="A24" i="43"/>
  <c r="D23" i="43"/>
  <c r="E22" i="43"/>
  <c r="F21" i="43"/>
  <c r="G20" i="43"/>
  <c r="H20" i="43" l="1"/>
  <c r="C23" i="43"/>
  <c r="A25" i="43"/>
  <c r="G21" i="43"/>
  <c r="D24" i="43"/>
  <c r="F22" i="43"/>
  <c r="E23" i="43"/>
  <c r="C24" i="43" l="1"/>
  <c r="H21" i="43"/>
  <c r="A26" i="43"/>
  <c r="E24" i="43"/>
  <c r="G22" i="43"/>
  <c r="D25" i="43"/>
  <c r="F23" i="43"/>
  <c r="H22" i="43" l="1"/>
  <c r="C25" i="43"/>
  <c r="A27" i="43"/>
  <c r="G23" i="43"/>
  <c r="D26" i="43"/>
  <c r="F24" i="43"/>
  <c r="E25" i="43"/>
  <c r="C26" i="43" l="1"/>
  <c r="H23" i="43"/>
  <c r="A28" i="43"/>
  <c r="G24" i="43"/>
  <c r="E26" i="43"/>
  <c r="D27" i="43"/>
  <c r="F25" i="43"/>
  <c r="H24" i="43" l="1"/>
  <c r="C27" i="43"/>
  <c r="A29" i="43"/>
  <c r="E27" i="43"/>
  <c r="F26" i="43"/>
  <c r="D28" i="43"/>
  <c r="G25" i="43"/>
  <c r="C28" i="43" l="1"/>
  <c r="H25" i="43"/>
  <c r="A30" i="43"/>
  <c r="E28" i="43"/>
  <c r="F27" i="43"/>
  <c r="D29" i="43"/>
  <c r="G26" i="43"/>
  <c r="C29" i="43" l="1"/>
  <c r="H26" i="43"/>
  <c r="A31" i="43"/>
  <c r="E29" i="43"/>
  <c r="F28" i="43"/>
  <c r="G27" i="43"/>
  <c r="D30" i="43"/>
  <c r="C30" i="43" l="1"/>
  <c r="H27" i="43"/>
  <c r="A32" i="43"/>
  <c r="G28" i="43"/>
  <c r="F29" i="43"/>
  <c r="E30" i="43"/>
  <c r="D31" i="43"/>
  <c r="C31" i="43" l="1"/>
  <c r="H28" i="43"/>
  <c r="A33" i="43"/>
  <c r="E31" i="43"/>
  <c r="F30" i="43"/>
  <c r="G29" i="43"/>
  <c r="D32" i="43"/>
  <c r="C32" i="43" l="1"/>
  <c r="H29" i="43"/>
  <c r="A34" i="43"/>
  <c r="D33" i="43"/>
  <c r="G30" i="43"/>
  <c r="E32" i="43"/>
  <c r="F31" i="43"/>
  <c r="C33" i="43" l="1"/>
  <c r="H30" i="43"/>
  <c r="A35" i="43"/>
  <c r="E33" i="43"/>
  <c r="G31" i="43"/>
  <c r="F32" i="43"/>
  <c r="D34" i="43"/>
  <c r="C34" i="43" l="1"/>
  <c r="H31" i="43"/>
  <c r="A36" i="43"/>
  <c r="F33" i="43"/>
  <c r="D35" i="43"/>
  <c r="G32" i="43"/>
  <c r="E34" i="43"/>
  <c r="C35" i="43" l="1"/>
  <c r="H32" i="43"/>
  <c r="A37" i="43"/>
  <c r="G33" i="43"/>
  <c r="D36" i="43"/>
  <c r="E35" i="43"/>
  <c r="F34" i="43"/>
  <c r="C36" i="43" l="1"/>
  <c r="H33" i="43"/>
  <c r="A38" i="43"/>
  <c r="D37" i="43"/>
  <c r="E36" i="43"/>
  <c r="F35" i="43"/>
  <c r="G34" i="43"/>
  <c r="H34" i="43" l="1"/>
  <c r="C37" i="43"/>
  <c r="A39" i="43"/>
  <c r="D38" i="43"/>
  <c r="F36" i="43"/>
  <c r="G35" i="43"/>
  <c r="E37" i="43"/>
  <c r="H35" i="43" l="1"/>
  <c r="C38" i="43"/>
  <c r="A40" i="43"/>
  <c r="F37" i="43"/>
  <c r="G36" i="43"/>
  <c r="D39" i="43"/>
  <c r="E38" i="43"/>
  <c r="C39" i="43" l="1"/>
  <c r="H36" i="43"/>
  <c r="A41" i="43"/>
  <c r="D40" i="43"/>
  <c r="G37" i="43"/>
  <c r="E39" i="43"/>
  <c r="F38" i="43"/>
  <c r="H37" i="43" l="1"/>
  <c r="C40" i="43"/>
  <c r="A42" i="43"/>
  <c r="G38" i="43"/>
  <c r="E40" i="43"/>
  <c r="F39" i="43"/>
  <c r="D41" i="43"/>
  <c r="C41" i="43" l="1"/>
  <c r="H38" i="43"/>
  <c r="A43" i="43"/>
  <c r="G39" i="43"/>
  <c r="D42" i="43"/>
  <c r="F40" i="43"/>
  <c r="E41" i="43"/>
  <c r="C42" i="43" l="1"/>
  <c r="H39" i="43"/>
  <c r="A44" i="43"/>
  <c r="G40" i="43"/>
  <c r="D43" i="43"/>
  <c r="E42" i="43"/>
  <c r="F41" i="43"/>
  <c r="C43" i="43" l="1"/>
  <c r="H40" i="43"/>
  <c r="A45" i="43"/>
  <c r="D44" i="43"/>
  <c r="E43" i="43"/>
  <c r="F42" i="43"/>
  <c r="G41" i="43"/>
  <c r="H41" i="43" l="1"/>
  <c r="C44" i="43"/>
  <c r="A46" i="43"/>
  <c r="E44" i="43"/>
  <c r="G42" i="43"/>
  <c r="F43" i="43"/>
  <c r="D45" i="43"/>
  <c r="H42" i="43" l="1"/>
  <c r="C45" i="43"/>
  <c r="A47" i="43"/>
  <c r="E45" i="43"/>
  <c r="F44" i="43"/>
  <c r="G43" i="43"/>
  <c r="D46" i="43"/>
  <c r="C46" i="43" l="1"/>
  <c r="H43" i="43"/>
  <c r="A48" i="43"/>
  <c r="E46" i="43"/>
  <c r="D47" i="43"/>
  <c r="G44" i="43"/>
  <c r="F45" i="43"/>
  <c r="C47" i="43" l="1"/>
  <c r="H44" i="43"/>
  <c r="A49" i="43"/>
  <c r="G45" i="43"/>
  <c r="E47" i="43"/>
  <c r="D48" i="43"/>
  <c r="F46" i="43"/>
  <c r="H45" i="43" l="1"/>
  <c r="C48" i="43"/>
  <c r="A50" i="43"/>
  <c r="F47" i="43"/>
  <c r="G46" i="43"/>
  <c r="E48" i="43"/>
  <c r="D49" i="43"/>
  <c r="C49" i="43" l="1"/>
  <c r="H46" i="43"/>
  <c r="A51" i="43"/>
  <c r="G47" i="43"/>
  <c r="E49" i="43"/>
  <c r="F48" i="43"/>
  <c r="D50" i="43"/>
  <c r="C50" i="43" l="1"/>
  <c r="H47" i="43"/>
  <c r="A52" i="43"/>
  <c r="D51" i="43"/>
  <c r="E50" i="43"/>
  <c r="F49" i="43"/>
  <c r="G48" i="43"/>
  <c r="C51" i="43" l="1"/>
  <c r="H48" i="43"/>
  <c r="A53" i="43"/>
  <c r="E51" i="43"/>
  <c r="D52" i="43"/>
  <c r="F50" i="43"/>
  <c r="G49" i="43"/>
  <c r="C52" i="43" l="1"/>
  <c r="H49" i="43"/>
  <c r="A54" i="43"/>
  <c r="E52" i="43"/>
  <c r="D53" i="43"/>
  <c r="G50" i="43"/>
  <c r="F51" i="43"/>
  <c r="C53" i="43" l="1"/>
  <c r="H50" i="43"/>
  <c r="A55" i="43"/>
  <c r="G51" i="43"/>
  <c r="F52" i="43"/>
  <c r="E53" i="43"/>
  <c r="D54" i="43"/>
  <c r="H51" i="43" l="1"/>
  <c r="C54" i="43"/>
  <c r="A56" i="43"/>
  <c r="F53" i="43"/>
  <c r="E54" i="43"/>
  <c r="G52" i="43"/>
  <c r="D55" i="43"/>
  <c r="C55" i="43" l="1"/>
  <c r="H52" i="43"/>
  <c r="A57" i="43"/>
  <c r="E55" i="43"/>
  <c r="G53" i="43"/>
  <c r="F54" i="43"/>
  <c r="D56" i="43"/>
  <c r="H53" i="43" l="1"/>
  <c r="C56" i="43"/>
  <c r="A58" i="43"/>
  <c r="F55" i="43"/>
  <c r="E56" i="43"/>
  <c r="G54" i="43"/>
  <c r="D57" i="43"/>
  <c r="C57" i="43" l="1"/>
  <c r="H54" i="43"/>
  <c r="A59" i="43"/>
  <c r="G55" i="43"/>
  <c r="D58" i="43"/>
  <c r="F56" i="43"/>
  <c r="E57" i="43"/>
  <c r="H55" i="43" l="1"/>
  <c r="C58" i="43"/>
  <c r="A60" i="43"/>
  <c r="F57" i="43"/>
  <c r="E58" i="43"/>
  <c r="G56" i="43"/>
  <c r="D59" i="43"/>
  <c r="C59" i="43" l="1"/>
  <c r="H56" i="43"/>
  <c r="A61" i="43"/>
  <c r="D60" i="43"/>
  <c r="D61" i="43"/>
  <c r="E59" i="43"/>
  <c r="G57" i="43"/>
  <c r="F58" i="43"/>
  <c r="H57" i="43" l="1"/>
  <c r="C60" i="43"/>
  <c r="C61" i="43"/>
  <c r="E61" i="43"/>
  <c r="E60" i="43"/>
  <c r="F59" i="43"/>
  <c r="G58" i="43"/>
  <c r="E9" i="43" l="1"/>
  <c r="I57" i="43" s="1"/>
  <c r="J57" i="43" s="1"/>
  <c r="H58" i="43"/>
  <c r="G59" i="43"/>
  <c r="F61" i="43"/>
  <c r="F60" i="43"/>
  <c r="I58" i="43" l="1"/>
  <c r="J58" i="43" s="1"/>
  <c r="H59" i="43"/>
  <c r="I59" i="43" s="1"/>
  <c r="J59" i="43" s="1"/>
  <c r="I18" i="43"/>
  <c r="J18" i="43" s="1"/>
  <c r="I26" i="43"/>
  <c r="J26" i="43" s="1"/>
  <c r="I34" i="43"/>
  <c r="J34" i="43" s="1"/>
  <c r="I42" i="43"/>
  <c r="J42" i="43" s="1"/>
  <c r="I50" i="43"/>
  <c r="J50" i="43" s="1"/>
  <c r="I27" i="43"/>
  <c r="J27" i="43" s="1"/>
  <c r="I35" i="43"/>
  <c r="J35" i="43" s="1"/>
  <c r="I51" i="43"/>
  <c r="J51" i="43" s="1"/>
  <c r="I14" i="43"/>
  <c r="J14" i="43" s="1"/>
  <c r="I20" i="43"/>
  <c r="J20" i="43" s="1"/>
  <c r="I36" i="43"/>
  <c r="J36" i="43" s="1"/>
  <c r="I44" i="43"/>
  <c r="J44" i="43" s="1"/>
  <c r="I25" i="43"/>
  <c r="J25" i="43" s="1"/>
  <c r="I49" i="43"/>
  <c r="J49" i="43" s="1"/>
  <c r="I19" i="43"/>
  <c r="J19" i="43" s="1"/>
  <c r="I43" i="43"/>
  <c r="J43" i="43" s="1"/>
  <c r="I28" i="43"/>
  <c r="J28" i="43" s="1"/>
  <c r="I53" i="43"/>
  <c r="J53" i="43" s="1"/>
  <c r="K53" i="43" s="1"/>
  <c r="I13" i="43"/>
  <c r="J13" i="43" s="1"/>
  <c r="I21" i="43"/>
  <c r="J21" i="43" s="1"/>
  <c r="I29" i="43"/>
  <c r="J29" i="43" s="1"/>
  <c r="I37" i="43"/>
  <c r="J37" i="43" s="1"/>
  <c r="I45" i="43"/>
  <c r="J45" i="43" s="1"/>
  <c r="I56" i="43"/>
  <c r="J56" i="43" s="1"/>
  <c r="I15" i="43"/>
  <c r="J15" i="43" s="1"/>
  <c r="I31" i="43"/>
  <c r="J31" i="43" s="1"/>
  <c r="I47" i="43"/>
  <c r="J47" i="43" s="1"/>
  <c r="I16" i="43"/>
  <c r="J16" i="43" s="1"/>
  <c r="I32" i="43"/>
  <c r="J32" i="43" s="1"/>
  <c r="I48" i="43"/>
  <c r="J48" i="43" s="1"/>
  <c r="I17" i="43"/>
  <c r="J17" i="43" s="1"/>
  <c r="I41" i="43"/>
  <c r="J41" i="43" s="1"/>
  <c r="I52" i="43"/>
  <c r="J52" i="43" s="1"/>
  <c r="I12" i="43"/>
  <c r="I22" i="43"/>
  <c r="J22" i="43" s="1"/>
  <c r="I30" i="43"/>
  <c r="J30" i="43" s="1"/>
  <c r="I38" i="43"/>
  <c r="J38" i="43" s="1"/>
  <c r="I46" i="43"/>
  <c r="J46" i="43" s="1"/>
  <c r="I54" i="43"/>
  <c r="J54" i="43" s="1"/>
  <c r="I23" i="43"/>
  <c r="J23" i="43" s="1"/>
  <c r="I39" i="43"/>
  <c r="J39" i="43" s="1"/>
  <c r="I55" i="43"/>
  <c r="J55" i="43" s="1"/>
  <c r="I24" i="43"/>
  <c r="J24" i="43" s="1"/>
  <c r="I40" i="43"/>
  <c r="J40" i="43" s="1"/>
  <c r="I33" i="43"/>
  <c r="J33" i="43" s="1"/>
  <c r="G61" i="43"/>
  <c r="G60" i="43"/>
  <c r="H60" i="43" l="1"/>
  <c r="I60" i="43" s="1"/>
  <c r="J60" i="43" s="1"/>
  <c r="H61" i="43"/>
  <c r="I61" i="43" s="1"/>
  <c r="J61" i="43" s="1"/>
  <c r="J12" i="43"/>
  <c r="I9" i="43" l="1"/>
  <c r="J10" i="43"/>
  <c r="J9" i="43" l="1"/>
  <c r="K10" i="43" s="1"/>
  <c r="G10" i="43"/>
  <c r="K58" i="43" l="1"/>
  <c r="E206" i="2" s="1"/>
  <c r="E262" i="2" s="1"/>
  <c r="G868" i="2" s="1"/>
  <c r="I868" i="2" s="1"/>
  <c r="K57" i="43"/>
  <c r="E216" i="2" s="1"/>
  <c r="E272" i="2" s="1"/>
  <c r="G878" i="2" s="1"/>
  <c r="I878" i="2" s="1"/>
  <c r="K33" i="43"/>
  <c r="E182" i="2" s="1"/>
  <c r="E238" i="2" s="1"/>
  <c r="G844" i="2" s="1"/>
  <c r="I844" i="2" s="1"/>
  <c r="K34" i="43"/>
  <c r="E183" i="2" s="1"/>
  <c r="E239" i="2" s="1"/>
  <c r="G845" i="2" s="1"/>
  <c r="I845" i="2" s="1"/>
  <c r="K20" i="43"/>
  <c r="E170" i="2" s="1"/>
  <c r="E226" i="2" s="1"/>
  <c r="G832" i="2" s="1"/>
  <c r="I832" i="2" s="1"/>
  <c r="K17" i="43"/>
  <c r="E212" i="2" s="1"/>
  <c r="E268" i="2" s="1"/>
  <c r="G874" i="2" s="1"/>
  <c r="I874" i="2" s="1"/>
  <c r="K23" i="43"/>
  <c r="E175" i="2" s="1"/>
  <c r="E231" i="2" s="1"/>
  <c r="G837" i="2" s="1"/>
  <c r="I837" i="2" s="1"/>
  <c r="K35" i="43"/>
  <c r="K16" i="43"/>
  <c r="E166" i="2" s="1"/>
  <c r="E222" i="2" s="1"/>
  <c r="G828" i="2" s="1"/>
  <c r="I828" i="2" s="1"/>
  <c r="K39" i="43"/>
  <c r="E187" i="2" s="1"/>
  <c r="E243" i="2" s="1"/>
  <c r="G849" i="2" s="1"/>
  <c r="I849" i="2" s="1"/>
  <c r="K56" i="43"/>
  <c r="E205" i="2" s="1"/>
  <c r="E261" i="2" s="1"/>
  <c r="G867" i="2" s="1"/>
  <c r="I867" i="2" s="1"/>
  <c r="K43" i="43"/>
  <c r="E191" i="2" s="1"/>
  <c r="E247" i="2" s="1"/>
  <c r="G853" i="2" s="1"/>
  <c r="I853" i="2" s="1"/>
  <c r="K22" i="43"/>
  <c r="E174" i="2" s="1"/>
  <c r="E230" i="2" s="1"/>
  <c r="G836" i="2" s="1"/>
  <c r="I836" i="2" s="1"/>
  <c r="K21" i="43"/>
  <c r="E172" i="2" s="1"/>
  <c r="E228" i="2" s="1"/>
  <c r="G834" i="2" s="1"/>
  <c r="I834" i="2" s="1"/>
  <c r="K49" i="43"/>
  <c r="E198" i="2" s="1"/>
  <c r="E254" i="2" s="1"/>
  <c r="G860" i="2" s="1"/>
  <c r="I860" i="2" s="1"/>
  <c r="K28" i="43"/>
  <c r="E180" i="2" s="1"/>
  <c r="E236" i="2" s="1"/>
  <c r="G842" i="2" s="1"/>
  <c r="I842" i="2" s="1"/>
  <c r="K59" i="43"/>
  <c r="E217" i="2" s="1"/>
  <c r="E273" i="2" s="1"/>
  <c r="G879" i="2" s="1"/>
  <c r="I879" i="2" s="1"/>
  <c r="K55" i="43"/>
  <c r="E204" i="2" s="1"/>
  <c r="E260" i="2" s="1"/>
  <c r="G866" i="2" s="1"/>
  <c r="I866" i="2" s="1"/>
  <c r="K19" i="43"/>
  <c r="E169" i="2" s="1"/>
  <c r="E225" i="2" s="1"/>
  <c r="G831" i="2" s="1"/>
  <c r="I831" i="2" s="1"/>
  <c r="K25" i="43"/>
  <c r="E177" i="2" s="1"/>
  <c r="E233" i="2" s="1"/>
  <c r="G839" i="2" s="1"/>
  <c r="I839" i="2" s="1"/>
  <c r="K45" i="43"/>
  <c r="E194" i="2" s="1"/>
  <c r="E250" i="2" s="1"/>
  <c r="G856" i="2" s="1"/>
  <c r="I856" i="2" s="1"/>
  <c r="K26" i="43"/>
  <c r="E178" i="2" s="1"/>
  <c r="E234" i="2" s="1"/>
  <c r="G840" i="2" s="1"/>
  <c r="I840" i="2" s="1"/>
  <c r="K38" i="43"/>
  <c r="E186" i="2" s="1"/>
  <c r="E242" i="2" s="1"/>
  <c r="G848" i="2" s="1"/>
  <c r="I848" i="2" s="1"/>
  <c r="K41" i="43"/>
  <c r="E188" i="2" s="1"/>
  <c r="E244" i="2" s="1"/>
  <c r="G850" i="2" s="1"/>
  <c r="I850" i="2" s="1"/>
  <c r="K46" i="43"/>
  <c r="E195" i="2" s="1"/>
  <c r="E251" i="2" s="1"/>
  <c r="G857" i="2" s="1"/>
  <c r="I857" i="2" s="1"/>
  <c r="K32" i="43"/>
  <c r="E214" i="2" s="1"/>
  <c r="E270" i="2" s="1"/>
  <c r="G876" i="2" s="1"/>
  <c r="I876" i="2" s="1"/>
  <c r="K29" i="43"/>
  <c r="K48" i="43"/>
  <c r="E197" i="2" s="1"/>
  <c r="E253" i="2" s="1"/>
  <c r="G859" i="2" s="1"/>
  <c r="I859" i="2" s="1"/>
  <c r="K37" i="43"/>
  <c r="K30" i="43"/>
  <c r="E181" i="2" s="1"/>
  <c r="E237" i="2" s="1"/>
  <c r="G843" i="2" s="1"/>
  <c r="I843" i="2" s="1"/>
  <c r="K51" i="43"/>
  <c r="E200" i="2" s="1"/>
  <c r="E256" i="2" s="1"/>
  <c r="G862" i="2" s="1"/>
  <c r="I862" i="2" s="1"/>
  <c r="K44" i="43"/>
  <c r="E192" i="2" s="1"/>
  <c r="E248" i="2" s="1"/>
  <c r="G854" i="2" s="1"/>
  <c r="I854" i="2" s="1"/>
  <c r="K24" i="43"/>
  <c r="E176" i="2" s="1"/>
  <c r="E232" i="2" s="1"/>
  <c r="G838" i="2" s="1"/>
  <c r="I838" i="2" s="1"/>
  <c r="K13" i="43"/>
  <c r="E164" i="2" s="1"/>
  <c r="E220" i="2" s="1"/>
  <c r="G826" i="2" s="1"/>
  <c r="I826" i="2" s="1"/>
  <c r="K14" i="43"/>
  <c r="E211" i="2" s="1"/>
  <c r="E267" i="2" s="1"/>
  <c r="G873" i="2" s="1"/>
  <c r="I873" i="2" s="1"/>
  <c r="K42" i="43"/>
  <c r="E189" i="2" s="1"/>
  <c r="E245" i="2" s="1"/>
  <c r="G851" i="2" s="1"/>
  <c r="I851" i="2" s="1"/>
  <c r="K50" i="43"/>
  <c r="E199" i="2" s="1"/>
  <c r="E255" i="2" s="1"/>
  <c r="G861" i="2" s="1"/>
  <c r="I861" i="2" s="1"/>
  <c r="K52" i="43"/>
  <c r="E201" i="2" s="1"/>
  <c r="E257" i="2" s="1"/>
  <c r="G863" i="2" s="1"/>
  <c r="I863" i="2" s="1"/>
  <c r="K40" i="43"/>
  <c r="E215" i="2" s="1"/>
  <c r="E271" i="2" s="1"/>
  <c r="G877" i="2" s="1"/>
  <c r="I877" i="2" s="1"/>
  <c r="K15" i="43"/>
  <c r="E165" i="2" s="1"/>
  <c r="E221" i="2" s="1"/>
  <c r="G827" i="2" s="1"/>
  <c r="I827" i="2" s="1"/>
  <c r="K47" i="43"/>
  <c r="E196" i="2" s="1"/>
  <c r="E252" i="2" s="1"/>
  <c r="G858" i="2" s="1"/>
  <c r="I858" i="2" s="1"/>
  <c r="K27" i="43"/>
  <c r="E179" i="2" s="1"/>
  <c r="E235" i="2" s="1"/>
  <c r="G841" i="2" s="1"/>
  <c r="I841" i="2" s="1"/>
  <c r="K54" i="43"/>
  <c r="E202" i="2" s="1"/>
  <c r="E258" i="2" s="1"/>
  <c r="G864" i="2" s="1"/>
  <c r="I864" i="2" s="1"/>
  <c r="K36" i="43"/>
  <c r="E184" i="2" s="1"/>
  <c r="E240" i="2" s="1"/>
  <c r="G846" i="2" s="1"/>
  <c r="I846" i="2" s="1"/>
  <c r="K31" i="43"/>
  <c r="E213" i="2" s="1"/>
  <c r="E269" i="2" s="1"/>
  <c r="G875" i="2" s="1"/>
  <c r="I875" i="2" s="1"/>
  <c r="K18" i="43"/>
  <c r="E168" i="2" s="1"/>
  <c r="E224" i="2" s="1"/>
  <c r="G830" i="2" s="1"/>
  <c r="I830" i="2" s="1"/>
  <c r="K12" i="43"/>
  <c r="E163" i="2" s="1"/>
  <c r="E219" i="2" s="1"/>
  <c r="G825" i="2" s="1"/>
  <c r="I825" i="2" s="1"/>
  <c r="K61" i="43"/>
  <c r="K60" i="43"/>
  <c r="E218" i="2" s="1"/>
  <c r="E274" i="2" s="1"/>
  <c r="G880" i="2" s="1"/>
  <c r="I880" i="2" s="1"/>
  <c r="E208" i="2" l="1"/>
  <c r="E264" i="2" s="1"/>
  <c r="G870" i="2" s="1"/>
  <c r="I870" i="2" s="1"/>
  <c r="E209" i="2"/>
  <c r="E265" i="2" s="1"/>
  <c r="G871" i="2" s="1"/>
  <c r="I871" i="2" s="1"/>
  <c r="E203" i="2"/>
  <c r="E259" i="2" s="1"/>
  <c r="G865" i="2" s="1"/>
  <c r="I865" i="2" s="1"/>
  <c r="E167" i="2"/>
  <c r="E223" i="2" s="1"/>
  <c r="G829" i="2" s="1"/>
  <c r="I829" i="2" s="1"/>
  <c r="E193" i="2"/>
  <c r="E249" i="2" s="1"/>
  <c r="G855" i="2" s="1"/>
  <c r="I855" i="2" s="1"/>
  <c r="E190" i="2"/>
  <c r="E246" i="2" s="1"/>
  <c r="G852" i="2" s="1"/>
  <c r="I852" i="2" s="1"/>
  <c r="E210" i="2"/>
  <c r="E266" i="2" s="1"/>
  <c r="G872" i="2" s="1"/>
  <c r="I872" i="2" s="1"/>
  <c r="E207" i="2"/>
  <c r="E263" i="2" s="1"/>
  <c r="G869" i="2" s="1"/>
  <c r="I869" i="2" s="1"/>
  <c r="E173" i="2"/>
  <c r="E229" i="2" s="1"/>
  <c r="G835" i="2" s="1"/>
  <c r="I835" i="2" s="1"/>
  <c r="E185" i="2"/>
  <c r="E241" i="2" s="1"/>
  <c r="G847" i="2" s="1"/>
  <c r="I847" i="2" s="1"/>
  <c r="E171" i="2"/>
  <c r="E227" i="2" s="1"/>
  <c r="G833" i="2" s="1"/>
  <c r="I833" i="2" s="1"/>
  <c r="K9" i="43"/>
  <c r="G9" i="43"/>
</calcChain>
</file>

<file path=xl/comments1.xml><?xml version="1.0" encoding="utf-8"?>
<comments xmlns="http://schemas.openxmlformats.org/spreadsheetml/2006/main">
  <authors>
    <author>Christopher D. Jones</author>
  </authors>
  <commentList>
    <comment ref="M150" authorId="0" shapeId="0">
      <text>
        <r>
          <rPr>
            <b/>
            <sz val="9"/>
            <color indexed="81"/>
            <rFont val="Tahoma"/>
            <family val="2"/>
          </rPr>
          <t>Christopher D. Jones:</t>
        </r>
        <r>
          <rPr>
            <sz val="9"/>
            <color indexed="81"/>
            <rFont val="Tahoma"/>
            <family val="2"/>
          </rPr>
          <t xml:space="preserve">
Currently these emission rates are calculated on a per bbl crude throughput for all levels of complexity. A more accurate method may be to use the the specific unit capacity scaled by utilization factor for each level of complexity and then sum them in the data summary page depending on the complexity selection.</t>
        </r>
      </text>
    </comment>
  </commentList>
</comments>
</file>

<file path=xl/sharedStrings.xml><?xml version="1.0" encoding="utf-8"?>
<sst xmlns="http://schemas.openxmlformats.org/spreadsheetml/2006/main" count="23247" uniqueCount="2321">
  <si>
    <t>NETL Life Cycle Inventory Data - Detailed Spreadsheet Documentation</t>
  </si>
  <si>
    <t>DS Sheet Information</t>
  </si>
  <si>
    <t xml:space="preserve">Process Name: </t>
  </si>
  <si>
    <t xml:space="preserve">Process Description: </t>
  </si>
  <si>
    <t xml:space="preserve">Files: </t>
  </si>
  <si>
    <t>Summary and Calculations Worksheets:</t>
  </si>
  <si>
    <t>As shown below, this document contains 3 summary worksheets (Data Summary, Reference Source Info, and DQI) that have been formatted consistent with NETL standards. The remaining 'calculations' worksheets are workspaces used by NETL engineers during the production of this unit process. The 'calculations' worksheets are presented for the convenience of the reader, and have not been subjected to standardized formatting.</t>
  </si>
  <si>
    <t>This data sheet is organized as follows:</t>
  </si>
  <si>
    <t>Worksheet</t>
  </si>
  <si>
    <t>Description</t>
  </si>
  <si>
    <t>Summary</t>
  </si>
  <si>
    <t>Data Summary</t>
  </si>
  <si>
    <t>Summary of Calculations, Input and Output Flows, Reference Flow, and other information</t>
  </si>
  <si>
    <t>Parameters for various scenarios where the unit process is used</t>
  </si>
  <si>
    <t>Reference Source Info</t>
  </si>
  <si>
    <t>Referenced citations; citations are referenced by number, listed at the top of the Reference Source Info sheet</t>
  </si>
  <si>
    <t>DQI</t>
  </si>
  <si>
    <t>Data Quality Index</t>
  </si>
  <si>
    <t>Calculations</t>
  </si>
  <si>
    <t>Conversions</t>
  </si>
  <si>
    <t>Unit Conversions</t>
  </si>
  <si>
    <t>Assumptions</t>
  </si>
  <si>
    <t>Date Created:</t>
  </si>
  <si>
    <t>Point of Contact:</t>
  </si>
  <si>
    <t>Timothy Skone (NETL), Timothy.Skone@NETL.DOE.GOV</t>
  </si>
  <si>
    <t>Revision History:</t>
  </si>
  <si>
    <t>Original/no revisions</t>
  </si>
  <si>
    <t>How to Cite This Document:</t>
  </si>
  <si>
    <t>Additional Notes:</t>
  </si>
  <si>
    <t>For the calculations sheets, values</t>
  </si>
  <si>
    <t xml:space="preserve">highlighted in yellow </t>
  </si>
  <si>
    <t>are also pulled forward into the 'Data Summary' sheet</t>
  </si>
  <si>
    <t>Bibliographic references &amp; assumptions referenced by number; see 'Reference Source Info' &amp; 'Assumptions' sheets for cross-reference.</t>
  </si>
  <si>
    <r>
      <t xml:space="preserve">Data Summary sheet color coding: </t>
    </r>
    <r>
      <rPr>
        <i/>
        <sz val="10"/>
        <rFont val="Arial"/>
        <family val="2"/>
      </rPr>
      <t>white</t>
    </r>
    <r>
      <rPr>
        <sz val="10"/>
        <rFont val="Arial"/>
        <family val="2"/>
      </rPr>
      <t xml:space="preserve"> indicates data input by model engineer; blue indicates automatically calculated values </t>
    </r>
  </si>
  <si>
    <r>
      <t xml:space="preserve">Abbreviations used throughout this DS: </t>
    </r>
    <r>
      <rPr>
        <b/>
        <i/>
        <sz val="10"/>
        <rFont val="Arial"/>
        <family val="2"/>
      </rPr>
      <t>INSERT AS RELEVANT</t>
    </r>
  </si>
  <si>
    <t>Disclaimer:</t>
  </si>
  <si>
    <t>Template Version:</t>
  </si>
  <si>
    <t>3.0</t>
  </si>
  <si>
    <t>Data Module Summary</t>
  </si>
  <si>
    <t>Process Name:</t>
  </si>
  <si>
    <t>Reference Flow:</t>
  </si>
  <si>
    <t>kg</t>
  </si>
  <si>
    <t>of</t>
  </si>
  <si>
    <t>(see DQI sheet for explanation)</t>
  </si>
  <si>
    <t>Brief Description:</t>
  </si>
  <si>
    <t>SECTION I: META DATA</t>
  </si>
  <si>
    <t>Geographical Coverage:</t>
  </si>
  <si>
    <t>Goal and Scope:</t>
  </si>
  <si>
    <t>Region</t>
  </si>
  <si>
    <t>Year Data Best Represents:</t>
  </si>
  <si>
    <t>Process Type:</t>
  </si>
  <si>
    <t>Process Scope:</t>
  </si>
  <si>
    <t>Allocation Applied:</t>
  </si>
  <si>
    <t>Completeness:</t>
  </si>
  <si>
    <t>Flows Aggregated in Data Set:</t>
  </si>
  <si>
    <t>SECTION II: PARAMETERS</t>
  </si>
  <si>
    <t>This section includes adjustable parameters, calculations needed to support adjustable parameters, and flow calculations based upon adjustable parameters.</t>
  </si>
  <si>
    <t>Parameter Name</t>
  </si>
  <si>
    <t>Formula</t>
  </si>
  <si>
    <t>Value</t>
  </si>
  <si>
    <t>Min. Value</t>
  </si>
  <si>
    <t>Max. Value</t>
  </si>
  <si>
    <t>Unit</t>
  </si>
  <si>
    <t>References</t>
  </si>
  <si>
    <t>Comments</t>
  </si>
  <si>
    <t>End of List</t>
  </si>
  <si>
    <t xml:space="preserve">&lt;select this entire row, then insert new row&gt; </t>
  </si>
  <si>
    <t>SECTION III: INPUT FLOWS</t>
  </si>
  <si>
    <t>This section includes all input flows considered for this unit process</t>
  </si>
  <si>
    <t>Parameter</t>
  </si>
  <si>
    <t>Flow Name</t>
  </si>
  <si>
    <t>Units</t>
  </si>
  <si>
    <t>Total</t>
  </si>
  <si>
    <t>Units per RF</t>
  </si>
  <si>
    <t>Tracked</t>
  </si>
  <si>
    <t>Origin</t>
  </si>
  <si>
    <t>Factor</t>
  </si>
  <si>
    <t>Amount</t>
  </si>
  <si>
    <t>&lt;select from list&gt;</t>
  </si>
  <si>
    <t>SECTION IV: OUTPUT FLOWS</t>
  </si>
  <si>
    <t>This section includes all output flows considered for this unit process</t>
  </si>
  <si>
    <t>Emission to air</t>
  </si>
  <si>
    <t>Detailed Spreadsheet Lists</t>
  </si>
  <si>
    <t>Process Type</t>
  </si>
  <si>
    <t>Process Scope</t>
  </si>
  <si>
    <t>Completeness</t>
  </si>
  <si>
    <t>Extraction Process (EP)</t>
  </si>
  <si>
    <t>Cradle-to-Grave (End-of-Life) Process (CE)</t>
  </si>
  <si>
    <t>All Flows Captured</t>
  </si>
  <si>
    <t>Measured</t>
  </si>
  <si>
    <t>X</t>
  </si>
  <si>
    <t>Manufacturing Process (MP)</t>
  </si>
  <si>
    <t>Cradle-to-Gate Process (CG)</t>
  </si>
  <si>
    <t>All Relevant Flows Captured</t>
  </si>
  <si>
    <t>Calculated</t>
  </si>
  <si>
    <t>*</t>
  </si>
  <si>
    <t>Installation Process (IP)</t>
  </si>
  <si>
    <t>Gate-to-Gate Process (GG)</t>
  </si>
  <si>
    <t>Individual Relevant Flows Captured</t>
  </si>
  <si>
    <t>Literature</t>
  </si>
  <si>
    <t>Basic Process (BP)</t>
  </si>
  <si>
    <t>Gate-to-Grave (End-of-Life) Process (GE)</t>
  </si>
  <si>
    <t>Some Relevant Flows Not Captured</t>
  </si>
  <si>
    <t>Estimated</t>
  </si>
  <si>
    <t>Energy Conversion (EC)</t>
  </si>
  <si>
    <t>No Statement</t>
  </si>
  <si>
    <t>Transport Process (TP)</t>
  </si>
  <si>
    <t>Recovery Process (RP)</t>
  </si>
  <si>
    <t>Waste Treatment Process (WT)</t>
  </si>
  <si>
    <t>Auxiliary Process (AP)</t>
  </si>
  <si>
    <t>Field Name</t>
  </si>
  <si>
    <t>Number</t>
  </si>
  <si>
    <t>SourceType</t>
  </si>
  <si>
    <t>Title</t>
  </si>
  <si>
    <t>FirstAuthor</t>
  </si>
  <si>
    <t>AdditionalAuthors</t>
  </si>
  <si>
    <t>Year</t>
  </si>
  <si>
    <t>Date</t>
  </si>
  <si>
    <t>PlaceOfPublication</t>
  </si>
  <si>
    <t>Publisher</t>
  </si>
  <si>
    <t>PageNumbers</t>
  </si>
  <si>
    <t>Table or Figure Number</t>
  </si>
  <si>
    <t>NameOfEditors</t>
  </si>
  <si>
    <t>TitleOfAnthology</t>
  </si>
  <si>
    <t>Journal</t>
  </si>
  <si>
    <t>VolumeNo</t>
  </si>
  <si>
    <t>IssueNo</t>
  </si>
  <si>
    <t>Docket Number</t>
  </si>
  <si>
    <t>Copyright</t>
  </si>
  <si>
    <t>Internet Address</t>
  </si>
  <si>
    <t>Internet Access Date</t>
  </si>
  <si>
    <t>Data Type (Origin)</t>
  </si>
  <si>
    <t>Year Data Represents</t>
  </si>
  <si>
    <t>Geographical Representation</t>
  </si>
  <si>
    <t>Representativeness</t>
  </si>
  <si>
    <t>BibliographicText</t>
  </si>
  <si>
    <t>Text/Description</t>
  </si>
  <si>
    <t>Reference Source Info Lists</t>
  </si>
  <si>
    <t>Source Type</t>
  </si>
  <si>
    <t>Undefined</t>
  </si>
  <si>
    <t>Article</t>
  </si>
  <si>
    <t>Chapters in Anthology</t>
  </si>
  <si>
    <t>Separate Publication</t>
  </si>
  <si>
    <t>Measurement on Site</t>
  </si>
  <si>
    <t>Oral Communication</t>
  </si>
  <si>
    <t>Personal Written Communication</t>
  </si>
  <si>
    <t>Questionnaires</t>
  </si>
  <si>
    <t>DQI Determination</t>
  </si>
  <si>
    <t>Input/Output</t>
  </si>
  <si>
    <t>Reference (see 'Reference Source Info' worksheet)</t>
  </si>
  <si>
    <t>Source Reliability</t>
  </si>
  <si>
    <t>Temporal Correlation</t>
  </si>
  <si>
    <t>Geographical Correlation</t>
  </si>
  <si>
    <t>Technical Correlation</t>
  </si>
  <si>
    <t>Recommendations</t>
  </si>
  <si>
    <t>Determinations</t>
  </si>
  <si>
    <t>DQI Methodology</t>
  </si>
  <si>
    <t>DQI Matrix (from NETL LCI&amp;C Guideline Document, adapted from Weidema and Wenaes)</t>
  </si>
  <si>
    <t>Indicator</t>
  </si>
  <si>
    <t>Score</t>
  </si>
  <si>
    <r>
      <t>Source Reliability</t>
    </r>
    <r>
      <rPr>
        <b/>
        <i/>
        <sz val="10"/>
        <rFont val="Arial"/>
        <family val="2"/>
      </rPr>
      <t xml:space="preserve"> (for most applications, source quality guidelines only factor)</t>
    </r>
  </si>
  <si>
    <t>data verified based on measurements</t>
  </si>
  <si>
    <t xml:space="preserve">data verified based on  some assumptions and/or standard science and engineering calculations </t>
  </si>
  <si>
    <t>data verified with many assumptions, or non-verified but from quality source</t>
  </si>
  <si>
    <t xml:space="preserve">qualified estimate </t>
  </si>
  <si>
    <t>non-qualified estimate</t>
  </si>
  <si>
    <t>source quality guidelines met</t>
  </si>
  <si>
    <t>source quality guidelines not met</t>
  </si>
  <si>
    <t>data cross checks, greater than or equal to 3 quality sources</t>
  </si>
  <si>
    <t>2 or less data sources available for cross check, or data sources available that do not meet quality standards</t>
  </si>
  <si>
    <t>no data available for cross check</t>
  </si>
  <si>
    <t xml:space="preserve">representative data from a sufficient sample of sites over an adequate period of time </t>
  </si>
  <si>
    <t>smaller number of site but an adequate period of time</t>
  </si>
  <si>
    <t xml:space="preserve"> sufficient number of sites but a less adequate period of time</t>
  </si>
  <si>
    <t>smaller number of sites and shorter periods or incomplete data from an adequate number of sites or periods</t>
  </si>
  <si>
    <t>representativeness unknown or incomplete data sets</t>
  </si>
  <si>
    <t>less than three years of difference to year of study/current year</t>
  </si>
  <si>
    <t>less than 6 years of difference</t>
  </si>
  <si>
    <t>less than 10 years difference</t>
  </si>
  <si>
    <t>less than 15 years difference</t>
  </si>
  <si>
    <t>age of data unknown or more than 15 years difference</t>
  </si>
  <si>
    <t>data from area under study</t>
  </si>
  <si>
    <t>average data from larger area or specific data from a close area</t>
  </si>
  <si>
    <t>data from area with similar production conditions</t>
  </si>
  <si>
    <t>data from area with slightly similar production conditions</t>
  </si>
  <si>
    <t>data from unknown area or area with very different production conditions</t>
  </si>
  <si>
    <t>Technological Correlation</t>
  </si>
  <si>
    <t>data from technology, process or materials being studied</t>
  </si>
  <si>
    <t>data from a different technology using the same process and/or materials</t>
  </si>
  <si>
    <t>data on related process or material using the same technology</t>
  </si>
  <si>
    <t>data or related process or material using a different technology</t>
  </si>
  <si>
    <t>Indicator Descriptions</t>
  </si>
  <si>
    <r>
      <t>Source Reliability --</t>
    </r>
    <r>
      <rPr>
        <sz val="10"/>
        <rFont val="Arial"/>
        <family val="2"/>
      </rPr>
      <t xml:space="preserve"> This indicator relates to the quality of the data source and the verification of the data collection methods used within the source.</t>
    </r>
  </si>
  <si>
    <r>
      <t>Data Verification --</t>
    </r>
    <r>
      <rPr>
        <sz val="10"/>
        <rFont val="Arial"/>
        <family val="2"/>
      </rPr>
      <t xml:space="preserve"> Source data that have been verified within error bounds by either the source author (with a high level of transparency) or the LCI modeler.  Verification can be done by measurement, including on-site checking, recalculation, or mass or energy balance analysis.  If the source data cannot be verified without making assumptions (i.e., not enough data are available to close the mass/energy balance), then the score should be a 2 or 3, depending on the number of assumptions.  If no source data are available, a qualified estimate from an expert in the field should receive a score of 4, and an estimate from a non-expert should receive a score of 5. Mostly applicable to primary data.</t>
    </r>
  </si>
  <si>
    <r>
      <t xml:space="preserve">Source Quality Guidelines -- </t>
    </r>
    <r>
      <rPr>
        <sz val="10"/>
        <rFont val="Arial"/>
        <family val="2"/>
      </rPr>
      <t>The highest quality source should be</t>
    </r>
  </si>
  <si>
    <t>o   From a peer reviewed journal or a government sponsored study.  If the source is an LCA, it must meet ISO requirements.</t>
  </si>
  <si>
    <t>o   Publicly available either for free or at cost, or directly representative of the process of interest.</t>
  </si>
  <si>
    <t>o   Written/published by an unbiased party.</t>
  </si>
  <si>
    <t>o   An unbiased survey of experts or process locations.</t>
  </si>
  <si>
    <t>When the source used for data is a reputable model that does not specifically meet the above criteria, it is the discretion of the modeler to determine the rank of the source.  An example for justification would be if the data have been used in published reports that met the data quality standards.</t>
  </si>
  <si>
    <r>
      <t xml:space="preserve">Data Cross-Check -- </t>
    </r>
    <r>
      <rPr>
        <sz val="10"/>
        <rFont val="Arial"/>
        <family val="2"/>
      </rPr>
      <t xml:space="preserve">The number of sources that verify the same data point or series, within reason.  As a general benchmark, a high standard is greater than or equal to three data cross checks with quality approved sources. </t>
    </r>
    <r>
      <rPr>
        <i/>
        <sz val="10"/>
        <rFont val="Arial"/>
        <family val="2"/>
      </rPr>
      <t>This typically refers to primary data, and if no other data sources are available, this can be omitted.</t>
    </r>
  </si>
  <si>
    <r>
      <t xml:space="preserve">Completeness -- </t>
    </r>
    <r>
      <rPr>
        <sz val="10"/>
        <rFont val="Arial"/>
        <family val="2"/>
      </rPr>
      <t>This indicator quantifies the statistical robustness of the source data.  This ranking is based on how many data points were taken, how representative the sample is to the studied process, and whether the data were taken for an acceptable time period to even out normal process fluctuations.  The following examples are given to help clarify this indicator.</t>
    </r>
  </si>
  <si>
    <r>
      <t>Temporal Correlation</t>
    </r>
    <r>
      <rPr>
        <sz val="10"/>
        <rFont val="Arial"/>
        <family val="2"/>
      </rPr>
      <t xml:space="preserve"> -- This indicator represents how well the time period in which the data were collected corresponds with the year of the study.  If the study is set to evaluate the use of a technology from 2000 to 2040, data from 1970 would not be very accurate.  It is important when assigning this ranking to take notice of any discrepancies between the year the source was published and the year(s) the data were collected.</t>
    </r>
  </si>
  <si>
    <r>
      <t>Geographical Correlation  --</t>
    </r>
    <r>
      <rPr>
        <sz val="10"/>
        <rFont val="Arial"/>
        <family val="2"/>
      </rPr>
      <t xml:space="preserve"> This indicator represents the appropriateness between the region of study and the source data region.  This indicator becomes important when comparing data from different countries.  For example, technological advances might reasonably be expected to develop differently in different countries, so efficiency and energy use might be very different.  This is also important when looking at best management practices for carbon mitigation.</t>
    </r>
  </si>
  <si>
    <r>
      <t xml:space="preserve">Technological Correlation -- </t>
    </r>
    <r>
      <rPr>
        <sz val="10"/>
        <rFont val="Arial"/>
        <family val="2"/>
      </rPr>
      <t>This indicator embodies all other differences that may be present between the study goals and the data source.  From the above example, using data for a type of biomass that is not being studied in the LCA should result in a lower technological representativeness ranking.</t>
    </r>
  </si>
  <si>
    <t>Steps for Applying DQM</t>
  </si>
  <si>
    <t>1) Calculate score for each unit process (UP) input. If more than one reference source is used for one input, and the score is lower, consider both scores. If an indicator does not relate to a specific source, assume N/A. If all emissions come from one source, only one score is needed</t>
  </si>
  <si>
    <t xml:space="preserve"> - when a score is determined for a particular reference source, add to 'Reference Source Info' for future use</t>
  </si>
  <si>
    <t>2) From the reference scores, determine the data quality indicator (DQI) for the unit process inputs for commissioning/decommissioning operations (when applicable)*</t>
  </si>
  <si>
    <t xml:space="preserve"> - the scores are not additive, rather, the lowest score for an indicator of a particular data input is the lowest score for the UP</t>
  </si>
  <si>
    <r>
      <t xml:space="preserve">3) Significant inputs of low quality unit processes (DQI mostly 3-5) should be varied to the minimum and maximum values </t>
    </r>
    <r>
      <rPr>
        <b/>
        <u/>
        <sz val="10"/>
        <rFont val="Arial"/>
        <family val="2"/>
      </rPr>
      <t>or</t>
    </r>
    <r>
      <rPr>
        <b/>
        <sz val="10"/>
        <rFont val="Arial"/>
        <family val="2"/>
      </rPr>
      <t xml:space="preserve"> 95 percent confidence interval of the uncertainty range. </t>
    </r>
  </si>
  <si>
    <t xml:space="preserve"> - check significance first. If the input is not significant by a long shot (or with the maximum possible value), it is not necessary to include in the UP</t>
  </si>
  <si>
    <t>4) If the change in the final result from a single unit process is greater than a threshold value, for example, 0.1 g CO2e/MJ, then the processes should be flagged for possible additional data quality refinement</t>
  </si>
  <si>
    <t xml:space="preserve"> - for example, if emissions from the total steel inputs are found to be significant during sensitivity, the DQI will be performed on the steel profile. If this is not possible (because data are not transparent/purchased), it will be listed as a future recommendation</t>
  </si>
  <si>
    <t xml:space="preserve"> - if, however, the steel inputs are significant due to a large amount of steel needed for a particular process, then the DQI on that input should be performed and the data refined if needed</t>
  </si>
  <si>
    <t>5) If the UP input is significant (with or without sensitivity), but no data refinement is possible, this is listed as a data limitation and noted in the report</t>
  </si>
  <si>
    <t>* For NETL LCI&amp;C studies, because data quality for construction is typically low, sensitivity on those inputs is already performed and the DQI does not need to be calculated. If sensitivity is not performed on construction, or sensitivity shows that a particular input is significant, then the DQI will be performed</t>
  </si>
  <si>
    <t>[Yellow-highlight cells are carried to data summary]</t>
  </si>
  <si>
    <t>Flow</t>
  </si>
  <si>
    <t>Conversion Factors</t>
  </si>
  <si>
    <t>Assumption #</t>
  </si>
  <si>
    <t>USA</t>
  </si>
  <si>
    <t>N/A</t>
  </si>
  <si>
    <t>No</t>
  </si>
  <si>
    <t>GAS_PROFILE.NAME</t>
  </si>
  <si>
    <t>QUALITY</t>
  </si>
  <si>
    <t>CONTROLS</t>
  </si>
  <si>
    <t>P_DATE</t>
  </si>
  <si>
    <t>NOTES</t>
  </si>
  <si>
    <t>TOTAL</t>
  </si>
  <si>
    <t>MASTER_POL</t>
  </si>
  <si>
    <t>T_METHOD</t>
  </si>
  <si>
    <t>NORM_BASIS</t>
  </si>
  <si>
    <t>ORIG_COMPO</t>
  </si>
  <si>
    <t>STANDARD</t>
  </si>
  <si>
    <t>TEST_YEAR</t>
  </si>
  <si>
    <t>J_RATING</t>
  </si>
  <si>
    <t>V_RATING</t>
  </si>
  <si>
    <t>D_RATING</t>
  </si>
  <si>
    <t>REGION</t>
  </si>
  <si>
    <t>SIBLING</t>
  </si>
  <si>
    <t>VERSION</t>
  </si>
  <si>
    <t>VOCtoTOG</t>
  </si>
  <si>
    <t>SPECIES_ID</t>
  </si>
  <si>
    <t>WEIGHT_PER</t>
  </si>
  <si>
    <t>UNCERTAINT</t>
  </si>
  <si>
    <t>UNC_METHOD</t>
  </si>
  <si>
    <t>ANLYMETHOD</t>
  </si>
  <si>
    <t>CAS</t>
  </si>
  <si>
    <t>EPAID</t>
  </si>
  <si>
    <t>SAROAD</t>
  </si>
  <si>
    <t>PAMS</t>
  </si>
  <si>
    <t>HAPS</t>
  </si>
  <si>
    <t>SPECIES_PROPERTIES.NAME</t>
  </si>
  <si>
    <t>SYMBOL</t>
  </si>
  <si>
    <t>SPEC_MW</t>
  </si>
  <si>
    <t>NonVOCTOG</t>
  </si>
  <si>
    <t>DOCUMENT</t>
  </si>
  <si>
    <t>Not Available</t>
  </si>
  <si>
    <t>71-43-2</t>
  </si>
  <si>
    <t>Benzene</t>
  </si>
  <si>
    <t>BENZE</t>
  </si>
  <si>
    <t>74-84-0</t>
  </si>
  <si>
    <t>Ethane</t>
  </si>
  <si>
    <t>ETHANE</t>
  </si>
  <si>
    <t>75-28-5</t>
  </si>
  <si>
    <t>Isobutane</t>
  </si>
  <si>
    <t>I_BUTA</t>
  </si>
  <si>
    <t>Methane</t>
  </si>
  <si>
    <t>106-97-8</t>
  </si>
  <si>
    <t>N-butane</t>
  </si>
  <si>
    <t>N_BUTA</t>
  </si>
  <si>
    <t>142-82-5</t>
  </si>
  <si>
    <t>N-heptane</t>
  </si>
  <si>
    <t>N_HEPT</t>
  </si>
  <si>
    <t>110-54-3</t>
  </si>
  <si>
    <t>N-hexane</t>
  </si>
  <si>
    <t>N_HEX</t>
  </si>
  <si>
    <t>111-65-9</t>
  </si>
  <si>
    <t>N-octane</t>
  </si>
  <si>
    <t>N_OCT</t>
  </si>
  <si>
    <t>109-66-0</t>
  </si>
  <si>
    <t>N-pentane</t>
  </si>
  <si>
    <t>N_PENT</t>
  </si>
  <si>
    <t>74-98-6</t>
  </si>
  <si>
    <t>Propane</t>
  </si>
  <si>
    <t>N_PROP</t>
  </si>
  <si>
    <t>C-7 Cycloparaffinss</t>
  </si>
  <si>
    <t>C-8 Cycloparaffins</t>
  </si>
  <si>
    <t>Isomers of pentane</t>
  </si>
  <si>
    <t>108-88-3</t>
  </si>
  <si>
    <t>Toluene</t>
  </si>
  <si>
    <t>TOLUE</t>
  </si>
  <si>
    <t>2,2,4-trimethylpentane</t>
  </si>
  <si>
    <t>75-83-2</t>
  </si>
  <si>
    <t>2,2-dimethylbutane</t>
  </si>
  <si>
    <t>BU22DM</t>
  </si>
  <si>
    <t>79-29-8</t>
  </si>
  <si>
    <t>2,3-dimethylbutane</t>
  </si>
  <si>
    <t>BU23DM</t>
  </si>
  <si>
    <t>565-59-3</t>
  </si>
  <si>
    <t>2,3-dimethylpentane</t>
  </si>
  <si>
    <t>PEN23M</t>
  </si>
  <si>
    <t>108-08-7</t>
  </si>
  <si>
    <t>2,4-dimethylpentane</t>
  </si>
  <si>
    <t>PEN24M</t>
  </si>
  <si>
    <t>592-27-8</t>
  </si>
  <si>
    <t>2-methylheptane</t>
  </si>
  <si>
    <t>HEP2ME</t>
  </si>
  <si>
    <t>591-76-4</t>
  </si>
  <si>
    <t>2-methylhexane</t>
  </si>
  <si>
    <t>HEXA2M</t>
  </si>
  <si>
    <t>107-83-5</t>
  </si>
  <si>
    <t>2-methylpentane (isohexane)</t>
  </si>
  <si>
    <t>PENA2M</t>
  </si>
  <si>
    <t>589-81-1</t>
  </si>
  <si>
    <t>3-methylheptane</t>
  </si>
  <si>
    <t>HEP3ME</t>
  </si>
  <si>
    <t>589-34-4</t>
  </si>
  <si>
    <t>3-methylhexane</t>
  </si>
  <si>
    <t>HEXA3M</t>
  </si>
  <si>
    <t>96-14-0</t>
  </si>
  <si>
    <t>3-methylpentane</t>
  </si>
  <si>
    <t>PENA3M</t>
  </si>
  <si>
    <t>110-82-7</t>
  </si>
  <si>
    <t>Cyclohexane</t>
  </si>
  <si>
    <t>CYHEXA</t>
  </si>
  <si>
    <t>287-92-3</t>
  </si>
  <si>
    <t>Cyclopentane</t>
  </si>
  <si>
    <t>CPENTA</t>
  </si>
  <si>
    <t>100-41-4</t>
  </si>
  <si>
    <t>Ethylbenzene</t>
  </si>
  <si>
    <t>ETBZ</t>
  </si>
  <si>
    <t>Ethylcyclohexane</t>
  </si>
  <si>
    <t>78-78-4</t>
  </si>
  <si>
    <t>Isopentane (2-Methylbutane)</t>
  </si>
  <si>
    <t>IPENTA</t>
  </si>
  <si>
    <t>108-38-3; 106-42-3</t>
  </si>
  <si>
    <t>M &amp; p-xylene</t>
  </si>
  <si>
    <t>MP_X</t>
  </si>
  <si>
    <t>108-87-2</t>
  </si>
  <si>
    <t>Methylcyclohexane</t>
  </si>
  <si>
    <t>MECYHX</t>
  </si>
  <si>
    <t>96-37-7</t>
  </si>
  <si>
    <t>Methylcyclopentane</t>
  </si>
  <si>
    <t>MCYPNA</t>
  </si>
  <si>
    <t>95-47-6</t>
  </si>
  <si>
    <t>O-xylene</t>
  </si>
  <si>
    <t>O_XYL</t>
  </si>
  <si>
    <t>Undefined VOC</t>
  </si>
  <si>
    <t>95-63-6</t>
  </si>
  <si>
    <t>1,2,4-trimethylbenzene  (1,3,4-trimethylbenzene)</t>
  </si>
  <si>
    <t>BZ124M</t>
  </si>
  <si>
    <t>98-82-8</t>
  </si>
  <si>
    <t>Isopropylbenzene (cumene)</t>
  </si>
  <si>
    <t>IPRBZ</t>
  </si>
  <si>
    <t>Propylene</t>
  </si>
  <si>
    <t>dimetbut</t>
  </si>
  <si>
    <t>ethane</t>
  </si>
  <si>
    <t>isobut</t>
  </si>
  <si>
    <t>xylene</t>
  </si>
  <si>
    <t>methane</t>
  </si>
  <si>
    <t>propane</t>
  </si>
  <si>
    <t>toluene</t>
  </si>
  <si>
    <t>45201</t>
  </si>
  <si>
    <t>43202</t>
  </si>
  <si>
    <t>43214</t>
  </si>
  <si>
    <t>43212</t>
  </si>
  <si>
    <t>43232</t>
  </si>
  <si>
    <t>43231</t>
  </si>
  <si>
    <t>43233</t>
  </si>
  <si>
    <t>43220</t>
  </si>
  <si>
    <t>43204</t>
  </si>
  <si>
    <t>45202</t>
  </si>
  <si>
    <t>43291</t>
  </si>
  <si>
    <t>43274</t>
  </si>
  <si>
    <t>43271</t>
  </si>
  <si>
    <t>98140</t>
  </si>
  <si>
    <t>43275</t>
  </si>
  <si>
    <t>43229</t>
  </si>
  <si>
    <t>43295</t>
  </si>
  <si>
    <t>43230</t>
  </si>
  <si>
    <t>43248</t>
  </si>
  <si>
    <t>43242</t>
  </si>
  <si>
    <t>45203</t>
  </si>
  <si>
    <t>98132</t>
  </si>
  <si>
    <t>43261</t>
  </si>
  <si>
    <t>43262</t>
  </si>
  <si>
    <t>45204</t>
  </si>
  <si>
    <t>98043</t>
  </si>
  <si>
    <t>108-67-8</t>
  </si>
  <si>
    <t>45207</t>
  </si>
  <si>
    <t>1,3,5-trimethylbenzene</t>
  </si>
  <si>
    <t>BZ135M</t>
  </si>
  <si>
    <t>565-75-3</t>
  </si>
  <si>
    <t>43279</t>
  </si>
  <si>
    <t>2,3,4-trimethylpentane</t>
  </si>
  <si>
    <t>PA234M</t>
  </si>
  <si>
    <t>611-14-3</t>
  </si>
  <si>
    <t>1-Methyl-2-ethylbenzene</t>
  </si>
  <si>
    <t>O_ETOL</t>
  </si>
  <si>
    <t>620-14-4</t>
  </si>
  <si>
    <t>1-Methyl-3-ethylbenzene (3-Ethyltoluene)</t>
  </si>
  <si>
    <t>M_ETOL</t>
  </si>
  <si>
    <t>124-18-5</t>
  </si>
  <si>
    <t>N-decane</t>
  </si>
  <si>
    <t>N_DEC</t>
  </si>
  <si>
    <t>111-84-2</t>
  </si>
  <si>
    <t>N-nonane</t>
  </si>
  <si>
    <t>N_NON</t>
  </si>
  <si>
    <t>103-65-1</t>
  </si>
  <si>
    <t>N-propylbenzene</t>
  </si>
  <si>
    <t>N_PRBZ</t>
  </si>
  <si>
    <t>T-butylbenzene</t>
  </si>
  <si>
    <t>(2-methylpropyl)benzene; isobutylbenzene</t>
  </si>
  <si>
    <t>2,4-dimethylhexane</t>
  </si>
  <si>
    <t>1120-21-4</t>
  </si>
  <si>
    <t>N-undecane</t>
  </si>
  <si>
    <t>N_UNDE</t>
  </si>
  <si>
    <t>P-xylene</t>
  </si>
  <si>
    <t>M-xylene</t>
  </si>
  <si>
    <t>3-ethylhexane</t>
  </si>
  <si>
    <t>2,2-dimethylpropane</t>
  </si>
  <si>
    <t>2,3-dimethylhexane</t>
  </si>
  <si>
    <t>California</t>
  </si>
  <si>
    <t>99915</t>
  </si>
  <si>
    <t>99912</t>
  </si>
  <si>
    <t>43238</t>
  </si>
  <si>
    <t>43235</t>
  </si>
  <si>
    <t>45209</t>
  </si>
  <si>
    <t>43241</t>
  </si>
  <si>
    <t>C-11 Compounds</t>
  </si>
  <si>
    <t>trimentpen3</t>
  </si>
  <si>
    <t>trimetpen2</t>
  </si>
  <si>
    <t>dimetpen3</t>
  </si>
  <si>
    <t>dimetpen4</t>
  </si>
  <si>
    <t>benzene</t>
  </si>
  <si>
    <t>c11_comp</t>
  </si>
  <si>
    <t>ethyl_benz</t>
  </si>
  <si>
    <t>isopentane</t>
  </si>
  <si>
    <t>methcychex</t>
  </si>
  <si>
    <t>methcycpen</t>
  </si>
  <si>
    <t>N_but</t>
  </si>
  <si>
    <t>N_dec</t>
  </si>
  <si>
    <t>N_hep</t>
  </si>
  <si>
    <t>N_hex</t>
  </si>
  <si>
    <t>N_nonane</t>
  </si>
  <si>
    <t>N_octane</t>
  </si>
  <si>
    <t>N_pentane</t>
  </si>
  <si>
    <t>O_xylene</t>
  </si>
  <si>
    <t>EPA</t>
  </si>
  <si>
    <t>Washington, D.C.</t>
  </si>
  <si>
    <t>Environmental Protection Agency</t>
  </si>
  <si>
    <t>http://www.epa.gov/ttn/chief/software/speciate/index.html#documentation</t>
  </si>
  <si>
    <t>2011</t>
  </si>
  <si>
    <t>GaBi 5 Import</t>
  </si>
  <si>
    <t>Data Summary page formatted for importation into the GaBi 5</t>
  </si>
  <si>
    <t>isompentane</t>
  </si>
  <si>
    <t>twomethex</t>
  </si>
  <si>
    <t>twometpen</t>
  </si>
  <si>
    <t>threemethex</t>
  </si>
  <si>
    <t>threemetpen</t>
  </si>
  <si>
    <t>1,2,4-Trimethylbenzene [Group NMVOC to air]</t>
  </si>
  <si>
    <t>2,2,4-Trimethylpentane [Group NMVOC to air]</t>
  </si>
  <si>
    <t>2,3,4-Trimethylpentane [Group NMVOC to air]</t>
  </si>
  <si>
    <t>2,3-Dimethylbutane [Group NMVOC to air]</t>
  </si>
  <si>
    <t>2,3 Dimethylpentane [Group NMVOC to air]</t>
  </si>
  <si>
    <t>2,4-Dimethylpentane [Group NMVOC to air]</t>
  </si>
  <si>
    <t>2-Methylhexane [Group NMVOC to air]</t>
  </si>
  <si>
    <t>2-Methylpentane [Group NMVOC to air]</t>
  </si>
  <si>
    <t>3-Methylhexane [Group NMVOC to air]</t>
  </si>
  <si>
    <t>3-Methylpentane [Group NMVOC to air]</t>
  </si>
  <si>
    <t>Ethane [Group NMVOC to air]</t>
  </si>
  <si>
    <t>iso-Butane [Group NMVOC to air]</t>
  </si>
  <si>
    <t>iso-Pentane [Group NMVOC to air]</t>
  </si>
  <si>
    <t>Xylene (dimethyl benzene) [Group NMVOC to air]</t>
  </si>
  <si>
    <t>Methane [Organic emissions to air (group VOC)]</t>
  </si>
  <si>
    <t>Methyl cyclopentane [Group NMVOC to air]</t>
  </si>
  <si>
    <t>m-Xylene [unspecified]</t>
  </si>
  <si>
    <t>Butane (n-butane) [Group NMVOC to air]</t>
  </si>
  <si>
    <t>Decane [Group NMVOC to air]</t>
  </si>
  <si>
    <t>Nonane [Group NMVOC to air]</t>
  </si>
  <si>
    <t>Pentane (n-pentane) [Group NMVOC to air]</t>
  </si>
  <si>
    <t>o-Xylene [unspecified]</t>
  </si>
  <si>
    <t>Propane [Group NMVOC to air]</t>
  </si>
  <si>
    <t>Toluene (methyl benzene) [Group NMVOC to air]</t>
  </si>
  <si>
    <t>Ethyl benzene [Group NMVOC to air]</t>
  </si>
  <si>
    <t>Benzene [Group NMVOC to air]</t>
  </si>
  <si>
    <t>Methyl cyclohexane [Group NMVOC to air]</t>
  </si>
  <si>
    <t>kg/kg</t>
  </si>
  <si>
    <t/>
  </si>
  <si>
    <t>C-10 Compounds</t>
  </si>
  <si>
    <t>C-5 Compounds</t>
  </si>
  <si>
    <t>C-6 Compounds</t>
  </si>
  <si>
    <t>C-7 Compounds</t>
  </si>
  <si>
    <t>C-8 Compounds</t>
  </si>
  <si>
    <t>C-9 Compounds</t>
  </si>
  <si>
    <t>C-4 Compounds</t>
  </si>
  <si>
    <t>dimetbut22</t>
  </si>
  <si>
    <t>methep2</t>
  </si>
  <si>
    <t>methep3</t>
  </si>
  <si>
    <t>cyclohexane</t>
  </si>
  <si>
    <t>cyclopentane</t>
  </si>
  <si>
    <t>ethcyclhex</t>
  </si>
  <si>
    <t>isopben</t>
  </si>
  <si>
    <t>propylene</t>
  </si>
  <si>
    <t>undef_VOC</t>
  </si>
  <si>
    <t>isobutben</t>
  </si>
  <si>
    <t>ethben12</t>
  </si>
  <si>
    <t>ethben13</t>
  </si>
  <si>
    <t>dimethpro</t>
  </si>
  <si>
    <t>dimethhex23</t>
  </si>
  <si>
    <t>dimethhex24</t>
  </si>
  <si>
    <t>ethylhexane</t>
  </si>
  <si>
    <t>N_proben</t>
  </si>
  <si>
    <t>T_butben</t>
  </si>
  <si>
    <t>c10_comp</t>
  </si>
  <si>
    <t>c5_comp</t>
  </si>
  <si>
    <t>c6_comp</t>
  </si>
  <si>
    <t>c7_comp</t>
  </si>
  <si>
    <t>c8_comp</t>
  </si>
  <si>
    <t>c9_comp</t>
  </si>
  <si>
    <t>Nitrogen</t>
  </si>
  <si>
    <t>Carbon Dioxide</t>
  </si>
  <si>
    <t>CO2</t>
  </si>
  <si>
    <t>nitrogen</t>
  </si>
  <si>
    <t>i_hexanes</t>
  </si>
  <si>
    <t>i_heptanes</t>
  </si>
  <si>
    <t>i_octanes</t>
  </si>
  <si>
    <t>i_nonanes</t>
  </si>
  <si>
    <t>i_decanes</t>
  </si>
  <si>
    <t>i_uncan_P</t>
  </si>
  <si>
    <t>1,3,5-Trimethylbenzene [Group NMVOC to air]</t>
  </si>
  <si>
    <t>ortho-Ethyltoluene [Group NMVOC to air]</t>
  </si>
  <si>
    <t>meta-Ethyltoluene [Group NMVOC to air]</t>
  </si>
  <si>
    <t>2,2-Dimethylbutane [Group NMVOC to air]</t>
  </si>
  <si>
    <t>2,3-Dimethylhexane [Group NMVOC to air]</t>
  </si>
  <si>
    <t>2,4-Dimethylhexane [Group NMVOC to air]</t>
  </si>
  <si>
    <t>2-Methylheptane [Group NMVOC to air]</t>
  </si>
  <si>
    <t>3-Methylheptane [Group NMVOC to air]</t>
  </si>
  <si>
    <t>Cyclohexane (hexahydro benzene) [Group NMVOC to air]</t>
  </si>
  <si>
    <t>Cyclopentane [Group NMVOC to air]</t>
  </si>
  <si>
    <t>Ethyl cyclohexane [Group NMVOC to air]</t>
  </si>
  <si>
    <t>Cumene (isopropylbenzene) [Group NMVOC to air]</t>
  </si>
  <si>
    <t>1-Propylbenzene [Group NMVOC to air]</t>
  </si>
  <si>
    <t>Xylene (para-Xylene; 1,4-Dimethylbenzene) [Group NMVOC to air]</t>
  </si>
  <si>
    <t>Propene (propylene) [Group NMVOC to air]</t>
  </si>
  <si>
    <t>NMVOC (unspecified) [Group NMVOC to air]</t>
  </si>
  <si>
    <t>M_xylene</t>
  </si>
  <si>
    <t>P_xylene</t>
  </si>
  <si>
    <t>3.2</t>
  </si>
  <si>
    <t>98001</t>
  </si>
  <si>
    <t>99024</t>
  </si>
  <si>
    <t>1,2,3-trimethylbenzene</t>
  </si>
  <si>
    <t>1,2-diethylbenzene (ortho)</t>
  </si>
  <si>
    <t>1,3-diethylbenzene (meta)</t>
  </si>
  <si>
    <t>1,4-diethylbenzene (para)</t>
  </si>
  <si>
    <t>Isomers of butylbenzene</t>
  </si>
  <si>
    <t>Butylbenzene</t>
  </si>
  <si>
    <t>methpent</t>
  </si>
  <si>
    <t>2-Methyl-1-pentene [Group NMVOC to air]</t>
  </si>
  <si>
    <t>Species</t>
  </si>
  <si>
    <t>Hexane (isomers) [Group NMVOC to air]</t>
  </si>
  <si>
    <t>Heptane (isomers) [Group NMVOC to air]</t>
  </si>
  <si>
    <t>MW</t>
  </si>
  <si>
    <t>ID</t>
  </si>
  <si>
    <t>ROW</t>
  </si>
  <si>
    <t>AVG_W_PER</t>
  </si>
  <si>
    <t>CONDITIONED</t>
  </si>
  <si>
    <t>ADJUSTED</t>
  </si>
  <si>
    <t>trimetben124</t>
  </si>
  <si>
    <t>trimethben135</t>
  </si>
  <si>
    <t>trimethben123</t>
  </si>
  <si>
    <t>dietben12</t>
  </si>
  <si>
    <t>dietben14</t>
  </si>
  <si>
    <t>betben</t>
  </si>
  <si>
    <t>N_und</t>
  </si>
  <si>
    <t>c_4_comp</t>
  </si>
  <si>
    <t>c_8_cpfin</t>
  </si>
  <si>
    <t>c_7_cpfins</t>
  </si>
  <si>
    <t>i_but</t>
  </si>
  <si>
    <t>PARAMETER</t>
  </si>
  <si>
    <t># ROWS</t>
  </si>
  <si>
    <t>HAS_FLOW/C4+</t>
  </si>
  <si>
    <t>MW of C4+</t>
  </si>
  <si>
    <t>PS</t>
  </si>
  <si>
    <t>Species Data</t>
  </si>
  <si>
    <t>Species data master sheet</t>
  </si>
  <si>
    <t>SPECIATE data</t>
  </si>
  <si>
    <t>dietben13</t>
  </si>
  <si>
    <t>Isomers of hexane</t>
  </si>
  <si>
    <t>Isomers of heptane</t>
  </si>
  <si>
    <t>Isomers of octane</t>
  </si>
  <si>
    <t>Isomers of undecane</t>
  </si>
  <si>
    <t>Isomers of nonane</t>
  </si>
  <si>
    <t>Isomers of decane</t>
  </si>
  <si>
    <t>AAAA</t>
  </si>
  <si>
    <t>Petroleum Refinery Emissions</t>
  </si>
  <si>
    <t>crude throughput</t>
  </si>
  <si>
    <r>
      <t xml:space="preserve">Note: All inputs and outputs are normalized per the reference flow (e.g., per </t>
    </r>
    <r>
      <rPr>
        <b/>
        <sz val="10"/>
        <color rgb="FF000000"/>
        <rFont val="Arial"/>
        <family val="2"/>
      </rPr>
      <t xml:space="preserve">kg </t>
    </r>
    <r>
      <rPr>
        <sz val="10"/>
        <color indexed="8"/>
        <rFont val="Arial"/>
        <family val="2"/>
      </rPr>
      <t>crude throughput)</t>
    </r>
  </si>
  <si>
    <t>This unit process is composed of this document and the file, DF_Stage3_O_Petroleum_Refinery_Emissions_2014.01.docx, which provides additional details regarding calculations, data quality, and references as relevant.</t>
  </si>
  <si>
    <t>SPECIATE Version 4.4</t>
  </si>
  <si>
    <t>2013</t>
  </si>
  <si>
    <t>2014</t>
  </si>
  <si>
    <t>2009</t>
  </si>
  <si>
    <t>April 4, 2014</t>
  </si>
  <si>
    <t>http://www.epa.gov/ttn/chief/eiinformation.html</t>
  </si>
  <si>
    <t>The 2011 National Emissions Inventory (NEI)</t>
  </si>
  <si>
    <t>EPA. (2013). The 2011 National Emissions Inventory (NEI). Washington, D.C. Retrieved from http://www.epa.gov/ttn/chief/eiinformation.html</t>
  </si>
  <si>
    <t>EIS ID</t>
  </si>
  <si>
    <t>PADD ID</t>
  </si>
  <si>
    <t>PADD</t>
  </si>
  <si>
    <t>State</t>
  </si>
  <si>
    <t>Facility</t>
  </si>
  <si>
    <t xml:space="preserve">Location </t>
  </si>
  <si>
    <t>Latitude</t>
  </si>
  <si>
    <t>Longitude</t>
  </si>
  <si>
    <t>West Coast</t>
  </si>
  <si>
    <t>AK</t>
  </si>
  <si>
    <t>Petro Star Valdez Refinery (PSVR)</t>
  </si>
  <si>
    <t>Valdez</t>
  </si>
  <si>
    <t>North Pole Refinery</t>
  </si>
  <si>
    <t>North Pole</t>
  </si>
  <si>
    <t>Kenai Refinery</t>
  </si>
  <si>
    <t>Kenai</t>
  </si>
  <si>
    <t>Gulf Coast</t>
  </si>
  <si>
    <t>AL</t>
  </si>
  <si>
    <t>Shell Chemical Company</t>
  </si>
  <si>
    <t>Saraland</t>
  </si>
  <si>
    <t>Hunt Refining Company</t>
  </si>
  <si>
    <t>Tuscaloosa</t>
  </si>
  <si>
    <t>AR</t>
  </si>
  <si>
    <t>LION OIL COMPANY</t>
  </si>
  <si>
    <t>EL DORADO</t>
  </si>
  <si>
    <t>CA</t>
  </si>
  <si>
    <t>ALON BAKERSFIELD REFINING</t>
  </si>
  <si>
    <t>BAKERSFIELD</t>
  </si>
  <si>
    <t>SANTA MARIA REFINING COMPANY</t>
  </si>
  <si>
    <t>SANTA MARIA</t>
  </si>
  <si>
    <t>TESORO REFINING AND MARKETING CO</t>
  </si>
  <si>
    <t>WILMINGTON</t>
  </si>
  <si>
    <t>VALERO REFINING COMPANY - CALI</t>
  </si>
  <si>
    <t>BENICIA</t>
  </si>
  <si>
    <t>PHILLIPS 66 COMPANY - SAN FRAN</t>
  </si>
  <si>
    <t>BP WEST COAST PROD.LLC BP CARSON REF.</t>
  </si>
  <si>
    <t>CARSON</t>
  </si>
  <si>
    <t>CHEVRON PRODUCTS CO.</t>
  </si>
  <si>
    <t>EL SEGUNDO</t>
  </si>
  <si>
    <t>SAN JOAQUIN REFINING COMPANY</t>
  </si>
  <si>
    <t>KERN OIL &amp; REFINING CO</t>
  </si>
  <si>
    <t>TRICOR REFINING, LLC</t>
  </si>
  <si>
    <t>OILDALE</t>
  </si>
  <si>
    <t>VALERO WILMINGTON ASPHALT PLANT</t>
  </si>
  <si>
    <t>CONOCOPHILLIPS COMPANY</t>
  </si>
  <si>
    <t>EDGINGTON OIL COMPANY</t>
  </si>
  <si>
    <t>LONG BEACH</t>
  </si>
  <si>
    <t>PARAMOUNT PETR CORP (EIS USE)</t>
  </si>
  <si>
    <t>PARAMOUNT</t>
  </si>
  <si>
    <t>EXXONMOBIL OIL CORPORATION</t>
  </si>
  <si>
    <t>TORRANCE</t>
  </si>
  <si>
    <t>LUNDAY-THAGARD COMPANY</t>
  </si>
  <si>
    <t>SOUTH GATE</t>
  </si>
  <si>
    <t>TESORO REFINING AND MARKETING</t>
  </si>
  <si>
    <t>MARTINEZ</t>
  </si>
  <si>
    <t>ULTRAMAR INC (NSR USE ONLY)</t>
  </si>
  <si>
    <t>CHEVRON PRODUCTS COMPANY</t>
  </si>
  <si>
    <t>RICHMOND</t>
  </si>
  <si>
    <t>SHELL MARTINEZ REFINERY</t>
  </si>
  <si>
    <t>Rockies</t>
  </si>
  <si>
    <t>CO</t>
  </si>
  <si>
    <t>SUNCOR ENERGY - DENVER REFINERY</t>
  </si>
  <si>
    <t>COMMERCE CITY</t>
  </si>
  <si>
    <t>East Coast</t>
  </si>
  <si>
    <t>DE</t>
  </si>
  <si>
    <t>Delaware City Refinery</t>
  </si>
  <si>
    <t>DELAWARE CITY</t>
  </si>
  <si>
    <t>GA</t>
  </si>
  <si>
    <t>NuStar Asphalt Refining, LLC</t>
  </si>
  <si>
    <t>Savannah</t>
  </si>
  <si>
    <t>HI</t>
  </si>
  <si>
    <t>Tesoro Refinery</t>
  </si>
  <si>
    <t>Kapolei</t>
  </si>
  <si>
    <t>Chevron Hawaii Refinery</t>
  </si>
  <si>
    <t>Midwest</t>
  </si>
  <si>
    <t>IL</t>
  </si>
  <si>
    <t>Exxon Mobil Oil Corp</t>
  </si>
  <si>
    <t>Joliet</t>
  </si>
  <si>
    <t>ConocoPhillips Co</t>
  </si>
  <si>
    <t>Roxana</t>
  </si>
  <si>
    <t>CITGO Petroleum Corp</t>
  </si>
  <si>
    <t>Lemont</t>
  </si>
  <si>
    <t>Marathon Petroleum Co LLC</t>
  </si>
  <si>
    <t>Robinson</t>
  </si>
  <si>
    <t>IN</t>
  </si>
  <si>
    <t>BP PRODUCTS NORTH AMERICA INC, WHITING R</t>
  </si>
  <si>
    <t>WHITING</t>
  </si>
  <si>
    <t>COUNTRYMARK REFINING AND LOGISTICS, LLC (REFINERY)</t>
  </si>
  <si>
    <t>MOUNT VERNON</t>
  </si>
  <si>
    <t>KS</t>
  </si>
  <si>
    <t>COFFEYVILLE RESOURCES REFIN. &amp; MKTNG.,LLC</t>
  </si>
  <si>
    <t>COFFEYVILLE</t>
  </si>
  <si>
    <t>FRONTIER EL DORADO REFINING LLC</t>
  </si>
  <si>
    <t>NATIONAL COOP. REFINERY ASSN.</t>
  </si>
  <si>
    <t>MC PHERSON</t>
  </si>
  <si>
    <t>KY</t>
  </si>
  <si>
    <t>Marathon Petroleum Co LLC - Catlettsburg Refining</t>
  </si>
  <si>
    <t>Catlettsburg</t>
  </si>
  <si>
    <t>Continental Refining Company LLC</t>
  </si>
  <si>
    <t>Somerset</t>
  </si>
  <si>
    <t>LA</t>
  </si>
  <si>
    <t>Pelican Refining Co LLC</t>
  </si>
  <si>
    <t>Lake Charles</t>
  </si>
  <si>
    <t>ConocoPhillips Co - Alliance Refinery</t>
  </si>
  <si>
    <t>Belle Chasse</t>
  </si>
  <si>
    <t>Calumet Lubricants Co - Cotton Valley Refinery</t>
  </si>
  <si>
    <t>Cotton Valley</t>
  </si>
  <si>
    <t>Placid Refining Co LLC - Port Allen Refinery</t>
  </si>
  <si>
    <t>Port Allen</t>
  </si>
  <si>
    <t>Valero Refining - Meraux LLC - Meraux Refinery</t>
  </si>
  <si>
    <t>Meraux</t>
  </si>
  <si>
    <t>Citgo Petroleum Corp - Lake Charles Manufacturing Complex</t>
  </si>
  <si>
    <t>Sulphur</t>
  </si>
  <si>
    <t>Calumet Shreveport Lubricants &amp; Waxes LLC - Shreveport Refinery</t>
  </si>
  <si>
    <t>Shreveport</t>
  </si>
  <si>
    <t>Valero Refining Co - New Orleans LLC - St Charles Refinery</t>
  </si>
  <si>
    <t>Norco</t>
  </si>
  <si>
    <t>ConocoPhillips Co - Lake Charles Refinery</t>
  </si>
  <si>
    <t>Westlake</t>
  </si>
  <si>
    <t>Calumet Lubricants Co LP - Princeton Refinery</t>
  </si>
  <si>
    <t>Princeton</t>
  </si>
  <si>
    <t>Chalmette Refining LLC - Chalmette Refinery</t>
  </si>
  <si>
    <t>Chalmette</t>
  </si>
  <si>
    <t>Motiva Enterprises LLC - Norco Refinery</t>
  </si>
  <si>
    <t>Equilon Enterprises LLC dba Shell Oil Products US - St Rose Refinery</t>
  </si>
  <si>
    <t>St. Rose</t>
  </si>
  <si>
    <t>Motiva Enterprises LLC - Convent Refinery</t>
  </si>
  <si>
    <t>Convent</t>
  </si>
  <si>
    <t>Alon Refining Krotz Springs Inc</t>
  </si>
  <si>
    <t>Krotz Springs</t>
  </si>
  <si>
    <t>Marathon Petroleum Co LP - LA Refining Division - Garyville Refinery</t>
  </si>
  <si>
    <t>Garyville</t>
  </si>
  <si>
    <t>Calcasieu Refining Co - Lake Charles Crude Oil Refinery</t>
  </si>
  <si>
    <t>ExxonMobil Baton Rouge Refinery</t>
  </si>
  <si>
    <t>Baton Rouge</t>
  </si>
  <si>
    <t>MI</t>
  </si>
  <si>
    <t>MARATHON PETROLEUM COMPANY LP</t>
  </si>
  <si>
    <t>DETROIT</t>
  </si>
  <si>
    <t>MN</t>
  </si>
  <si>
    <t>Flint Hills Resources Pine Bend LLC</t>
  </si>
  <si>
    <t>Rosemount</t>
  </si>
  <si>
    <t>Saint Paul Park Refining Co LLC</t>
  </si>
  <si>
    <t>St. Paul Park</t>
  </si>
  <si>
    <t>MS</t>
  </si>
  <si>
    <t>Ergon Refining Inc</t>
  </si>
  <si>
    <t>Vicksburg</t>
  </si>
  <si>
    <t>Hunt Southland Refining Company</t>
  </si>
  <si>
    <t>Sandersville</t>
  </si>
  <si>
    <t>Lumberton</t>
  </si>
  <si>
    <t>Chevron Products Company,  Pascagoula Refinery</t>
  </si>
  <si>
    <t>Pascagoula</t>
  </si>
  <si>
    <t>MT</t>
  </si>
  <si>
    <t>EXXONMOBIL BILLINGS REFINERY</t>
  </si>
  <si>
    <t>BILLINGS</t>
  </si>
  <si>
    <t>BILLINGS REFINERY</t>
  </si>
  <si>
    <t>CALUMET MONTANA REFINING</t>
  </si>
  <si>
    <t>GREAT FALLS</t>
  </si>
  <si>
    <t>CHS INC. REFINERY LAUREL</t>
  </si>
  <si>
    <t>LAUREL</t>
  </si>
  <si>
    <t>ND</t>
  </si>
  <si>
    <t>Mandan Refinery</t>
  </si>
  <si>
    <t>Mandan</t>
  </si>
  <si>
    <t>NJ</t>
  </si>
  <si>
    <t>Paulsboro Refining Company LLC</t>
  </si>
  <si>
    <t>PAULSBORO</t>
  </si>
  <si>
    <t>NUSTAR ASPHALT REFINING, LLC</t>
  </si>
  <si>
    <t>CHEVRON PRODUCTS CO</t>
  </si>
  <si>
    <t>PERTH AMBOY</t>
  </si>
  <si>
    <t>PHILLIPS 66 CO</t>
  </si>
  <si>
    <t>Linden</t>
  </si>
  <si>
    <t>Sunoco, Inc. (R&amp;M) Eagle Point Refinery</t>
  </si>
  <si>
    <t>WESTVILLE</t>
  </si>
  <si>
    <t>Hess Corporation-Port Reading Refiner</t>
  </si>
  <si>
    <t>Pt. Reading</t>
  </si>
  <si>
    <t>NM</t>
  </si>
  <si>
    <t>Navajo Refining - Artesia Refinery</t>
  </si>
  <si>
    <t>Artesia</t>
  </si>
  <si>
    <t>Lovington Refinery</t>
  </si>
  <si>
    <t>Lovington</t>
  </si>
  <si>
    <t>Bloomfield Products Terminal</t>
  </si>
  <si>
    <t>Bloomfield</t>
  </si>
  <si>
    <t>Gallup Refinery</t>
  </si>
  <si>
    <t>Gallup</t>
  </si>
  <si>
    <t>NV</t>
  </si>
  <si>
    <t>EAGLE SPRINGS REFINERY</t>
  </si>
  <si>
    <t>ELY</t>
  </si>
  <si>
    <t>OH</t>
  </si>
  <si>
    <t>Marathon Petroleum Company LP - Canton Refinery (1576002006)</t>
  </si>
  <si>
    <t>Canton</t>
  </si>
  <si>
    <t>Toledo Refining Company, LLC. (0448010246)</t>
  </si>
  <si>
    <t>Oregon</t>
  </si>
  <si>
    <t>Lima Refining Company (0302020012)</t>
  </si>
  <si>
    <t>Lima</t>
  </si>
  <si>
    <t>BP-Husky Refining LLC (0448020007)</t>
  </si>
  <si>
    <t>OK</t>
  </si>
  <si>
    <t>PONCA CITY RFNRY</t>
  </si>
  <si>
    <t>PONCA CITY</t>
  </si>
  <si>
    <t>WYNNEWOOD RFNRY CO</t>
  </si>
  <si>
    <t>WYNNEWOOD</t>
  </si>
  <si>
    <t>TULSA</t>
  </si>
  <si>
    <t>VALERO ARDMORE RFNRY</t>
  </si>
  <si>
    <t>ARDMORE</t>
  </si>
  <si>
    <t>OR</t>
  </si>
  <si>
    <t>Willbridge Refinery</t>
  </si>
  <si>
    <t>PORTLAND</t>
  </si>
  <si>
    <t>PA</t>
  </si>
  <si>
    <t>UNITED REFINING CO/WARREN PLT</t>
  </si>
  <si>
    <t>WARREN</t>
  </si>
  <si>
    <t>AMER REF GROUP/BRADFORD</t>
  </si>
  <si>
    <t>BRADFORD</t>
  </si>
  <si>
    <t>SUNOCO INC/ PHILA REFINERY R&amp;M</t>
  </si>
  <si>
    <t>PHILADELPHIA</t>
  </si>
  <si>
    <t>SUNOCO INC (R&amp;M)/MARCUS HOOK REFINERY</t>
  </si>
  <si>
    <t>MARCUS HOOK</t>
  </si>
  <si>
    <t>MONROE ENERGY LLC/TRAINER</t>
  </si>
  <si>
    <t>TRAINER</t>
  </si>
  <si>
    <t>TN</t>
  </si>
  <si>
    <t>Valero Refining Co. (Prev. Premcor Refining, Prev. Williams Refining Llc)</t>
  </si>
  <si>
    <t>Memphis</t>
  </si>
  <si>
    <t>TX</t>
  </si>
  <si>
    <t>PETROLEUM REFINERY</t>
  </si>
  <si>
    <t>SAN ANTONIO</t>
  </si>
  <si>
    <t>TEXAS CITY REFINERY</t>
  </si>
  <si>
    <t>TEXAS CITY</t>
  </si>
  <si>
    <t>VALERO MCKEE REFINERY</t>
  </si>
  <si>
    <t>SUNRAY</t>
  </si>
  <si>
    <t>CORPUS CHRISTI EAST PLANT</t>
  </si>
  <si>
    <t>CORPUS CHRISTI</t>
  </si>
  <si>
    <t>DEER PARK PLANT</t>
  </si>
  <si>
    <t>DEER PARK</t>
  </si>
  <si>
    <t>BTB REFINING</t>
  </si>
  <si>
    <t>HOUSTON REFINERY</t>
  </si>
  <si>
    <t>HOUSTON</t>
  </si>
  <si>
    <t>HOUSTON REFINING OPERATION</t>
  </si>
  <si>
    <t>GALVESTON BAY REFINERY</t>
  </si>
  <si>
    <t>BORGER REFINERY</t>
  </si>
  <si>
    <t>BORGER</t>
  </si>
  <si>
    <t>BEAUMONT REFINERY</t>
  </si>
  <si>
    <t>BEAUMONT</t>
  </si>
  <si>
    <t>PORT ARTHUR REFINERY</t>
  </si>
  <si>
    <t>PORT ARTHUR</t>
  </si>
  <si>
    <t>VALERO PORT ARTHUR REFINERY</t>
  </si>
  <si>
    <t>BAYTOWN REFINERY</t>
  </si>
  <si>
    <t>BAYTOWN</t>
  </si>
  <si>
    <t>PASADENA REFINING SYSTEM</t>
  </si>
  <si>
    <t>PASADENA</t>
  </si>
  <si>
    <t>SWEENY REFINERY PETROCHEM</t>
  </si>
  <si>
    <t>SWEENY</t>
  </si>
  <si>
    <t>BIG SPRING REFINERY</t>
  </si>
  <si>
    <t>BIG SPRING</t>
  </si>
  <si>
    <t>VALERO CORPUS CHRISTI REFINING EAST</t>
  </si>
  <si>
    <t>DELEK TYLER REFINERY</t>
  </si>
  <si>
    <t>TYLER</t>
  </si>
  <si>
    <t>THREE RIVERS REFINERY</t>
  </si>
  <si>
    <t>THREE RIVERS</t>
  </si>
  <si>
    <t>SOUTH HAMPTON RESOURCES INC</t>
  </si>
  <si>
    <t>SILSBEE</t>
  </si>
  <si>
    <t>WESTERN REFINING EL PASO</t>
  </si>
  <si>
    <t>EL PASO</t>
  </si>
  <si>
    <t>UT</t>
  </si>
  <si>
    <t>Flying J Incorporated: Flying J Refinery (Big West Oil Co.)</t>
  </si>
  <si>
    <t>North Salt Lake</t>
  </si>
  <si>
    <t>Holly Corp: HRMC and HEP Woods Cross Operations</t>
  </si>
  <si>
    <t>Woods Cross</t>
  </si>
  <si>
    <t>Tesoro West Coast: Salt Lake City Refinery</t>
  </si>
  <si>
    <t>Salt Lake City</t>
  </si>
  <si>
    <t>Chevron Products Co: Salt Lake Refinery</t>
  </si>
  <si>
    <t>Silver Eagle Refining - Woods Cross Inc.: Petroleum Products Refining</t>
  </si>
  <si>
    <t>VA</t>
  </si>
  <si>
    <t>Western Refining Yorktown Inc</t>
  </si>
  <si>
    <t>Grafton</t>
  </si>
  <si>
    <t>WA</t>
  </si>
  <si>
    <t>TESORO NORTHWEST COMPANY</t>
  </si>
  <si>
    <t>Anacortes</t>
  </si>
  <si>
    <t>CONOCO PHILLIPS</t>
  </si>
  <si>
    <t>Ferndale</t>
  </si>
  <si>
    <t>US Oil &amp; Refining Co</t>
  </si>
  <si>
    <t>Tacoma</t>
  </si>
  <si>
    <t>PUGET SOUND REFINING COMPANY</t>
  </si>
  <si>
    <t>BP CHERRY POINT REFINERY</t>
  </si>
  <si>
    <t>Blaine</t>
  </si>
  <si>
    <t>WI</t>
  </si>
  <si>
    <t>Calumet Superior, LLC</t>
  </si>
  <si>
    <t>SUPERIOR</t>
  </si>
  <si>
    <t>WV</t>
  </si>
  <si>
    <t>ERGON - WEST VIRGINIA, INC.</t>
  </si>
  <si>
    <t>NEWELL</t>
  </si>
  <si>
    <t>WY</t>
  </si>
  <si>
    <t>Frontier Refinery</t>
  </si>
  <si>
    <t>Laramie County</t>
  </si>
  <si>
    <t>Newcastle Refinery</t>
  </si>
  <si>
    <t>Weston County</t>
  </si>
  <si>
    <t>Casper Refinery</t>
  </si>
  <si>
    <t>Natrona County</t>
  </si>
  <si>
    <t>Sinclair Refinery</t>
  </si>
  <si>
    <t>Carbon County</t>
  </si>
  <si>
    <t>Idle(bpcd)</t>
  </si>
  <si>
    <t>Operating (bpcd)</t>
  </si>
  <si>
    <t>Utilization</t>
  </si>
  <si>
    <t>U.S.</t>
  </si>
  <si>
    <t>East Coast (PADD 1)</t>
  </si>
  <si>
    <t>Delaware</t>
  </si>
  <si>
    <t>Georgia</t>
  </si>
  <si>
    <t>New Jersey</t>
  </si>
  <si>
    <t>Pennsylvania</t>
  </si>
  <si>
    <t>Virginia</t>
  </si>
  <si>
    <t>West Virginia</t>
  </si>
  <si>
    <t>Midwest (PADD 2)</t>
  </si>
  <si>
    <t>Illinois</t>
  </si>
  <si>
    <t>Indiana</t>
  </si>
  <si>
    <t>Kansas</t>
  </si>
  <si>
    <t>Kentucky</t>
  </si>
  <si>
    <t>Michigan</t>
  </si>
  <si>
    <t>Minnesota</t>
  </si>
  <si>
    <t>North Dakota</t>
  </si>
  <si>
    <t>Ohio</t>
  </si>
  <si>
    <t>Oklahoma</t>
  </si>
  <si>
    <t>Tennessee</t>
  </si>
  <si>
    <t>Wisconsin</t>
  </si>
  <si>
    <t>Gulf Coast (PADD 3)</t>
  </si>
  <si>
    <t>Alabama</t>
  </si>
  <si>
    <t>Arkansas</t>
  </si>
  <si>
    <t>Louisiana</t>
  </si>
  <si>
    <t>Mississippi</t>
  </si>
  <si>
    <t>New Mexico</t>
  </si>
  <si>
    <t>Texas</t>
  </si>
  <si>
    <t>Rocky Mountain (PADD 4)</t>
  </si>
  <si>
    <t>Colorado</t>
  </si>
  <si>
    <t>Montana</t>
  </si>
  <si>
    <t>Utah</t>
  </si>
  <si>
    <t>Wyoming</t>
  </si>
  <si>
    <t>West Coast (PADD 5)</t>
  </si>
  <si>
    <t>Alaska</t>
  </si>
  <si>
    <t>Hawaii</t>
  </si>
  <si>
    <t>Nevada</t>
  </si>
  <si>
    <t>Washington</t>
  </si>
  <si>
    <t>Utilization factor</t>
  </si>
  <si>
    <t>Utilized (bbl/day)</t>
  </si>
  <si>
    <t>1/Utilized(day/bbl)</t>
  </si>
  <si>
    <t>EIA Utilization Factor</t>
  </si>
  <si>
    <t>Reference [4]</t>
  </si>
  <si>
    <t>Location</t>
  </si>
  <si>
    <t>CO (ton/yr)</t>
  </si>
  <si>
    <t>VOC (ton/yr)</t>
  </si>
  <si>
    <t>NOX (ton/yr)</t>
  </si>
  <si>
    <t>SO2 (ton/yr)</t>
  </si>
  <si>
    <t>PM2.5 (ton/yr)</t>
  </si>
  <si>
    <t>PM10(ton/yr)</t>
  </si>
  <si>
    <t>NH3(ton/yr)</t>
  </si>
  <si>
    <t>Lead(ton/yr)</t>
  </si>
  <si>
    <t>PM2.5_EC(ton/yr)</t>
  </si>
  <si>
    <t>PM2.5_OC(ton/yr)</t>
  </si>
  <si>
    <t>Mercury(lbs/yr)</t>
  </si>
  <si>
    <t>Chromium(lbs/yr)</t>
  </si>
  <si>
    <t>Arsenic(lbs/yr)</t>
  </si>
  <si>
    <t>Acetaldehyde(lbs/yr)</t>
  </si>
  <si>
    <t>Formaldehyde(lbs/yr)</t>
  </si>
  <si>
    <t>Ethylbenzene(lbs/yr)</t>
  </si>
  <si>
    <t>Acrolein(lbs/yr)</t>
  </si>
  <si>
    <t>1,3-Butadiene(lbs/yr)</t>
  </si>
  <si>
    <t>Tetrachloroethylene(lbs/yr)</t>
  </si>
  <si>
    <t>Avg(kg/bbl)</t>
  </si>
  <si>
    <t>http://www.eia.gov/dnav/pet/pet_pnp_cap1_a_(na)_8di_bpcd_a.htm</t>
  </si>
  <si>
    <t>EIA</t>
  </si>
  <si>
    <t>Energy Information Administration</t>
  </si>
  <si>
    <t>Oil and Gas Journal</t>
  </si>
  <si>
    <t>O&amp;G</t>
  </si>
  <si>
    <t>http://www.ogj.com/ogj-survey-downloads.html</t>
  </si>
  <si>
    <t>[2]</t>
  </si>
  <si>
    <t>Reference [  ]</t>
  </si>
  <si>
    <t>[3]</t>
  </si>
  <si>
    <t>[4]</t>
  </si>
  <si>
    <t>[3,4]</t>
  </si>
  <si>
    <t>Emission Rates</t>
  </si>
  <si>
    <t>2011 Survey of Top 200 US Oil and Gas Companies</t>
  </si>
  <si>
    <t>Flare Emissions and Flaring Frequency and Magnitude Trends at Bay Area Refineries</t>
  </si>
  <si>
    <t>BAAQMD</t>
  </si>
  <si>
    <t>San Francisco, CA</t>
  </si>
  <si>
    <t>Bay Area Air Quality Management District</t>
  </si>
  <si>
    <t>http://www.baaqmd.gov/Divisions/Compliance-and-Enforcement/Refinery-Flare-Monitoring/Emissions.aspx</t>
  </si>
  <si>
    <t>BAAQMD. (2013). Flare Emissions and Flaring Frequency and Magnitude Trends at Bay Area Refineries. San Francisco, CA. Retrieved from http://www.baaqmd.gov/Divisions/Compliance-and-Enforcement/Refinery-Flare-Monitoring/Emissions.aspx</t>
  </si>
  <si>
    <t>CH4 from Flare (ton/yr)</t>
  </si>
  <si>
    <t>Flare Gas Volume (MMSCF/yr)</t>
  </si>
  <si>
    <t>kg CO2</t>
  </si>
  <si>
    <t>CO2 from Flare (kg/yr)</t>
  </si>
  <si>
    <t>API</t>
  </si>
  <si>
    <t>Compendium of Greenhouse Gas Emissions Methodologies for the Oil and Natural Gas Industry</t>
  </si>
  <si>
    <t>http://www.api.org/ehs/climate/new/upload/2009_ghg_compendium.pdf</t>
  </si>
  <si>
    <t>API. (2009). Compendium of Greenhouse Gas Emissions Methodologies for the Oil and Natural Gas Industry. Retrieved from http://www.api.org/ehs/climate/new/upload/2009_ghg_compendium.pdf</t>
  </si>
  <si>
    <t>American Petroleum Institute</t>
  </si>
  <si>
    <t>N2O from Flare (kg/yr)</t>
  </si>
  <si>
    <t>kg N2O</t>
  </si>
  <si>
    <t xml:space="preserve">scf gas flared </t>
  </si>
  <si>
    <t>Refinery - Chevron FCC - August 6-17, 1996</t>
  </si>
  <si>
    <t>Profile normalized to equal 100% for the sum of the 55 PAMS (Photochemical Assessment Monitoring Stations) pollutants + MTBE, UNIDENTIFIED and OTHER.</t>
  </si>
  <si>
    <t>Paso del Norte project</t>
  </si>
  <si>
    <t>106-98-9</t>
  </si>
  <si>
    <t>43213</t>
  </si>
  <si>
    <t>1-butene</t>
  </si>
  <si>
    <t>LBUT1E</t>
  </si>
  <si>
    <t>109-67-1</t>
  </si>
  <si>
    <t>43224</t>
  </si>
  <si>
    <t>1-pentene</t>
  </si>
  <si>
    <t>PENTE1</t>
  </si>
  <si>
    <t>74-86-2</t>
  </si>
  <si>
    <t>43206</t>
  </si>
  <si>
    <t>Acetylene</t>
  </si>
  <si>
    <t>ACETYL</t>
  </si>
  <si>
    <t>590-18-1</t>
  </si>
  <si>
    <t>43217</t>
  </si>
  <si>
    <t>Cis-2-butene</t>
  </si>
  <si>
    <t>C2BUTE</t>
  </si>
  <si>
    <t>627-20-3</t>
  </si>
  <si>
    <t>43227</t>
  </si>
  <si>
    <t>Cis-2-pentene</t>
  </si>
  <si>
    <t>C2PENE</t>
  </si>
  <si>
    <t>74-85-1</t>
  </si>
  <si>
    <t>43203</t>
  </si>
  <si>
    <t>Ethylene</t>
  </si>
  <si>
    <t>ETHENE</t>
  </si>
  <si>
    <t>78-79-5</t>
  </si>
  <si>
    <t>43243</t>
  </si>
  <si>
    <t>Isoprene (2-methyl-1,3-butadiene)</t>
  </si>
  <si>
    <t>I_PREN</t>
  </si>
  <si>
    <t>115-07-1</t>
  </si>
  <si>
    <t>43205</t>
  </si>
  <si>
    <t>Propylene (1-Propene)</t>
  </si>
  <si>
    <t>PROPE</t>
  </si>
  <si>
    <t>100-42-5</t>
  </si>
  <si>
    <t>45220</t>
  </si>
  <si>
    <t>Styrene</t>
  </si>
  <si>
    <t>STYR</t>
  </si>
  <si>
    <t>624-64-6</t>
  </si>
  <si>
    <t>43216</t>
  </si>
  <si>
    <t>Trans-2-butene</t>
  </si>
  <si>
    <t>T2BUTE</t>
  </si>
  <si>
    <t>646-04-8</t>
  </si>
  <si>
    <t>43226</t>
  </si>
  <si>
    <t>Trans-2-pentene</t>
  </si>
  <si>
    <t>T2PENE</t>
  </si>
  <si>
    <t>99999</t>
  </si>
  <si>
    <t>Unidentified</t>
  </si>
  <si>
    <t>UNID</t>
  </si>
  <si>
    <t>Reference [1]</t>
  </si>
  <si>
    <t>1_butene</t>
  </si>
  <si>
    <t>1_pentene</t>
  </si>
  <si>
    <t>Isoprene</t>
  </si>
  <si>
    <t>T_2_butene</t>
  </si>
  <si>
    <t>T_2_pentene</t>
  </si>
  <si>
    <t>C_2_pentene</t>
  </si>
  <si>
    <t>C_2_butene</t>
  </si>
  <si>
    <t>References [1]</t>
  </si>
  <si>
    <t>Spetiated VOCs</t>
  </si>
  <si>
    <t>[6 Table 4-3]</t>
  </si>
  <si>
    <t>[6 Table 4-6]</t>
  </si>
  <si>
    <t>[5,6 Table 4-3]</t>
  </si>
  <si>
    <t>[5,6 Table 4-6]</t>
  </si>
  <si>
    <t>Fugitive CH4 (tonne/yr)</t>
  </si>
  <si>
    <t>[deg API] API of the crude oil being produced. Heavy Venezuelan crude has an API of just over 10, and Bakken crude can be around 42.</t>
  </si>
  <si>
    <t>SG_oil</t>
  </si>
  <si>
    <t>141.5/(API+131.5)</t>
  </si>
  <si>
    <t>[dimensionless] Specific gravity of the crude oil, calculated from the API</t>
  </si>
  <si>
    <t>bbl_m3</t>
  </si>
  <si>
    <t>bbl/cu.m</t>
  </si>
  <si>
    <t>[Barrels per cubic meter] Conversion factor</t>
  </si>
  <si>
    <t>CO2_Flare_bbl</t>
  </si>
  <si>
    <t>CH4_Flare_bbl</t>
  </si>
  <si>
    <t>N2O_Flare_bbl</t>
  </si>
  <si>
    <t>CO_bbl</t>
  </si>
  <si>
    <t>VOC_bbl</t>
  </si>
  <si>
    <t>NOX_bbl</t>
  </si>
  <si>
    <t>SO2_bbl</t>
  </si>
  <si>
    <t>PM2.5_bbl</t>
  </si>
  <si>
    <t>PM10_bbl</t>
  </si>
  <si>
    <t>NH3_bbl</t>
  </si>
  <si>
    <t>Lead_bbl</t>
  </si>
  <si>
    <t>kg/bbl</t>
  </si>
  <si>
    <t>[kg/bbl] Kg of CO emitted to air per bbl of crude throughput</t>
  </si>
  <si>
    <t>[kg/bbl] Kg of VOC emitted to air per bbl of crude throughput</t>
  </si>
  <si>
    <t>[kg/bbl] Kg of NOX emitted to air per bbl of crude throughput</t>
  </si>
  <si>
    <t>[kg/bbl] Kg of SO2  emitted to air per bbl of crude throughput</t>
  </si>
  <si>
    <t>[kg/bbl] Kg of PM2.5  emitted to air per bbl of crude throughput</t>
  </si>
  <si>
    <t>[kg/bbl] Kg of PM10 emitted to air per bbl of crude throughput</t>
  </si>
  <si>
    <t>[kg/bbl] Kg of NH3 emitted to air per bbl of crude throughput</t>
  </si>
  <si>
    <t>[kg/bbl] Kg of Lead emitted to air per bbl of crude throughput</t>
  </si>
  <si>
    <t>[kg/bbl] Kg of PM2.5_EC emitted to air per bbl of crude throughput</t>
  </si>
  <si>
    <t>[kg/bbl] Kg of PM2.5_OC emitted to air per bbl of crude throughput</t>
  </si>
  <si>
    <t>[kg/bbl] Kg of Mercury emitted to air per bbl of crude throughput</t>
  </si>
  <si>
    <t>[kg/bbl] Kg of Chromium emitted to air per bbl of crude throughput</t>
  </si>
  <si>
    <t>[kg/bbl] Kg of Arsenic emitted to air per bbl of crude throughput</t>
  </si>
  <si>
    <t>[kg/bbl] Kg of Acetaldehyde emitted to air per bbl of crude throughput</t>
  </si>
  <si>
    <t>[kg/bbl] Kg of Formaldehyde emitted to air per bbl of crude throughput</t>
  </si>
  <si>
    <t>[kg/bbl] Kg of Acrolein emitted to air per bbl of crude throughput</t>
  </si>
  <si>
    <t>[kg/bbl] Kg of 1,3-Butadiene emitted to air per bbl of crude throughput</t>
  </si>
  <si>
    <t>[kg/bbl] Kg of Tetrachloroethylene emitted to air per bbl of crude throughput</t>
  </si>
  <si>
    <t>[kg/bbl] Kg of CO2 from Flare emitted to air per bbl of crude throughput</t>
  </si>
  <si>
    <t>[kg/bbl] Kg of CH4 from Flare  emitted to air per bbl of crude throughput</t>
  </si>
  <si>
    <t>[kg/bbl] Kg of N2O from Flare emitted to air per bbl of crude throughput</t>
  </si>
  <si>
    <t>[kg/bbl] Kg of Fugitive CH4 emitted to air per bbl of crude throughput</t>
  </si>
  <si>
    <t>Density_oil</t>
  </si>
  <si>
    <t>SG_oil*1000/bbl_m3</t>
  </si>
  <si>
    <t>[kg/bbl] Conversion of bbl of oil to kg</t>
  </si>
  <si>
    <t>CH4_Fug_bbl</t>
  </si>
  <si>
    <t>VOC</t>
  </si>
  <si>
    <t>NOX</t>
  </si>
  <si>
    <t>SO2</t>
  </si>
  <si>
    <t>PM2.5</t>
  </si>
  <si>
    <t>PM10</t>
  </si>
  <si>
    <t>NH3</t>
  </si>
  <si>
    <t>Lead</t>
  </si>
  <si>
    <t>PM2.5_EC</t>
  </si>
  <si>
    <t>PM2.5_OC</t>
  </si>
  <si>
    <t>Mercury</t>
  </si>
  <si>
    <t>Chromium</t>
  </si>
  <si>
    <t>Arsenic</t>
  </si>
  <si>
    <t>Acetaldehyd</t>
  </si>
  <si>
    <t>Formaldehyd</t>
  </si>
  <si>
    <t>Acrolein</t>
  </si>
  <si>
    <t>Tetrach</t>
  </si>
  <si>
    <t>CH4_Flare</t>
  </si>
  <si>
    <t>CH4_Fug</t>
  </si>
  <si>
    <t>[kg/kg] Kg of CO emitted to air per kg of crude throughput</t>
  </si>
  <si>
    <t>[kg/kg] Kg of VOC emitted to air per kg of crude throughput</t>
  </si>
  <si>
    <t>[kg/kg] Kg of NOX emitted to air per kg of crude throughput</t>
  </si>
  <si>
    <t>[kg/kg] Kg of SO2  emitted to air per kg of crude throughput</t>
  </si>
  <si>
    <t>[kg/kg] Kg of PM2.5  emitted to air per kg of crude throughput</t>
  </si>
  <si>
    <t>[kg/kg] Kg of PM10 emitted to air per kg of crude throughput</t>
  </si>
  <si>
    <t>[kg/kg] Kg of NH3 emitted to air per kg of crude throughput</t>
  </si>
  <si>
    <t>[kg/kg] Kg of Lead emitted to air per kg of crude throughput</t>
  </si>
  <si>
    <t>[kg/kg] Kg of PM2.5_EC emitted to air per kg of crude throughput</t>
  </si>
  <si>
    <t>[kg/kg] Kg of PM2.5_OC emitted to air per kg of crude throughput</t>
  </si>
  <si>
    <t>[kg/kg] Kg of Mercury emitted to air per kg of crude throughput</t>
  </si>
  <si>
    <t>[kg/kg] Kg of Chromium emitted to air per kg of crude throughput</t>
  </si>
  <si>
    <t>[kg/kg] Kg of Arsenic emitted to air per kg of crude throughput</t>
  </si>
  <si>
    <t>[kg/kg] Kg of Acetaldehyde emitted to air per kg of crude throughput</t>
  </si>
  <si>
    <t>[kg/kg] Kg of Formaldehyde emitted to air per kg of crude throughput</t>
  </si>
  <si>
    <t>[kg/kg] Kg of Acrolein emitted to air per kg of crude throughput</t>
  </si>
  <si>
    <t>[kg/kg] Kg of 1,3-Butadiene emitted to air per kg of crude throughput</t>
  </si>
  <si>
    <t>[kg/kg] Kg of Tetrachloroethylene emitted to air per kg of crude throughput</t>
  </si>
  <si>
    <t>[kg/kg] Kg of CO2 from Flare emitted to air per kg of crude throughput</t>
  </si>
  <si>
    <t>[kg/kg] Kg of CH4 from Flare  emitted to air per kg of crude throughput</t>
  </si>
  <si>
    <t>[kg/kg] Kg of N2O from Flare emitted to air per kg of crude throughput</t>
  </si>
  <si>
    <t>[kg/kg] Kg of Fugitive CH4 emitted to air per kg of crude throughput</t>
  </si>
  <si>
    <t>CO_bbl/Density_oil</t>
  </si>
  <si>
    <t>VOC_bbl/Density_oil</t>
  </si>
  <si>
    <t>NOX_bbl/Density_oil</t>
  </si>
  <si>
    <t>SO2_bbl/Density_oil</t>
  </si>
  <si>
    <t>PM2.5_bbl/Density_oil</t>
  </si>
  <si>
    <t>PM10_bbl/Density_oil</t>
  </si>
  <si>
    <t>NH3_bbl/Density_oil</t>
  </si>
  <si>
    <t>Lead_bbl/Density_oil</t>
  </si>
  <si>
    <t>PM2.5_EC_bbl/Density_oil</t>
  </si>
  <si>
    <t>PM2.5_OC_bbl/Density_oil</t>
  </si>
  <si>
    <t>Mercury_bbl/Density_oil</t>
  </si>
  <si>
    <t>Chromium_bbl/Density_oil</t>
  </si>
  <si>
    <t>Arsenic_bbl/Density_oil</t>
  </si>
  <si>
    <t>Acetaldehyd_bbl/Density_oil</t>
  </si>
  <si>
    <t>Formaldehyd_bbl/Density_oil</t>
  </si>
  <si>
    <t>Acrolein_bbl/Density_oil</t>
  </si>
  <si>
    <t>1,3-Butad_bbl/Density_oil</t>
  </si>
  <si>
    <t>Tetrach_bbl/Density_oil</t>
  </si>
  <si>
    <t>CO2_Flare_bbl/Density_oil</t>
  </si>
  <si>
    <t>CH4_Flare_bbl/Density_oil</t>
  </si>
  <si>
    <t>N2O_Flare_bbl/Density_oil</t>
  </si>
  <si>
    <t>CH4_Fug_bbl/Density_oil</t>
  </si>
  <si>
    <t>CH4</t>
  </si>
  <si>
    <t>CH4_Fug + CH4_Flare</t>
  </si>
  <si>
    <t>N2O</t>
  </si>
  <si>
    <t>[kg/kg] Kg of Flared and Fugitive CH4 emitted to air per kg of crude throughput</t>
  </si>
  <si>
    <t>Reference flow</t>
  </si>
  <si>
    <t>Carbon dioxide [Inorganic emissions to air]</t>
  </si>
  <si>
    <t>Carbon monoxide [Inorganic emissions to air]</t>
  </si>
  <si>
    <t>non-GHG emissions</t>
  </si>
  <si>
    <t>Flare GHG emissions</t>
  </si>
  <si>
    <t>Fugitive GHG emissions</t>
  </si>
  <si>
    <t>Speciated VOCs</t>
  </si>
  <si>
    <t>Emissions Rates</t>
  </si>
  <si>
    <t>All GHG and non-GHG emission rates</t>
  </si>
  <si>
    <t>Utilization factors for refineries by state</t>
  </si>
  <si>
    <t>[6 Appendix F]</t>
  </si>
  <si>
    <t>Atmospheric Crude Oil Distillation Operating/Idle Capacities</t>
  </si>
  <si>
    <t>Table 4-3, Table 4-6, Appendix F</t>
  </si>
  <si>
    <t>O&amp;G (2011). 2011 Survey of Top 200 US Oil and Gas Companies. Retrieved from http://www.ogj.com/ogj-survey-downloads.html</t>
  </si>
  <si>
    <t>EIA. (2013). Atmospheric Crude Oil Distillation Operating/Idle Capacities. Washington, D.C. Retrieved from http://www.eia.gov/dnav/pet/pet_pnp_cap1_a_(na)_8di_bpcd_a.htm</t>
  </si>
  <si>
    <t>Refinery capacity</t>
  </si>
  <si>
    <t>2011 Capacity (bbl/day)</t>
  </si>
  <si>
    <t>EPA. (2014). SPECIATE Version 4.4.  Environmental Protection Agency (Ed.). Washington, D.C. Retrieved, from http://www.epa.gov/ttn/chief/software/speciate/index.html#documentation</t>
  </si>
  <si>
    <t>Nitrogen oxides [Inorganic emissions to air]</t>
  </si>
  <si>
    <t>Sulphur dioxide [Inorganic emissions to air]</t>
  </si>
  <si>
    <t>Dust (PM2.5) [Particles to air]</t>
  </si>
  <si>
    <t>Dust (PM10) [Particles to air]</t>
  </si>
  <si>
    <t>Mercury (+II) [Heavy metals to air]</t>
  </si>
  <si>
    <t>Ammonia [Inorganic emissions to air]</t>
  </si>
  <si>
    <t>Lead (+II) [Heavy metals to air]</t>
  </si>
  <si>
    <t>Chromium (+VI) [Heavy metals to air]</t>
  </si>
  <si>
    <t>Arsenic (+V) [Heavy metals to air]</t>
  </si>
  <si>
    <t>Acetaldehyde (Ethanal) [Group NMVOC to air]</t>
  </si>
  <si>
    <t>Formaldehyde (methanal) [Group NMVOC to air]</t>
  </si>
  <si>
    <t>Acrolein [Group NMVOC to air]</t>
  </si>
  <si>
    <t>Butadiene [Group NMVOC to air]</t>
  </si>
  <si>
    <t>Nitrous oxide (laughing gas) [Inorganic emissions to air]</t>
  </si>
  <si>
    <t>Organic carbon [emission to air] [Emissions to air]</t>
  </si>
  <si>
    <t>Elemental carbon [emission to air] [Emissions to air]</t>
  </si>
  <si>
    <t>1-Pentene [Group NMVOC to air]</t>
  </si>
  <si>
    <t>Ethene (ethylene) [Group NMVOC to air]</t>
  </si>
  <si>
    <t>cis-2-Butene [Group NMVOC to air]</t>
  </si>
  <si>
    <t>cis-2-Pentene [Group NMVOC to air]</t>
  </si>
  <si>
    <t>Ethine (acetylene) [Group NMVOC to air]</t>
  </si>
  <si>
    <t>Isoprene [Group NMVOC to air]</t>
  </si>
  <si>
    <t>Styrene [Group NMVOC to air]</t>
  </si>
  <si>
    <t>Butene [Group NMVOC to air]</t>
  </si>
  <si>
    <t>trans-2-Pentene [Group NMVOC to air]</t>
  </si>
  <si>
    <t>trans-2-Butene [Group NMVOC to air]</t>
  </si>
  <si>
    <t>Octane (n-Octane) [Organic intermediate products]</t>
  </si>
  <si>
    <t>NCI</t>
  </si>
  <si>
    <t>LOW</t>
  </si>
  <si>
    <t>MED</t>
  </si>
  <si>
    <t xml:space="preserve"> </t>
  </si>
  <si>
    <t>NC</t>
  </si>
  <si>
    <t>Min(kg/bbl)</t>
  </si>
  <si>
    <t>Max(kg/bbl)</t>
  </si>
  <si>
    <t>Refinery Complexity</t>
  </si>
  <si>
    <t>Tetrachloroethene (perchloroethylene) [Halogenated organic emissions to air]</t>
  </si>
  <si>
    <t xml:space="preserve">4789411, 10296811 </t>
  </si>
  <si>
    <t>5682211, 6500611</t>
  </si>
  <si>
    <t>8003911, 8402711</t>
  </si>
  <si>
    <t>CARSON, WILMINGTON</t>
  </si>
  <si>
    <t>TULSA RFNRY</t>
  </si>
  <si>
    <t>15733011, 7124111</t>
  </si>
  <si>
    <t>RODEO,ARROYO GRANDE</t>
  </si>
  <si>
    <t>4188811, 4205511, 4929811, 4945411</t>
  </si>
  <si>
    <t>CITGO PETROLEUM CORP</t>
  </si>
  <si>
    <t>Crude</t>
  </si>
  <si>
    <t>Vacuum</t>
  </si>
  <si>
    <t>Coking</t>
  </si>
  <si>
    <t>Hydro-Cracking</t>
  </si>
  <si>
    <t>Unit Index</t>
  </si>
  <si>
    <t>HIGH HYDRO</t>
  </si>
  <si>
    <t>HIGH COKE</t>
  </si>
  <si>
    <t>HIGH BOTH</t>
  </si>
  <si>
    <t>Tetra_bbl</t>
  </si>
  <si>
    <t>Butad_bbl</t>
  </si>
  <si>
    <t>Acrol_bbl</t>
  </si>
  <si>
    <t>Forma_bbl</t>
  </si>
  <si>
    <t>Aceta_bbl</t>
  </si>
  <si>
    <t>Arsen_bbl</t>
  </si>
  <si>
    <t>Chrom_bbl</t>
  </si>
  <si>
    <t>Merc_bbl</t>
  </si>
  <si>
    <t>PM_OC_bbl</t>
  </si>
  <si>
    <t>PM_EC_bbl</t>
  </si>
  <si>
    <t>[Designation] Defines refinery complexity: 0 = Low  (Crude), 1 = Med  (Vacuum), 2 = HighH (Hydro Cracking), 3 = HighC (Coking), 4 = HighB (Hydro Cracking &amp; Coking)</t>
  </si>
  <si>
    <t>FRS ID</t>
  </si>
  <si>
    <t>Parameter Description</t>
  </si>
  <si>
    <t>CAS Number</t>
  </si>
  <si>
    <t>Direct release (lbs)</t>
  </si>
  <si>
    <t>kg/barrel</t>
  </si>
  <si>
    <t>Substance Name</t>
  </si>
  <si>
    <t>Discharge Source</t>
  </si>
  <si>
    <t>110041023807</t>
  </si>
  <si>
    <t>1,2,4-TRIMETHYLBENZENE</t>
  </si>
  <si>
    <t>95636</t>
  </si>
  <si>
    <t>2</t>
  </si>
  <si>
    <t>8</t>
  </si>
  <si>
    <t>TRI</t>
  </si>
  <si>
    <t>BENZENE</t>
  </si>
  <si>
    <t>71432</t>
  </si>
  <si>
    <t>7</t>
  </si>
  <si>
    <t>BOD, 5-day, 20 deg. C</t>
  </si>
  <si>
    <t>DMR</t>
  </si>
  <si>
    <t>Carbon, tot organic (TOC)</t>
  </si>
  <si>
    <t>7440440</t>
  </si>
  <si>
    <t>Chromium, hexavalent (as Cr)</t>
  </si>
  <si>
    <t>18540299</t>
  </si>
  <si>
    <t>Chromium, total (as Cr)</t>
  </si>
  <si>
    <t>7440473</t>
  </si>
  <si>
    <t>CUMENE</t>
  </si>
  <si>
    <t>98828</t>
  </si>
  <si>
    <t>0</t>
  </si>
  <si>
    <t>ISOPROPYLBENZENE</t>
  </si>
  <si>
    <t>CYANIDE COMPOUNDS</t>
  </si>
  <si>
    <t>N106</t>
  </si>
  <si>
    <t>22</t>
  </si>
  <si>
    <t>CYCLOHEXANE</t>
  </si>
  <si>
    <t>110827</t>
  </si>
  <si>
    <t>DIETHANOLAMINE</t>
  </si>
  <si>
    <t>111422</t>
  </si>
  <si>
    <t>ETHYLBENZENE</t>
  </si>
  <si>
    <t>100414</t>
  </si>
  <si>
    <t>LEAD AND LEAD COMPOUNDS</t>
  </si>
  <si>
    <t>7439921</t>
  </si>
  <si>
    <t>0.1</t>
  </si>
  <si>
    <t>MERCURY AND MERCURY COMPOUNDS</t>
  </si>
  <si>
    <t>N458</t>
  </si>
  <si>
    <t>1.6</t>
  </si>
  <si>
    <t>NAPHTHALENE</t>
  </si>
  <si>
    <t>91203</t>
  </si>
  <si>
    <t>N-HEXANE</t>
  </si>
  <si>
    <t>110543</t>
  </si>
  <si>
    <t>NITRATE COMPOUNDS</t>
  </si>
  <si>
    <t>14797558</t>
  </si>
  <si>
    <t>215605</t>
  </si>
  <si>
    <t>NITRATE</t>
  </si>
  <si>
    <t>Nitrogen, ammonia total (as N)</t>
  </si>
  <si>
    <t>7664417</t>
  </si>
  <si>
    <t>AMMONIA</t>
  </si>
  <si>
    <t>Oil and grease</t>
  </si>
  <si>
    <t>PHENOL</t>
  </si>
  <si>
    <t>108952</t>
  </si>
  <si>
    <t>9</t>
  </si>
  <si>
    <t>Phenolics, total recoverable</t>
  </si>
  <si>
    <t>POLYCYCLIC AROMATIC COMPOUNDS</t>
  </si>
  <si>
    <t>N590</t>
  </si>
  <si>
    <t>23.2</t>
  </si>
  <si>
    <t>Solids, total suspended</t>
  </si>
  <si>
    <t>Sulfide, total (as S)</t>
  </si>
  <si>
    <t>18496258</t>
  </si>
  <si>
    <t>TOLUENE</t>
  </si>
  <si>
    <t>108883</t>
  </si>
  <si>
    <t>XYLENE (MIXED ISOMERS)</t>
  </si>
  <si>
    <t>1330207</t>
  </si>
  <si>
    <t>XYLENES</t>
  </si>
  <si>
    <t>110000332220</t>
  </si>
  <si>
    <t>Arsenic, total (as As)</t>
  </si>
  <si>
    <t>7440382</t>
  </si>
  <si>
    <t>1</t>
  </si>
  <si>
    <t>1.1</t>
  </si>
  <si>
    <t>2.22</t>
  </si>
  <si>
    <t>0.07</t>
  </si>
  <si>
    <t>N-METHYL-2-PYRROLIDONE</t>
  </si>
  <si>
    <t>872504</t>
  </si>
  <si>
    <t>4.51</t>
  </si>
  <si>
    <t>N-METHYLPYRROLIDONE</t>
  </si>
  <si>
    <t>Oil &amp; grease</t>
  </si>
  <si>
    <t>ZINC AND ZINC COMPOUNDS</t>
  </si>
  <si>
    <t>7440666</t>
  </si>
  <si>
    <t>40.62</t>
  </si>
  <si>
    <t>110000502901</t>
  </si>
  <si>
    <t>5</t>
  </si>
  <si>
    <t>1,3-BUTADIENE</t>
  </si>
  <si>
    <t>106990</t>
  </si>
  <si>
    <t>ANTHRACENE</t>
  </si>
  <si>
    <t>120127</t>
  </si>
  <si>
    <t>13</t>
  </si>
  <si>
    <t>BENZO(G,H,I)PERYLENE</t>
  </si>
  <si>
    <t>191242</t>
  </si>
  <si>
    <t>BOD, carbonaceous, 05 day, 20 C</t>
  </si>
  <si>
    <t>CARBON DISULFIDE</t>
  </si>
  <si>
    <t>75150</t>
  </si>
  <si>
    <t>CARBONYL SULFIDE</t>
  </si>
  <si>
    <t>463581</t>
  </si>
  <si>
    <t>246</t>
  </si>
  <si>
    <t>DICYCLOPENTADIENE</t>
  </si>
  <si>
    <t>77736</t>
  </si>
  <si>
    <t>DIOXIN AND DIOXIN-LIKE COMPOUNDS</t>
  </si>
  <si>
    <t>N150</t>
  </si>
  <si>
    <t>33</t>
  </si>
  <si>
    <t>ETHYLENE</t>
  </si>
  <si>
    <t>74851</t>
  </si>
  <si>
    <t>ETHYLENE GLYCOL</t>
  </si>
  <si>
    <t>107211</t>
  </si>
  <si>
    <t>FORMALDEHYDE</t>
  </si>
  <si>
    <t>50000</t>
  </si>
  <si>
    <t>HYDROGEN CYANIDE</t>
  </si>
  <si>
    <t>74908</t>
  </si>
  <si>
    <t>123</t>
  </si>
  <si>
    <t>49</t>
  </si>
  <si>
    <t>METHANOL</t>
  </si>
  <si>
    <t>67561</t>
  </si>
  <si>
    <t>5408</t>
  </si>
  <si>
    <t>METHYL ISOBUTYL KETONE</t>
  </si>
  <si>
    <t>108101</t>
  </si>
  <si>
    <t>76</t>
  </si>
  <si>
    <t>MOLYBDENUM TRIOXIDE</t>
  </si>
  <si>
    <t>1313275</t>
  </si>
  <si>
    <t>19</t>
  </si>
  <si>
    <t>NICKEL AND NICKEL COMPOUNDS</t>
  </si>
  <si>
    <t>N495</t>
  </si>
  <si>
    <t>1228</t>
  </si>
  <si>
    <t>Nitrogen, nitrate total (as N)</t>
  </si>
  <si>
    <t>PHENANTHRENE</t>
  </si>
  <si>
    <t>85018</t>
  </si>
  <si>
    <t>310</t>
  </si>
  <si>
    <t>Phenolic compounds, total</t>
  </si>
  <si>
    <t>STYRENE</t>
  </si>
  <si>
    <t>100425</t>
  </si>
  <si>
    <t>TERT-BUTYL ALCOHOL</t>
  </si>
  <si>
    <t>75650</t>
  </si>
  <si>
    <t>TETRACHLOROETHYLENE</t>
  </si>
  <si>
    <t>127184</t>
  </si>
  <si>
    <t>PERCHLOROETHYLENE</t>
  </si>
  <si>
    <t>96</t>
  </si>
  <si>
    <t>TRICHLOROETHYLENE</t>
  </si>
  <si>
    <t>79016</t>
  </si>
  <si>
    <t>95</t>
  </si>
  <si>
    <t>2898</t>
  </si>
  <si>
    <t>110013314323</t>
  </si>
  <si>
    <t>2.0022</t>
  </si>
  <si>
    <t>1.9642</t>
  </si>
  <si>
    <t>6.167</t>
  </si>
  <si>
    <t>13.1624</t>
  </si>
  <si>
    <t>1.9723</t>
  </si>
  <si>
    <t>3.9338</t>
  </si>
  <si>
    <t>110000428403</t>
  </si>
  <si>
    <t>4</t>
  </si>
  <si>
    <t>0.7</t>
  </si>
  <si>
    <t>BIPHENYL</t>
  </si>
  <si>
    <t>92524</t>
  </si>
  <si>
    <t>Chlorine, total residual</t>
  </si>
  <si>
    <t>7782505</t>
  </si>
  <si>
    <t>CHLORINE</t>
  </si>
  <si>
    <t>0.000274255</t>
  </si>
  <si>
    <t>6.8</t>
  </si>
  <si>
    <t>1.4</t>
  </si>
  <si>
    <t>0.27</t>
  </si>
  <si>
    <t>120</t>
  </si>
  <si>
    <t>83000</t>
  </si>
  <si>
    <t>PROPYLENE</t>
  </si>
  <si>
    <t>115071</t>
  </si>
  <si>
    <t>7782492</t>
  </si>
  <si>
    <t>110008138452</t>
  </si>
  <si>
    <t>Barium, total (as Ba)</t>
  </si>
  <si>
    <t>7440393</t>
  </si>
  <si>
    <t>Lead, total (as Pb)</t>
  </si>
  <si>
    <t>Selenium, total (as Se)</t>
  </si>
  <si>
    <t>Silver, total (as Ag)</t>
  </si>
  <si>
    <t>7440224</t>
  </si>
  <si>
    <t>110000490157</t>
  </si>
  <si>
    <t>967</t>
  </si>
  <si>
    <t>CHROMIUM AND CHROMIUM COMPOUNDS</t>
  </si>
  <si>
    <t>N090</t>
  </si>
  <si>
    <t>80.3</t>
  </si>
  <si>
    <t>COPPER AND COPPER COMPOUNDS</t>
  </si>
  <si>
    <t>7440508</t>
  </si>
  <si>
    <t>24</t>
  </si>
  <si>
    <t>CRESOL (MIXED ISOMERS)</t>
  </si>
  <si>
    <t>1319773</t>
  </si>
  <si>
    <t>CRESOL(S)</t>
  </si>
  <si>
    <t>1.2</t>
  </si>
  <si>
    <t>MANGANESE AND MANGANESE COMPOUNDS</t>
  </si>
  <si>
    <t>7439965</t>
  </si>
  <si>
    <t>1128</t>
  </si>
  <si>
    <t>32</t>
  </si>
  <si>
    <t>15</t>
  </si>
  <si>
    <t>433.6</t>
  </si>
  <si>
    <t>29391</t>
  </si>
  <si>
    <t>402</t>
  </si>
  <si>
    <t>14</t>
  </si>
  <si>
    <t>110000398338</t>
  </si>
  <si>
    <t>Chemical Oxygen Demand (COD)</t>
  </si>
  <si>
    <t>Chromium, hexavalent dissolved (as Cr)</t>
  </si>
  <si>
    <t>7439976</t>
  </si>
  <si>
    <t>Oil and grease, hexane extr method</t>
  </si>
  <si>
    <t>Phosphorus, total (as P)</t>
  </si>
  <si>
    <t>7723140</t>
  </si>
  <si>
    <t>PHOSPHORUS</t>
  </si>
  <si>
    <t>Vanadium, total recoverable</t>
  </si>
  <si>
    <t>7440622</t>
  </si>
  <si>
    <t>110000449505</t>
  </si>
  <si>
    <t>Copper, total (as Cu)</t>
  </si>
  <si>
    <t>Mercury, total (as Hg)</t>
  </si>
  <si>
    <t>110000597471</t>
  </si>
  <si>
    <t>0.41</t>
  </si>
  <si>
    <t>6</t>
  </si>
  <si>
    <t>110000540317</t>
  </si>
  <si>
    <t>3</t>
  </si>
  <si>
    <t>18</t>
  </si>
  <si>
    <t>110000422962</t>
  </si>
  <si>
    <t>Chloride (as Cl)</t>
  </si>
  <si>
    <t>16887006</t>
  </si>
  <si>
    <t>Hardness, total (as CaCO3)</t>
  </si>
  <si>
    <t>7440020</t>
  </si>
  <si>
    <t>Oxygen, dissolved (DO)</t>
  </si>
  <si>
    <t>7782447</t>
  </si>
  <si>
    <t>Phenols</t>
  </si>
  <si>
    <t>110000449131</t>
  </si>
  <si>
    <t>BTEX</t>
  </si>
  <si>
    <t>COBALT AND COBALT COMPOUNDS</t>
  </si>
  <si>
    <t>7440484</t>
  </si>
  <si>
    <t>38</t>
  </si>
  <si>
    <t>HYDROGEN FLUORIDE</t>
  </si>
  <si>
    <t>7664393</t>
  </si>
  <si>
    <t>HYDROFLUORIC ACID</t>
  </si>
  <si>
    <t>0.2</t>
  </si>
  <si>
    <t>37</t>
  </si>
  <si>
    <t>380081</t>
  </si>
  <si>
    <t>0.13</t>
  </si>
  <si>
    <t>VANADIUM AND VANADIUM COMPOUNDS</t>
  </si>
  <si>
    <t>121</t>
  </si>
  <si>
    <t>110000486304</t>
  </si>
  <si>
    <t>1600</t>
  </si>
  <si>
    <t>0.3</t>
  </si>
  <si>
    <t>10</t>
  </si>
  <si>
    <t>4.9</t>
  </si>
  <si>
    <t>47</t>
  </si>
  <si>
    <t>14000</t>
  </si>
  <si>
    <t>Nitrite plus nitrate total 1 det. (as N)</t>
  </si>
  <si>
    <t>7727379</t>
  </si>
  <si>
    <t>NITROGEN</t>
  </si>
  <si>
    <t>Nitrogen, ammonia total (as NH4)</t>
  </si>
  <si>
    <t>14798039</t>
  </si>
  <si>
    <t>AMMONIUM</t>
  </si>
  <si>
    <t>Nitrogen, total (as N)</t>
  </si>
  <si>
    <t>462.1</t>
  </si>
  <si>
    <t>39</t>
  </si>
  <si>
    <t>110002899908</t>
  </si>
  <si>
    <t>100</t>
  </si>
  <si>
    <t>2,4-DIMETHYLPHENOL</t>
  </si>
  <si>
    <t>105679</t>
  </si>
  <si>
    <t>17</t>
  </si>
  <si>
    <t>2200</t>
  </si>
  <si>
    <t>3.9</t>
  </si>
  <si>
    <t>12</t>
  </si>
  <si>
    <t>140</t>
  </si>
  <si>
    <t>0.001472131</t>
  </si>
  <si>
    <t>16.7</t>
  </si>
  <si>
    <t>1500000</t>
  </si>
  <si>
    <t>32.3</t>
  </si>
  <si>
    <t>82</t>
  </si>
  <si>
    <t>670</t>
  </si>
  <si>
    <t>110000469485</t>
  </si>
  <si>
    <t>250</t>
  </si>
  <si>
    <t>0.000230163</t>
  </si>
  <si>
    <t>8.5</t>
  </si>
  <si>
    <t>91000</t>
  </si>
  <si>
    <t>Oil and grease (soxhlet extr.) tot.</t>
  </si>
  <si>
    <t>0.6</t>
  </si>
  <si>
    <t>Sulfide, total</t>
  </si>
  <si>
    <t>Suspended solids</t>
  </si>
  <si>
    <t>1400</t>
  </si>
  <si>
    <t>110020506460</t>
  </si>
  <si>
    <t>11</t>
  </si>
  <si>
    <t>21</t>
  </si>
  <si>
    <t>720</t>
  </si>
  <si>
    <t>94</t>
  </si>
  <si>
    <t>Cyanide, total (as CN)</t>
  </si>
  <si>
    <t>57125</t>
  </si>
  <si>
    <t>0.000867739</t>
  </si>
  <si>
    <t>0.4</t>
  </si>
  <si>
    <t>8000</t>
  </si>
  <si>
    <t>281</t>
  </si>
  <si>
    <t>44000</t>
  </si>
  <si>
    <t>2.6</t>
  </si>
  <si>
    <t>668</t>
  </si>
  <si>
    <t>110000377477</t>
  </si>
  <si>
    <t>1,2-DIBROMOETHANE</t>
  </si>
  <si>
    <t>106934</t>
  </si>
  <si>
    <t>ETHYLENE DIBROMIDE</t>
  </si>
  <si>
    <t>1000</t>
  </si>
  <si>
    <t>64</t>
  </si>
  <si>
    <t>99</t>
  </si>
  <si>
    <t>0.000000661</t>
  </si>
  <si>
    <t>8400</t>
  </si>
  <si>
    <t>7.6</t>
  </si>
  <si>
    <t>1.8</t>
  </si>
  <si>
    <t>23</t>
  </si>
  <si>
    <t>880</t>
  </si>
  <si>
    <t>M-XYLENE</t>
  </si>
  <si>
    <t>108383</t>
  </si>
  <si>
    <t>220000</t>
  </si>
  <si>
    <t>O-XYLENE</t>
  </si>
  <si>
    <t>95476</t>
  </si>
  <si>
    <t>46</t>
  </si>
  <si>
    <t>89.1</t>
  </si>
  <si>
    <t>P-XYLENE</t>
  </si>
  <si>
    <t>106423</t>
  </si>
  <si>
    <t>SEC-BUTYL ALCOHOL</t>
  </si>
  <si>
    <t>78922</t>
  </si>
  <si>
    <t>22000</t>
  </si>
  <si>
    <t>1300</t>
  </si>
  <si>
    <t>110000595124</t>
  </si>
  <si>
    <t>180</t>
  </si>
  <si>
    <t>20</t>
  </si>
  <si>
    <t>99828</t>
  </si>
  <si>
    <t>45</t>
  </si>
  <si>
    <t>110000595348</t>
  </si>
  <si>
    <t>Aluminum, total (as Al)</t>
  </si>
  <si>
    <t>7429905</t>
  </si>
  <si>
    <t>ANTIMONY AND ANTIMONY COMPOUNDS</t>
  </si>
  <si>
    <t>7440360</t>
  </si>
  <si>
    <t>494</t>
  </si>
  <si>
    <t>1.65</t>
  </si>
  <si>
    <t>75</t>
  </si>
  <si>
    <t>130</t>
  </si>
  <si>
    <t>30</t>
  </si>
  <si>
    <t>Cyanide, free (amen. to chlorination)</t>
  </si>
  <si>
    <t>10044</t>
  </si>
  <si>
    <t>583</t>
  </si>
  <si>
    <t>Fluoride, total (as F)</t>
  </si>
  <si>
    <t>16984488</t>
  </si>
  <si>
    <t>1.55</t>
  </si>
  <si>
    <t>532</t>
  </si>
  <si>
    <t>162</t>
  </si>
  <si>
    <t>5413</t>
  </si>
  <si>
    <t>197</t>
  </si>
  <si>
    <t>SELENIUM AND SELENIUM COMPOUNDS</t>
  </si>
  <si>
    <t>1396</t>
  </si>
  <si>
    <t>Solids, total dissolved</t>
  </si>
  <si>
    <t>Sulfate (as S)</t>
  </si>
  <si>
    <t>14808798</t>
  </si>
  <si>
    <t>71</t>
  </si>
  <si>
    <t>65</t>
  </si>
  <si>
    <t>4198</t>
  </si>
  <si>
    <t>Zinc, total (as Zn)</t>
  </si>
  <si>
    <t>110013703206</t>
  </si>
  <si>
    <t>41</t>
  </si>
  <si>
    <t>Nitrogen, organic total (as N)</t>
  </si>
  <si>
    <t>Phenol</t>
  </si>
  <si>
    <t>Sulfate, total (as SO4)</t>
  </si>
  <si>
    <t>110000490139</t>
  </si>
  <si>
    <t>62</t>
  </si>
  <si>
    <t>50</t>
  </si>
  <si>
    <t>24777</t>
  </si>
  <si>
    <t>55</t>
  </si>
  <si>
    <t>286</t>
  </si>
  <si>
    <t>110041962873</t>
  </si>
  <si>
    <t>276</t>
  </si>
  <si>
    <t>98</t>
  </si>
  <si>
    <t>33.6</t>
  </si>
  <si>
    <t>0.38</t>
  </si>
  <si>
    <t>1397</t>
  </si>
  <si>
    <t>N-BUTYL ALCOHOL</t>
  </si>
  <si>
    <t>71363</t>
  </si>
  <si>
    <t>1-BUTANOL</t>
  </si>
  <si>
    <t>2502</t>
  </si>
  <si>
    <t>Nickel, total (as Ni)</t>
  </si>
  <si>
    <t>33847</t>
  </si>
  <si>
    <t>413</t>
  </si>
  <si>
    <t>2823</t>
  </si>
  <si>
    <t>2920</t>
  </si>
  <si>
    <t>110000744473</t>
  </si>
  <si>
    <t>85</t>
  </si>
  <si>
    <t>42</t>
  </si>
  <si>
    <t>212</t>
  </si>
  <si>
    <t>53</t>
  </si>
  <si>
    <t>FORMIC ACID</t>
  </si>
  <si>
    <t>64186</t>
  </si>
  <si>
    <t>21.1565</t>
  </si>
  <si>
    <t>0.85</t>
  </si>
  <si>
    <t>63</t>
  </si>
  <si>
    <t>169</t>
  </si>
  <si>
    <t>64301</t>
  </si>
  <si>
    <t>42.313</t>
  </si>
  <si>
    <t>110000539757</t>
  </si>
  <si>
    <t>40</t>
  </si>
  <si>
    <t>1,2-Dichloroethane</t>
  </si>
  <si>
    <t>107062</t>
  </si>
  <si>
    <t>1,2-DICHLOROETHANE</t>
  </si>
  <si>
    <t>2-Methylnaphthalene</t>
  </si>
  <si>
    <t>91576</t>
  </si>
  <si>
    <t>2-METHYLNAPHTHALENE</t>
  </si>
  <si>
    <t>9463</t>
  </si>
  <si>
    <t>Anthracene</t>
  </si>
  <si>
    <t>Benzo(a)anthracene</t>
  </si>
  <si>
    <t>56553</t>
  </si>
  <si>
    <t>BENZ[A]ANTHRACENE</t>
  </si>
  <si>
    <t>Benzo(a)pyrene</t>
  </si>
  <si>
    <t>50328</t>
  </si>
  <si>
    <t>BENZO[A]PYRENE</t>
  </si>
  <si>
    <t>0.5</t>
  </si>
  <si>
    <t>81</t>
  </si>
  <si>
    <t>876</t>
  </si>
  <si>
    <t>Chrysene</t>
  </si>
  <si>
    <t>218019</t>
  </si>
  <si>
    <t>404</t>
  </si>
  <si>
    <t>Dibenzo(a,h)anthracene</t>
  </si>
  <si>
    <t>53703</t>
  </si>
  <si>
    <t>DIBENZ(A,H)ANTHRACENE</t>
  </si>
  <si>
    <t>Fluoranthene</t>
  </si>
  <si>
    <t>206440</t>
  </si>
  <si>
    <t>FLUORANTHENE</t>
  </si>
  <si>
    <t>40.4</t>
  </si>
  <si>
    <t>323</t>
  </si>
  <si>
    <t>822272</t>
  </si>
  <si>
    <t>Phenanthrene</t>
  </si>
  <si>
    <t>4.5</t>
  </si>
  <si>
    <t>Pyrene</t>
  </si>
  <si>
    <t>129000</t>
  </si>
  <si>
    <t>PYRENE</t>
  </si>
  <si>
    <t>161</t>
  </si>
  <si>
    <t>87</t>
  </si>
  <si>
    <t>110000381113</t>
  </si>
  <si>
    <t>7439896</t>
  </si>
  <si>
    <t>110017438334</t>
  </si>
  <si>
    <t>16</t>
  </si>
  <si>
    <t>3078</t>
  </si>
  <si>
    <t>51</t>
  </si>
  <si>
    <t>110200</t>
  </si>
  <si>
    <t>31</t>
  </si>
  <si>
    <t>110017866727</t>
  </si>
  <si>
    <t>110000599424</t>
  </si>
  <si>
    <t>ACETONITRILE</t>
  </si>
  <si>
    <t>75058</t>
  </si>
  <si>
    <t>953</t>
  </si>
  <si>
    <t>BARIUM AND BARIUM COMPOUNDS</t>
  </si>
  <si>
    <t>1858</t>
  </si>
  <si>
    <t>247</t>
  </si>
  <si>
    <t>0.001045432</t>
  </si>
  <si>
    <t>54</t>
  </si>
  <si>
    <t>6611</t>
  </si>
  <si>
    <t>118</t>
  </si>
  <si>
    <t>1112117</t>
  </si>
  <si>
    <t>46.5</t>
  </si>
  <si>
    <t>0.52</t>
  </si>
  <si>
    <t>1190</t>
  </si>
  <si>
    <t>110000458488</t>
  </si>
  <si>
    <t>1.29</t>
  </si>
  <si>
    <t>Bromide (as Br)</t>
  </si>
  <si>
    <t>24959679</t>
  </si>
  <si>
    <t>1.18</t>
  </si>
  <si>
    <t>1.16</t>
  </si>
  <si>
    <t>Organics, total toxic (TTO)</t>
  </si>
  <si>
    <t>3.05</t>
  </si>
  <si>
    <t>110000448944</t>
  </si>
  <si>
    <t>110027982565</t>
  </si>
  <si>
    <t>110000376575</t>
  </si>
  <si>
    <t>26632</t>
  </si>
  <si>
    <t>92</t>
  </si>
  <si>
    <t>110000595339</t>
  </si>
  <si>
    <t>205</t>
  </si>
  <si>
    <t>485</t>
  </si>
  <si>
    <t>HEXACHLOROBENZENE</t>
  </si>
  <si>
    <t>118741</t>
  </si>
  <si>
    <t>120796</t>
  </si>
  <si>
    <t>52</t>
  </si>
  <si>
    <t>342</t>
  </si>
  <si>
    <t>72</t>
  </si>
  <si>
    <t>312</t>
  </si>
  <si>
    <t>110017300810</t>
  </si>
  <si>
    <t>ACETALDEHYDE</t>
  </si>
  <si>
    <t>75070</t>
  </si>
  <si>
    <t>2500</t>
  </si>
  <si>
    <t>CERTAIN GLYCOL ETHERS</t>
  </si>
  <si>
    <t>N230</t>
  </si>
  <si>
    <t>25000</t>
  </si>
  <si>
    <t>77.3</t>
  </si>
  <si>
    <t>897.2</t>
  </si>
  <si>
    <t>METHYL TERT-BUTYL ETHER</t>
  </si>
  <si>
    <t>1634044</t>
  </si>
  <si>
    <t>METHYL T-BUTYL ETHER</t>
  </si>
  <si>
    <t>N,N-DIMETHYLFORMAMIDE</t>
  </si>
  <si>
    <t>68122</t>
  </si>
  <si>
    <t>N,N'-DIMETHYLFORMAMIDE</t>
  </si>
  <si>
    <t>2000000</t>
  </si>
  <si>
    <t>410</t>
  </si>
  <si>
    <t>1100</t>
  </si>
  <si>
    <t>25</t>
  </si>
  <si>
    <t>2100</t>
  </si>
  <si>
    <t>110000428421</t>
  </si>
  <si>
    <t>510</t>
  </si>
  <si>
    <t>1700</t>
  </si>
  <si>
    <t>110000424611</t>
  </si>
  <si>
    <t>2340</t>
  </si>
  <si>
    <t>9.4</t>
  </si>
  <si>
    <t>225</t>
  </si>
  <si>
    <t>1.7</t>
  </si>
  <si>
    <t>624680</t>
  </si>
  <si>
    <t>Nitrogen, ammonia, tot unionized (as N)</t>
  </si>
  <si>
    <t>90</t>
  </si>
  <si>
    <t>110000446134</t>
  </si>
  <si>
    <t>214</t>
  </si>
  <si>
    <t>173</t>
  </si>
  <si>
    <t>137</t>
  </si>
  <si>
    <t>220</t>
  </si>
  <si>
    <t>68101</t>
  </si>
  <si>
    <t>2048</t>
  </si>
  <si>
    <t>601</t>
  </si>
  <si>
    <t>110000468048</t>
  </si>
  <si>
    <t>Manganese, dissolved (as Mn)</t>
  </si>
  <si>
    <t>Nickel, dissolved (as Ni)</t>
  </si>
  <si>
    <t>Zinc, dissolved (as Zn)</t>
  </si>
  <si>
    <t>110000463784</t>
  </si>
  <si>
    <t>110000469136</t>
  </si>
  <si>
    <t>110000460885</t>
  </si>
  <si>
    <t>260455</t>
  </si>
  <si>
    <t>253</t>
  </si>
  <si>
    <t>110015737210</t>
  </si>
  <si>
    <t>0.59</t>
  </si>
  <si>
    <t>Cadmium, total (as Cd)</t>
  </si>
  <si>
    <t>7440439</t>
  </si>
  <si>
    <t>Cresol</t>
  </si>
  <si>
    <t>Indeno(1,2,3-cd)pyrene</t>
  </si>
  <si>
    <t>193395</t>
  </si>
  <si>
    <t>Naphthalene</t>
  </si>
  <si>
    <t>2.85</t>
  </si>
  <si>
    <t>Polynuc aromatic HC per Method 610</t>
  </si>
  <si>
    <t>130498292</t>
  </si>
  <si>
    <t>Xylene</t>
  </si>
  <si>
    <t>110000367102</t>
  </si>
  <si>
    <t>10680</t>
  </si>
  <si>
    <t>0.01</t>
  </si>
  <si>
    <t>110017413299</t>
  </si>
  <si>
    <t>2,3,7,8-Tetrachlorodibenzo-p-dioxin</t>
  </si>
  <si>
    <t>1746016</t>
  </si>
  <si>
    <t>2,3,7,8-TETRACDD</t>
  </si>
  <si>
    <t>Hydrocarbon, aqueous</t>
  </si>
  <si>
    <t>308067530</t>
  </si>
  <si>
    <t>Nitrogen, ammonia, total (as NH3)</t>
  </si>
  <si>
    <t>74</t>
  </si>
  <si>
    <t>110000395475</t>
  </si>
  <si>
    <t>644.8</t>
  </si>
  <si>
    <t>609.95</t>
  </si>
  <si>
    <t>36.66</t>
  </si>
  <si>
    <t>20.25</t>
  </si>
  <si>
    <t>4.77</t>
  </si>
  <si>
    <t>0.03</t>
  </si>
  <si>
    <t>91170.56</t>
  </si>
  <si>
    <t>81.3</t>
  </si>
  <si>
    <t>110017419667</t>
  </si>
  <si>
    <t>461</t>
  </si>
  <si>
    <t>66</t>
  </si>
  <si>
    <t>59821</t>
  </si>
  <si>
    <t>105</t>
  </si>
  <si>
    <t>248</t>
  </si>
  <si>
    <t>110025329918</t>
  </si>
  <si>
    <t>Phenolic compounds, unchlorinated</t>
  </si>
  <si>
    <t>110000439428</t>
  </si>
  <si>
    <t>28</t>
  </si>
  <si>
    <t>Benzene, ethylbenzene, toluene, xylene combination</t>
  </si>
  <si>
    <t>22.5</t>
  </si>
  <si>
    <t>0.0000891</t>
  </si>
  <si>
    <t>33.8</t>
  </si>
  <si>
    <t>31484</t>
  </si>
  <si>
    <t>418079</t>
  </si>
  <si>
    <t>78</t>
  </si>
  <si>
    <t>Polyram</t>
  </si>
  <si>
    <t>9006422</t>
  </si>
  <si>
    <t>METIRAM</t>
  </si>
  <si>
    <t>84</t>
  </si>
  <si>
    <t>110017392533</t>
  </si>
  <si>
    <t>31.1</t>
  </si>
  <si>
    <t>61</t>
  </si>
  <si>
    <t>90642</t>
  </si>
  <si>
    <t>931</t>
  </si>
  <si>
    <t>110000597079</t>
  </si>
  <si>
    <t>115</t>
  </si>
  <si>
    <t>0.9</t>
  </si>
  <si>
    <t>607</t>
  </si>
  <si>
    <t>110000493555</t>
  </si>
  <si>
    <t>23.1</t>
  </si>
  <si>
    <t>Residue, tot fltrble (dried at 105 C)</t>
  </si>
  <si>
    <t>110000336440</t>
  </si>
  <si>
    <t>BOD, carbonaceous, 20 day, 20 C</t>
  </si>
  <si>
    <t>Cyanide, free available</t>
  </si>
  <si>
    <t>Iron, total (as Fe)</t>
  </si>
  <si>
    <t>Magnesium, total (as Mg)</t>
  </si>
  <si>
    <t>7439954</t>
  </si>
  <si>
    <t>165863</t>
  </si>
  <si>
    <t>0.8</t>
  </si>
  <si>
    <t>27.9</t>
  </si>
  <si>
    <t>110000597337</t>
  </si>
  <si>
    <t>Alkalinity, phenolphthaline method</t>
  </si>
  <si>
    <t>489417</t>
  </si>
  <si>
    <t>5462</t>
  </si>
  <si>
    <t>110000448864</t>
  </si>
  <si>
    <t>110015862440</t>
  </si>
  <si>
    <t>110000468226</t>
  </si>
  <si>
    <t>4262.1</t>
  </si>
  <si>
    <t>110000462703</t>
  </si>
  <si>
    <t>1.39</t>
  </si>
  <si>
    <t>2.66</t>
  </si>
  <si>
    <t>1.04</t>
  </si>
  <si>
    <t>6.58</t>
  </si>
  <si>
    <t>110022294569</t>
  </si>
  <si>
    <t>134</t>
  </si>
  <si>
    <t>2195</t>
  </si>
  <si>
    <t>Chlorine produced oxidants</t>
  </si>
  <si>
    <t>67</t>
  </si>
  <si>
    <t>67.2</t>
  </si>
  <si>
    <t>2.7</t>
  </si>
  <si>
    <t>793598</t>
  </si>
  <si>
    <t>13.4</t>
  </si>
  <si>
    <t>110000549513</t>
  </si>
  <si>
    <t>1.64</t>
  </si>
  <si>
    <t>2.75</t>
  </si>
  <si>
    <t>0.55</t>
  </si>
  <si>
    <t>110041133163</t>
  </si>
  <si>
    <t>300</t>
  </si>
  <si>
    <t>200</t>
  </si>
  <si>
    <t>110</t>
  </si>
  <si>
    <t>500</t>
  </si>
  <si>
    <t>2600000</t>
  </si>
  <si>
    <t>36</t>
  </si>
  <si>
    <t>1.97</t>
  </si>
  <si>
    <t>600</t>
  </si>
  <si>
    <t>1500</t>
  </si>
  <si>
    <t>110000483487</t>
  </si>
  <si>
    <t>110000481755</t>
  </si>
  <si>
    <t>0.0000309</t>
  </si>
  <si>
    <t>0.000377945</t>
  </si>
  <si>
    <t>0.06</t>
  </si>
  <si>
    <t>709871</t>
  </si>
  <si>
    <t>0.26</t>
  </si>
  <si>
    <t>770</t>
  </si>
  <si>
    <t>110000449863</t>
  </si>
  <si>
    <t>576</t>
  </si>
  <si>
    <t>189</t>
  </si>
  <si>
    <t>29</t>
  </si>
  <si>
    <t>157</t>
  </si>
  <si>
    <t>1151</t>
  </si>
  <si>
    <t>110015682830</t>
  </si>
  <si>
    <t>Solids, total dissolved- 180 deg. C</t>
  </si>
  <si>
    <t>110000464024</t>
  </si>
  <si>
    <t>Sodium chloride (salt)</t>
  </si>
  <si>
    <t>7647145</t>
  </si>
  <si>
    <t>110008214360</t>
  </si>
  <si>
    <t>6193</t>
  </si>
  <si>
    <t>108</t>
  </si>
  <si>
    <t>147</t>
  </si>
  <si>
    <t>328</t>
  </si>
  <si>
    <t>110000423925</t>
  </si>
  <si>
    <t>0.00074492</t>
  </si>
  <si>
    <t>182.8</t>
  </si>
  <si>
    <t>110012509071</t>
  </si>
  <si>
    <t>2.73</t>
  </si>
  <si>
    <t>2.68</t>
  </si>
  <si>
    <t>0.19</t>
  </si>
  <si>
    <t>3.49</t>
  </si>
  <si>
    <t>110000483245</t>
  </si>
  <si>
    <t>0.0000432</t>
  </si>
  <si>
    <t>0.04</t>
  </si>
  <si>
    <t>240</t>
  </si>
  <si>
    <t>190000</t>
  </si>
  <si>
    <t>SILVER AND SILVER COMPOUNDS</t>
  </si>
  <si>
    <t>110000499069</t>
  </si>
  <si>
    <t>110015848813</t>
  </si>
  <si>
    <t>Copper, potentially dissolved</t>
  </si>
  <si>
    <t>0.0000903</t>
  </si>
  <si>
    <t>Lead, potentially dissolvd</t>
  </si>
  <si>
    <t>Manganese, potentially dissolvd</t>
  </si>
  <si>
    <t>Methyl tert-butyl ether</t>
  </si>
  <si>
    <t>33022</t>
  </si>
  <si>
    <t>9.8</t>
  </si>
  <si>
    <t>Selenium, dissolved (as Se)</t>
  </si>
  <si>
    <t>Silver, potentially dissolved</t>
  </si>
  <si>
    <t>Zinc, potentially dissolved</t>
  </si>
  <si>
    <t>110032885723</t>
  </si>
  <si>
    <t>110000336994</t>
  </si>
  <si>
    <t>7260</t>
  </si>
  <si>
    <t>740</t>
  </si>
  <si>
    <t>Oxidants, total residual</t>
  </si>
  <si>
    <t>110000537250</t>
  </si>
  <si>
    <t>666</t>
  </si>
  <si>
    <t>125</t>
  </si>
  <si>
    <t>0.001018536</t>
  </si>
  <si>
    <t>110025239659</t>
  </si>
  <si>
    <t>9500</t>
  </si>
  <si>
    <t>1.3</t>
  </si>
  <si>
    <t>110000746630</t>
  </si>
  <si>
    <t>110000463793</t>
  </si>
  <si>
    <t>110001867301</t>
  </si>
  <si>
    <t>840</t>
  </si>
  <si>
    <t>309</t>
  </si>
  <si>
    <t>0.000760396</t>
  </si>
  <si>
    <t>686640</t>
  </si>
  <si>
    <t>42557</t>
  </si>
  <si>
    <t>376</t>
  </si>
  <si>
    <t>110000464462</t>
  </si>
  <si>
    <t>5894</t>
  </si>
  <si>
    <t>88</t>
  </si>
  <si>
    <t>2708.8</t>
  </si>
  <si>
    <t>2.5</t>
  </si>
  <si>
    <t>1480</t>
  </si>
  <si>
    <t>112000</t>
  </si>
  <si>
    <t>5005</t>
  </si>
  <si>
    <t>44</t>
  </si>
  <si>
    <t>Total petroleum hydrocarbon - diesel</t>
  </si>
  <si>
    <t>Total petroleum hydrocarbon - gasoline</t>
  </si>
  <si>
    <t>26</t>
  </si>
  <si>
    <t>10400</t>
  </si>
  <si>
    <t>110000331472</t>
  </si>
  <si>
    <t>80</t>
  </si>
  <si>
    <t>60</t>
  </si>
  <si>
    <t>110000490549</t>
  </si>
  <si>
    <t>110000606746</t>
  </si>
  <si>
    <t>0.000423265</t>
  </si>
  <si>
    <t>6.38</t>
  </si>
  <si>
    <t>127.4</t>
  </si>
  <si>
    <t>17957</t>
  </si>
  <si>
    <t>110000501993</t>
  </si>
  <si>
    <t>17.6</t>
  </si>
  <si>
    <t>27</t>
  </si>
  <si>
    <t>773445</t>
  </si>
  <si>
    <t>110000464006</t>
  </si>
  <si>
    <t>70</t>
  </si>
  <si>
    <t>112</t>
  </si>
  <si>
    <t>1965</t>
  </si>
  <si>
    <t>19716</t>
  </si>
  <si>
    <t>155</t>
  </si>
  <si>
    <t>1551</t>
  </si>
  <si>
    <t>110000448837</t>
  </si>
  <si>
    <t>343</t>
  </si>
  <si>
    <t>37036</t>
  </si>
  <si>
    <t>110000448659</t>
  </si>
  <si>
    <t>3200</t>
  </si>
  <si>
    <t>1900</t>
  </si>
  <si>
    <t>97</t>
  </si>
  <si>
    <t>46.6169</t>
  </si>
  <si>
    <t>0.9141</t>
  </si>
  <si>
    <t>10000</t>
  </si>
  <si>
    <t>9.1406</t>
  </si>
  <si>
    <t>110000374087</t>
  </si>
  <si>
    <t>110033145353</t>
  </si>
  <si>
    <t>Aluminum, acid soluble</t>
  </si>
  <si>
    <t>3692</t>
  </si>
  <si>
    <t>0.29</t>
  </si>
  <si>
    <t>322093</t>
  </si>
  <si>
    <t>110000453697</t>
  </si>
  <si>
    <t>750</t>
  </si>
  <si>
    <t>Row Labels</t>
  </si>
  <si>
    <t>Grand Total</t>
  </si>
  <si>
    <t>Average of kg/barrel</t>
  </si>
  <si>
    <t>Column Labels</t>
  </si>
  <si>
    <t>Total Average of kg/barrel</t>
  </si>
  <si>
    <t>Total Min of kg/barrel</t>
  </si>
  <si>
    <t>Min of kg/barrel</t>
  </si>
  <si>
    <t>Total Max of kg/barrel</t>
  </si>
  <si>
    <t>Max of kg/barrel</t>
  </si>
  <si>
    <t>AQMD Flared ROG emission assumed to be 100% methane</t>
  </si>
  <si>
    <t>Flares: Emission Data and Minimization Plans</t>
  </si>
  <si>
    <t>SCAQMD</t>
  </si>
  <si>
    <t>South Coast Air Quality Management District</t>
  </si>
  <si>
    <t>Los Angeles, CA</t>
  </si>
  <si>
    <t>Facilities Operating Flares Subject to Rule 1118</t>
  </si>
  <si>
    <t>http://www.aqmd.gov/home/regulations/compliance/r1118/flares-emission-data-and-minimization-plans</t>
  </si>
  <si>
    <t>May 29, 2014</t>
  </si>
  <si>
    <t xml:space="preserve">SCAQMD. (2014). Flares: Emission Data and Minimization Plans, Los Angeles, CA. Retrieved from http://www.aqmd.gov/home/regulations/compliance/r1118/flares-emission-data-and-minimization-plans </t>
  </si>
  <si>
    <t>Zinc, total (as Cr)</t>
  </si>
  <si>
    <t>w_AMMONIA</t>
  </si>
  <si>
    <t>w_BENZENE</t>
  </si>
  <si>
    <t>w_ETHENE</t>
  </si>
  <si>
    <t>w_METIRAM</t>
  </si>
  <si>
    <t>w_NITRATE</t>
  </si>
  <si>
    <t>w_PHENOL</t>
  </si>
  <si>
    <t>w_Phenols</t>
  </si>
  <si>
    <t>w_PYRENE</t>
  </si>
  <si>
    <t>w_STYRENE</t>
  </si>
  <si>
    <t>w_TOLUENE</t>
  </si>
  <si>
    <t>w_XYLENES</t>
  </si>
  <si>
    <t>w_ACETONITR</t>
  </si>
  <si>
    <t>w_Aluminumt</t>
  </si>
  <si>
    <t>w_AMMONIUM</t>
  </si>
  <si>
    <t>w_ANTHRACEN</t>
  </si>
  <si>
    <t>w_Arsenicto</t>
  </si>
  <si>
    <t>w_Bariumtot</t>
  </si>
  <si>
    <t>w_BENZOGHIP</t>
  </si>
  <si>
    <t>w_BIPHENYL</t>
  </si>
  <si>
    <t>w_Bromideas</t>
  </si>
  <si>
    <t>w_Cadmiumto</t>
  </si>
  <si>
    <t>w_CARBONDIS</t>
  </si>
  <si>
    <t>w_CARBONYLS</t>
  </si>
  <si>
    <t>w_CERTAINGL</t>
  </si>
  <si>
    <t>w_ChemicalO</t>
  </si>
  <si>
    <t>w_Chloridea</t>
  </si>
  <si>
    <t>w_CHLORINE</t>
  </si>
  <si>
    <t>w_Chromiumh</t>
  </si>
  <si>
    <t>w_Chrysene</t>
  </si>
  <si>
    <t>w_Coppertot</t>
  </si>
  <si>
    <t>w_CRESOLS</t>
  </si>
  <si>
    <t>w_Cyanideto</t>
  </si>
  <si>
    <t>w_CYCLOHEXA</t>
  </si>
  <si>
    <t>w_DIBENZAHA</t>
  </si>
  <si>
    <t>w_DICYCLOPE</t>
  </si>
  <si>
    <t>w_DIETHANOL</t>
  </si>
  <si>
    <t>w_DIOXINAND</t>
  </si>
  <si>
    <t>w_ETHYLBENZ</t>
  </si>
  <si>
    <t>w_ETHYLENED</t>
  </si>
  <si>
    <t>w_ETHYLENEG</t>
  </si>
  <si>
    <t>w_FLUORANTH</t>
  </si>
  <si>
    <t>w_Fluoridet</t>
  </si>
  <si>
    <t>w_FORMALDEH</t>
  </si>
  <si>
    <t>w_FORMICACI</t>
  </si>
  <si>
    <t>w_HEXACHLOR</t>
  </si>
  <si>
    <t>w_Hydrocarb</t>
  </si>
  <si>
    <t>w_HYDROFLUO</t>
  </si>
  <si>
    <t>w_HYDROGENC</t>
  </si>
  <si>
    <t>w_Indeno123</t>
  </si>
  <si>
    <t>w_Irontotal</t>
  </si>
  <si>
    <t>w_ISOPROPYL</t>
  </si>
  <si>
    <t>w_Leadtotal</t>
  </si>
  <si>
    <t>w_Magnesium</t>
  </si>
  <si>
    <t>w_Manganese</t>
  </si>
  <si>
    <t>w_Mercuryto</t>
  </si>
  <si>
    <t>w_METHANOL</t>
  </si>
  <si>
    <t>w_METHYLISO</t>
  </si>
  <si>
    <t>w_MOLYBDENU</t>
  </si>
  <si>
    <t>w_NAPHTHALE</t>
  </si>
  <si>
    <t>w_Nickeltot</t>
  </si>
  <si>
    <t>w_NITROGEN</t>
  </si>
  <si>
    <t>w_PERCHLORO</t>
  </si>
  <si>
    <t>w_PHENANTHR</t>
  </si>
  <si>
    <t>w_Phenolics</t>
  </si>
  <si>
    <t>w_PHOSPHORU</t>
  </si>
  <si>
    <t>w_POLYCYCLI</t>
  </si>
  <si>
    <t>w_PROPYLENE</t>
  </si>
  <si>
    <t>w_Seleniumt</t>
  </si>
  <si>
    <t>w_Silvertot</t>
  </si>
  <si>
    <t>w_Sodiumchl</t>
  </si>
  <si>
    <t>w_TRICHLORO</t>
  </si>
  <si>
    <t>w_Vanadiumt</t>
  </si>
  <si>
    <t>w_Zinctotal</t>
  </si>
  <si>
    <t>w_solidstd</t>
  </si>
  <si>
    <t>w_slds180</t>
  </si>
  <si>
    <t>w_solidts</t>
  </si>
  <si>
    <t>w_Phenolict</t>
  </si>
  <si>
    <t>w_Phenolicu</t>
  </si>
  <si>
    <t>_L</t>
  </si>
  <si>
    <t>_M</t>
  </si>
  <si>
    <t>_HiH</t>
  </si>
  <si>
    <t>_HiC</t>
  </si>
  <si>
    <t>_HiB</t>
  </si>
  <si>
    <t xml:space="preserve"> - Low Complexity</t>
  </si>
  <si>
    <t xml:space="preserve"> - Med Complexity</t>
  </si>
  <si>
    <t xml:space="preserve"> - High Complexity Hydro Cracking</t>
  </si>
  <si>
    <t xml:space="preserve"> - High Complexity Coking</t>
  </si>
  <si>
    <t xml:space="preserve"> - High Complexity Hydro Cracking and Coking</t>
  </si>
  <si>
    <t>w_124TRIMET</t>
  </si>
  <si>
    <t>w_12DICHLOR</t>
  </si>
  <si>
    <t>w_13BUTADIE</t>
  </si>
  <si>
    <t>w_24DIMETHY</t>
  </si>
  <si>
    <t>w_2METHYLNA</t>
  </si>
  <si>
    <t>w_METHYLTBU</t>
  </si>
  <si>
    <t>w_MXYLENE</t>
  </si>
  <si>
    <t>w_NNDIMETHY</t>
  </si>
  <si>
    <t>w_NHEXANE</t>
  </si>
  <si>
    <t>w_NMETHYLPY</t>
  </si>
  <si>
    <t>w_OXYLENE</t>
  </si>
  <si>
    <t>w_PXYLENE</t>
  </si>
  <si>
    <t>w_BENZO_A_P</t>
  </si>
  <si>
    <t>Emission to water</t>
  </si>
  <si>
    <t>Ammonia [Inorganic emissions to fresh water]</t>
  </si>
  <si>
    <t>2,4-dimethylphenol [Organic emissions to fresh water]</t>
  </si>
  <si>
    <t>Aluminium [Heavy metals to fresh water]</t>
  </si>
  <si>
    <t>Ammonia, as N [Inorganic emissions to fresh water]</t>
  </si>
  <si>
    <t>Arsenic (+V) [Heavy metals to fresh water]</t>
  </si>
  <si>
    <t>Barium [Inorganic emissions to fresh water]</t>
  </si>
  <si>
    <t>Biphenyl [Organic emissions to fresh water]</t>
  </si>
  <si>
    <t>Bromide [Emissions to fresh water]</t>
  </si>
  <si>
    <t>Cadmium (+II) [Heavy metals to fresh water]</t>
  </si>
  <si>
    <t>Carbon disulphide [Inorganic emissions to fresh water]</t>
  </si>
  <si>
    <t>Chemical oxygen demand (COD) [Analytical measures to fresh water]</t>
  </si>
  <si>
    <t>Chloride [Inorganic emissions to fresh water]</t>
  </si>
  <si>
    <t>Chlorine [Inorganic emissions to fresh water]</t>
  </si>
  <si>
    <t>Chromium (+VI) [Heavy metals to fresh water]</t>
  </si>
  <si>
    <t>Copper (+II) [Heavy metals to fresh water]</t>
  </si>
  <si>
    <t>Cyanide [Inorganic emissions to fresh water]</t>
  </si>
  <si>
    <t>Diethanolamine [Organic emissions to fresh water]</t>
  </si>
  <si>
    <t>Ethylene Glycol [Organic emissions to fresh water]</t>
  </si>
  <si>
    <t>Fluoride [Inorganic emissions to fresh water]</t>
  </si>
  <si>
    <t>Formic acid [Organic emissions to fresh water]</t>
  </si>
  <si>
    <t>Hydrogen cyanide (prussic acid) [Inorganic emissions to fresh water]</t>
  </si>
  <si>
    <t>Iron [Heavy metals to fresh water]</t>
  </si>
  <si>
    <t>Lead (+II) [Heavy metals to fresh water]</t>
  </si>
  <si>
    <t>Magnesium (+III) [Inorganic emissions to fresh water]</t>
  </si>
  <si>
    <t>Manganese (+II) [Heavy metals to fresh water]</t>
  </si>
  <si>
    <t>Mercury (+II) [Heavy metals to fresh water]</t>
  </si>
  <si>
    <t>Methyl isobutyl ketone [Organic emissions to fresh water]</t>
  </si>
  <si>
    <t>Dichloroethane (ethylene dichloride) [Halogenated organic emissions to fresh water]</t>
  </si>
  <si>
    <t>Butadiene [Hydrocarbons to fresh water]</t>
  </si>
  <si>
    <t>Acetonitrile [Hydrocarbons to fresh water]</t>
  </si>
  <si>
    <t>Anthracene [Hydrocarbons to fresh water]</t>
  </si>
  <si>
    <t>Benzo{a}pyrene [Hydrocarbons to fresh water]</t>
  </si>
  <si>
    <t>Benzo{ghi}perylene [Hydrocarbons to fresh water]</t>
  </si>
  <si>
    <t>Benzene [Hydrocarbons to fresh water]</t>
  </si>
  <si>
    <t>Ethylene glycol monoethyl ether [Organic emissions to fresh water]</t>
  </si>
  <si>
    <t>Chrysene [Hydrocarbons to fresh water]</t>
  </si>
  <si>
    <t>Cresol (methyl phenol) [Hydrocarbons to fresh water]</t>
  </si>
  <si>
    <t>Cyclohexane (hexahydro benzene) [Hydrocarbons to fresh water]</t>
  </si>
  <si>
    <t>Dibenz(a)anthracene [Hydrocarbons to fresh water]</t>
  </si>
  <si>
    <t>Polychlorinated dibenzo-p-dioxins (2,3,7,8 - TCDD) [Halogenated organic emissions to fresh water]</t>
  </si>
  <si>
    <t>Ethene (ethylene) [Hydrocarbons to fresh water]</t>
  </si>
  <si>
    <t>Ethyl benzene [Hydrocarbons to fresh water]</t>
  </si>
  <si>
    <t>Fluoranthene [Hydrocarbons to fresh water]</t>
  </si>
  <si>
    <t>Formaldehyde (methanal) [Hydrocarbons to fresh water]</t>
  </si>
  <si>
    <t>Hexachlorobenzene (Perchlorobenzene) [Halogenated organic emissions to fresh water]</t>
  </si>
  <si>
    <t>Hydrocarbons (unspecified) [Hydrocarbons to fresh water]</t>
  </si>
  <si>
    <t>Hydrogen fluoride (hydrofluoric acid) [Inorganic emissions to fresh water]</t>
  </si>
  <si>
    <t>Indeno[1,2,3-cd]pyrene [Hydrocarbons to fresh water]</t>
  </si>
  <si>
    <t>Cumene (isopropylbenzene) [Organic emissions to fresh water]</t>
  </si>
  <si>
    <t>Methanol [Hydrocarbons to fresh water]</t>
  </si>
  <si>
    <t>Methyl tert-butylether [Hydrocarbons to fresh water]</t>
  </si>
  <si>
    <t>Xylene (meta-Xylene; 1,3-Dimethylbenzene) [Hydrocarbons to fresh water]</t>
  </si>
  <si>
    <t>N,N-Dimethyl formamide [Organic emissions to fresh water]</t>
  </si>
  <si>
    <t>Naphthalene [Hydrocarbons to fresh water]</t>
  </si>
  <si>
    <t>Hexane (isomers) [Hydrocarbons to fresh water]</t>
  </si>
  <si>
    <t>Nickel (+II) [Heavy metals to fresh water]</t>
  </si>
  <si>
    <t>Nitrate [Inorganic emissions to fresh water]</t>
  </si>
  <si>
    <t>Nitrogen [Inorganic emissions to fresh water]</t>
  </si>
  <si>
    <t>Xylene (ortho-Xylene; 1,2-Dimethylbenzene) [Hydrocarbons to fresh water]</t>
  </si>
  <si>
    <t>Phenanthrene [Hydrocarbons to fresh water]</t>
  </si>
  <si>
    <t>Phenol (hydroxy benzene) [Hydrocarbons to fresh water]</t>
  </si>
  <si>
    <t>Phosphorus [Inorganic emissions to fresh water]</t>
  </si>
  <si>
    <t>Polycyclic aromatic hydrocarbons (PAH, unspec.) [Hydrocarbons to fresh water]</t>
  </si>
  <si>
    <t>Selenium [Heavy metals to fresh water]</t>
  </si>
  <si>
    <t>Silver [Heavy metals to fresh water]</t>
  </si>
  <si>
    <t>Sodium chloride (rock salt) [Inorganic emissions to fresh water]</t>
  </si>
  <si>
    <t>Solids (dissolved) [Analytical measures to fresh water]</t>
  </si>
  <si>
    <t>Solids (suspended) [Particles to fresh water]</t>
  </si>
  <si>
    <t>Styrene [Hydrocarbons to fresh water]</t>
  </si>
  <si>
    <t>Toluene (methyl benzene) [Hydrocarbons to fresh water]</t>
  </si>
  <si>
    <t>Vanadium (+III) [Heavy metals to fresh water]</t>
  </si>
  <si>
    <t>Xylene (isomers; dimethyl benzene) [Hydrocarbons to fresh water]</t>
  </si>
  <si>
    <t>Zinc (+II) [Heavy metals to fresh water]</t>
  </si>
  <si>
    <t>1,2,4-Trimethylbenzene [Hydrocarbons to fresh water]</t>
  </si>
  <si>
    <t>2-Methylnaphthalene [Hydrocarbons to fresh water]</t>
  </si>
  <si>
    <t>Carbonyl sulfide [Inorganic emissions to fresh water]</t>
  </si>
  <si>
    <t>Dicyclopentadiene [Organic emissions to fresh water]</t>
  </si>
  <si>
    <t>1,2-Dibromoethane [Halogenated organic emissions to fresh water]</t>
  </si>
  <si>
    <t>Metiram [Pesticides to fresh water]</t>
  </si>
  <si>
    <t>Molybdenum trioxide [Inorganic emissions to fresh water]</t>
  </si>
  <si>
    <t>N-Methylpryrrolidone [Hydrocarbons to fresh water]</t>
  </si>
  <si>
    <t>Tetrachloroethene (perchloroethylene) [Halogenated organic emissions to fresh water]</t>
  </si>
  <si>
    <t>Xylene (para-Xylene; 1,4-Dimethylbenzene) [Hydrocarbons to fresh water]</t>
  </si>
  <si>
    <t>These probably need to be merged into one phenol emission.</t>
  </si>
  <si>
    <t>Propylene [Hydrocarbons to fresh water]</t>
  </si>
  <si>
    <t>Pyrene [Hydrocarbons to fresh water]</t>
  </si>
  <si>
    <t>Trichloroethylene [Halogenated organic emission to fresh water]</t>
  </si>
  <si>
    <t>Should be removed or consolidated into solids, total dissolved</t>
  </si>
  <si>
    <t>Sum Of Pollutant Load (kg/yr)</t>
  </si>
  <si>
    <t>Water emissions from Reference [8]</t>
  </si>
  <si>
    <t>EPA (2014). Discharge Monitoring Report (DMR) Pollutant Loading Tool. Retrieved May 23, 2014 from http://cfpub.epa.gov/dmr/index.cfm</t>
  </si>
  <si>
    <t>Measurement onsite</t>
  </si>
  <si>
    <t>Discharge Monitoring Report (DMR) Pollutant Loading Tool</t>
  </si>
  <si>
    <t>http://cfpub.epa.gov/dmr/index.cfm</t>
  </si>
  <si>
    <t>May 23, 2014</t>
  </si>
  <si>
    <t>3,4,8</t>
  </si>
  <si>
    <t>6 Appendix F</t>
  </si>
  <si>
    <t>1,2</t>
  </si>
  <si>
    <t>13_Butad</t>
  </si>
  <si>
    <t>Given the magnitude of the phenol category vs. the others and that only phenol is used in TRACI 2.1, the other phenolic flows will be ignored.</t>
  </si>
  <si>
    <t>Water emissions</t>
  </si>
  <si>
    <t>Water_emissions</t>
  </si>
  <si>
    <t>Raw water emissions data is filtered and aggregated by facility type</t>
  </si>
  <si>
    <t>Water_emissions_raw</t>
  </si>
  <si>
    <t>Facility-level data from DMR and TRI</t>
  </si>
  <si>
    <t>trimetben124_p</t>
  </si>
  <si>
    <t>trimethben135_p</t>
  </si>
  <si>
    <t>ethben12_p</t>
  </si>
  <si>
    <t>ethben13_p</t>
  </si>
  <si>
    <t>trimetpen2_p</t>
  </si>
  <si>
    <t>dimetbut22_p</t>
  </si>
  <si>
    <t>trimentpen3_p</t>
  </si>
  <si>
    <t>dimetbut_p</t>
  </si>
  <si>
    <t>dimethhex23_p</t>
  </si>
  <si>
    <t>dimetpen3_p</t>
  </si>
  <si>
    <t>dimethhex24_p</t>
  </si>
  <si>
    <t>dimetpen4_p</t>
  </si>
  <si>
    <t>methep2_p</t>
  </si>
  <si>
    <t>twomethex_p</t>
  </si>
  <si>
    <t>twometpen_p</t>
  </si>
  <si>
    <t>methep3_p</t>
  </si>
  <si>
    <t>threemethex_p</t>
  </si>
  <si>
    <t>threemetpen_p</t>
  </si>
  <si>
    <t>benzene_p</t>
  </si>
  <si>
    <t>cyclohexane_p</t>
  </si>
  <si>
    <t>cyclopentane_p</t>
  </si>
  <si>
    <t>ethyl_benz_p</t>
  </si>
  <si>
    <t>ethcyclhex_p</t>
  </si>
  <si>
    <t>isobut_p</t>
  </si>
  <si>
    <t>isopentane_p</t>
  </si>
  <si>
    <t>isopben_p</t>
  </si>
  <si>
    <t>xylene_p</t>
  </si>
  <si>
    <t>M_xylene_p</t>
  </si>
  <si>
    <t>methcychex_p</t>
  </si>
  <si>
    <t>methcycpen_p</t>
  </si>
  <si>
    <t>methpent_p</t>
  </si>
  <si>
    <t>N_but_p</t>
  </si>
  <si>
    <t>N_dec_p</t>
  </si>
  <si>
    <t>N_hep_p</t>
  </si>
  <si>
    <t>N_hex_p</t>
  </si>
  <si>
    <t>N_nonane_p</t>
  </si>
  <si>
    <t>N_octane_p</t>
  </si>
  <si>
    <t>N_pentane_p</t>
  </si>
  <si>
    <t>N_proben_p</t>
  </si>
  <si>
    <t>O_xylene_p</t>
  </si>
  <si>
    <t>P_xylene_p</t>
  </si>
  <si>
    <t>propane_p</t>
  </si>
  <si>
    <t>propylene_p</t>
  </si>
  <si>
    <t>toluene_p</t>
  </si>
  <si>
    <t>isompentane_p</t>
  </si>
  <si>
    <t>undef_VOC_p</t>
  </si>
  <si>
    <t>i_hexanes_p</t>
  </si>
  <si>
    <t>i_heptanes_p</t>
  </si>
  <si>
    <t>1_butene_p</t>
  </si>
  <si>
    <t>1_pentene_p</t>
  </si>
  <si>
    <t>C_2_butene_p</t>
  </si>
  <si>
    <t>C_2_pentene_p</t>
  </si>
  <si>
    <t>Isoprene_p</t>
  </si>
  <si>
    <t>Styrene_p</t>
  </si>
  <si>
    <t>T_2_butene_p</t>
  </si>
  <si>
    <t>T_2_pentene_p</t>
  </si>
  <si>
    <t>This unit process provides a summary of relevant output flows associated with petroleum refining. Greenhouse gas (GHG) emissions for non-combustion processes (fugitive, venting, and flaring) are contained in this unit process. Additionally, speciated VOC, non-GHG atmospheric, and water emissions are included in this unit process for the refining process as a whole, including combustion processes. Default values are provided in the scenarios.</t>
  </si>
  <si>
    <t>Emissions to air and water from petroleum refining (includes flaring but not combustion GHGs)</t>
  </si>
  <si>
    <t>[5,7]</t>
  </si>
  <si>
    <t>5,6 Table 4-3, 7</t>
  </si>
  <si>
    <t>5,6 Table 4-6, 7</t>
  </si>
  <si>
    <t>SumOfWastewater Flow (MGal/yr)</t>
  </si>
  <si>
    <t>Gallon/barrel</t>
  </si>
  <si>
    <t>gallons/barrel</t>
  </si>
  <si>
    <t>gallon</t>
  </si>
  <si>
    <t>liter</t>
  </si>
  <si>
    <t>liter water</t>
  </si>
  <si>
    <t>kg water</t>
  </si>
  <si>
    <t>kg water/barrel</t>
  </si>
  <si>
    <t>water_bbl</t>
  </si>
  <si>
    <t>[kg/bbl] kg of water released per bbl of crude throughput</t>
  </si>
  <si>
    <t>water</t>
  </si>
  <si>
    <t>water_bbl/Density_oil</t>
  </si>
  <si>
    <t>[kg/bbl] kg of water released per kg of crude throughput</t>
  </si>
  <si>
    <t>Water (wastewater) [Water]</t>
  </si>
  <si>
    <t>Weighted average</t>
  </si>
  <si>
    <t>Straight average</t>
  </si>
  <si>
    <t>Refined Crude Oil [Crude oil products]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</si>
</sst>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8" formatCode="&quot;$&quot;#,##0.00_);[Red]\(&quot;$&quot;#,##0.00\)"/>
    <numFmt numFmtId="43" formatCode="_(* #,##0.00_);_(* \(#,##0.00\);_(* &quot;-&quot;??_);_(@_)"/>
    <numFmt numFmtId="164" formatCode="0.0000"/>
    <numFmt numFmtId="165" formatCode="0.000"/>
    <numFmt numFmtId="166" formatCode="0.000000"/>
    <numFmt numFmtId="167" formatCode="m/d/yy\ h:mm"/>
    <numFmt numFmtId="168" formatCode="_ [$€-2]\ * #,##0.00_ ;_ [$€-2]\ * \-#,##0.00_ ;_ [$€-2]\ * &quot;-&quot;??_ "/>
    <numFmt numFmtId="169" formatCode="mmm\ dd\,\ yyyy"/>
    <numFmt numFmtId="170" formatCode="mmm\-yyyy"/>
    <numFmt numFmtId="171" formatCode="yyyy"/>
    <numFmt numFmtId="172" formatCode="[=0]&quot;&quot;;General"/>
    <numFmt numFmtId="173" formatCode="0.00E+0;[=0]&quot;-&quot;;0.00E+0"/>
    <numFmt numFmtId="174" formatCode="dd\-mmm\-yy"/>
    <numFmt numFmtId="175" formatCode="0.0000E+00"/>
  </numFmts>
  <fonts count="73"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6"/>
      <color indexed="18"/>
      <name val="Arial"/>
      <family val="2"/>
    </font>
    <font>
      <b/>
      <sz val="10"/>
      <name val="Arial"/>
      <family val="2"/>
    </font>
    <font>
      <b/>
      <i/>
      <sz val="10"/>
      <name val="Arial"/>
      <family val="2"/>
    </font>
    <font>
      <i/>
      <sz val="10"/>
      <name val="Arial"/>
      <family val="2"/>
    </font>
    <font>
      <sz val="10"/>
      <color indexed="12"/>
      <name val="Arial"/>
      <family val="2"/>
    </font>
    <font>
      <b/>
      <sz val="10"/>
      <color indexed="12"/>
      <name val="Arial"/>
      <family val="2"/>
    </font>
    <font>
      <b/>
      <u/>
      <sz val="10"/>
      <name val="Arial"/>
      <family val="2"/>
    </font>
    <font>
      <sz val="10"/>
      <color rgb="FF000000"/>
      <name val="Arial"/>
      <family val="2"/>
    </font>
    <font>
      <sz val="10"/>
      <color indexed="8"/>
      <name val="Arial"/>
      <family val="2"/>
    </font>
    <font>
      <sz val="10"/>
      <color theme="1"/>
      <name val="Arial"/>
      <family val="2"/>
    </font>
    <font>
      <sz val="10"/>
      <color indexed="10"/>
      <name val="Arial"/>
      <family val="2"/>
    </font>
    <font>
      <b/>
      <sz val="9"/>
      <color indexed="81"/>
      <name val="Tahoma"/>
      <family val="2"/>
    </font>
    <font>
      <sz val="9"/>
      <color indexed="81"/>
      <name val="Tahoma"/>
      <family val="2"/>
    </font>
    <font>
      <b/>
      <sz val="16"/>
      <color theme="3"/>
      <name val="Arial"/>
      <family val="2"/>
    </font>
    <font>
      <b/>
      <i/>
      <sz val="10"/>
      <color indexed="12"/>
      <name val="Arial"/>
      <family val="2"/>
    </font>
    <font>
      <u/>
      <sz val="10"/>
      <color indexed="12"/>
      <name val="Arial"/>
      <family val="2"/>
    </font>
    <font>
      <b/>
      <u/>
      <sz val="14"/>
      <name val="Arial"/>
      <family val="2"/>
    </font>
    <font>
      <b/>
      <i/>
      <u/>
      <sz val="10"/>
      <name val="Arial"/>
      <family val="2"/>
    </font>
    <font>
      <sz val="9"/>
      <name val="Arial"/>
      <family val="2"/>
    </font>
    <font>
      <i/>
      <sz val="9"/>
      <name val="Arial"/>
      <family val="2"/>
    </font>
    <font>
      <b/>
      <sz val="12"/>
      <name val="Times New Roman"/>
      <family val="1"/>
    </font>
    <font>
      <sz val="12"/>
      <name val="Times New Roman"/>
      <family val="1"/>
    </font>
    <font>
      <b/>
      <sz val="14"/>
      <color theme="1"/>
      <name val="Arial"/>
      <family val="2"/>
    </font>
    <font>
      <b/>
      <sz val="10"/>
      <color theme="1"/>
      <name val="Arial"/>
      <family val="2"/>
    </font>
    <font>
      <b/>
      <i/>
      <sz val="12"/>
      <color theme="1"/>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9.35"/>
      <color theme="10"/>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2"/>
      <name val="Arial"/>
      <family val="2"/>
    </font>
    <font>
      <sz val="9"/>
      <name val="Helv"/>
      <family val="2"/>
    </font>
    <font>
      <b/>
      <sz val="18"/>
      <color indexed="56"/>
      <name val="Cambria"/>
      <family val="2"/>
    </font>
    <font>
      <b/>
      <sz val="11"/>
      <color indexed="8"/>
      <name val="Calibri"/>
      <family val="2"/>
    </font>
    <font>
      <sz val="11"/>
      <color indexed="10"/>
      <name val="Calibri"/>
      <family val="2"/>
    </font>
    <font>
      <sz val="8"/>
      <name val="Helv"/>
    </font>
    <font>
      <sz val="11"/>
      <name val="Calibri"/>
      <family val="2"/>
      <scheme val="minor"/>
    </font>
    <font>
      <b/>
      <sz val="10"/>
      <color rgb="FF000000"/>
      <name val="Arial"/>
      <family val="2"/>
    </font>
    <font>
      <sz val="10"/>
      <color rgb="FFFF0000"/>
      <name val="Arial"/>
      <family val="2"/>
    </font>
    <font>
      <sz val="10"/>
      <color indexed="8"/>
      <name val="Arial"/>
      <family val="2"/>
    </font>
    <font>
      <b/>
      <sz val="10"/>
      <color indexed="8"/>
      <name val="Arial"/>
      <family val="2"/>
    </font>
    <font>
      <sz val="11"/>
      <color rgb="FFFF0000"/>
      <name val="Calibri"/>
      <family val="2"/>
      <scheme val="minor"/>
    </font>
    <font>
      <sz val="10"/>
      <color theme="1"/>
      <name val="Helvetica"/>
    </font>
    <font>
      <b/>
      <sz val="12"/>
      <color theme="0"/>
      <name val="Helvetica"/>
    </font>
    <font>
      <b/>
      <sz val="12"/>
      <color theme="5"/>
      <name val="Helvetica"/>
    </font>
    <font>
      <sz val="12"/>
      <color theme="1"/>
      <name val="Helvetica"/>
    </font>
    <font>
      <b/>
      <sz val="16"/>
      <color theme="0"/>
      <name val="Helvetica"/>
    </font>
    <font>
      <u/>
      <sz val="12"/>
      <color theme="10"/>
      <name val="Calibri"/>
      <family val="2"/>
      <scheme val="minor"/>
    </font>
    <font>
      <sz val="10"/>
      <name val="Helvetica"/>
    </font>
    <font>
      <sz val="10"/>
      <color theme="5"/>
      <name val="Helvetica"/>
    </font>
    <font>
      <sz val="11"/>
      <color rgb="FF92D050"/>
      <name val="Calibri"/>
      <family val="2"/>
      <scheme val="minor"/>
    </font>
    <font>
      <b/>
      <sz val="10"/>
      <name val="Arial"/>
      <family val="2"/>
    </font>
    <font>
      <b/>
      <sz val="11"/>
      <color theme="1"/>
      <name val="Arial"/>
      <family val="2"/>
    </font>
    <font>
      <b/>
      <i/>
      <sz val="14"/>
      <color theme="1"/>
      <name val="Arial"/>
      <family val="2"/>
    </font>
    <font>
      <sz val="12"/>
      <color theme="1"/>
      <name val="Arial"/>
      <family val="2"/>
    </font>
    <font>
      <sz val="11"/>
      <color indexed="8"/>
      <name val="Calibri"/>
      <family val="2"/>
    </font>
    <font>
      <sz val="10"/>
      <color indexed="8"/>
      <name val="Arial"/>
      <family val="2"/>
    </font>
    <font>
      <sz val="11"/>
      <color indexed="8"/>
      <name val="Calibri"/>
      <family val="2"/>
    </font>
    <font>
      <sz val="10"/>
      <color indexed="8"/>
      <name val="Arial"/>
      <family val="2"/>
    </font>
  </fonts>
  <fills count="47">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rgb="FFCCFFCC"/>
        <bgColor indexed="64"/>
      </patternFill>
    </fill>
    <fill>
      <patternFill patternType="solid">
        <fgColor indexed="41"/>
        <bgColor indexed="64"/>
      </patternFill>
    </fill>
    <fill>
      <patternFill patternType="solid">
        <fgColor indexed="44"/>
        <bgColor indexed="64"/>
      </patternFill>
    </fill>
    <fill>
      <patternFill patternType="solid">
        <fgColor indexed="47"/>
        <bgColor indexed="64"/>
      </patternFill>
    </fill>
    <fill>
      <patternFill patternType="solid">
        <fgColor theme="2"/>
        <bgColor indexed="64"/>
      </patternFill>
    </fill>
    <fill>
      <patternFill patternType="solid">
        <fgColor indexed="55"/>
        <bgColor indexed="64"/>
      </patternFill>
    </fill>
    <fill>
      <patternFill patternType="solid">
        <fgColor theme="6" tint="0.399975585192419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8"/>
      </patternFill>
    </fill>
    <fill>
      <patternFill patternType="solid">
        <fgColor indexed="43"/>
        <bgColor indexed="8"/>
      </patternFill>
    </fill>
    <fill>
      <patternFill patternType="solid">
        <fgColor indexed="63"/>
        <bgColor indexed="8"/>
      </patternFill>
    </fill>
    <fill>
      <patternFill patternType="solid">
        <fgColor indexed="22"/>
        <bgColor indexed="0"/>
      </patternFill>
    </fill>
    <fill>
      <patternFill patternType="solid">
        <fgColor theme="0"/>
      </patternFill>
    </fill>
    <fill>
      <patternFill patternType="solid">
        <fgColor theme="5"/>
        <bgColor indexed="64"/>
      </patternFill>
    </fill>
    <fill>
      <patternFill patternType="solid">
        <fgColor rgb="FFEDE8DD"/>
      </patternFill>
    </fill>
    <fill>
      <patternFill patternType="solid">
        <fgColor rgb="FFFFC000"/>
        <bgColor indexed="64"/>
      </patternFill>
    </fill>
    <fill>
      <patternFill patternType="solid">
        <fgColor theme="9"/>
        <bgColor indexed="64"/>
      </patternFill>
    </fill>
    <fill>
      <patternFill patternType="solid">
        <fgColor theme="3" tint="0.79998168889431442"/>
        <bgColor indexed="64"/>
      </patternFill>
    </fill>
  </fills>
  <borders count="84">
    <border>
      <left/>
      <right/>
      <top/>
      <bottom/>
      <diagonal/>
    </border>
    <border>
      <left style="thin">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39"/>
      </top>
      <bottom/>
      <diagonal/>
    </border>
    <border>
      <left style="medium">
        <color indexed="39"/>
      </left>
      <right/>
      <top style="medium">
        <color indexed="39"/>
      </top>
      <bottom/>
      <diagonal/>
    </border>
    <border>
      <left/>
      <right/>
      <top/>
      <bottom style="medium">
        <color indexed="39"/>
      </bottom>
      <diagonal/>
    </border>
    <border>
      <left/>
      <right/>
      <top style="thin">
        <color indexed="62"/>
      </top>
      <bottom style="double">
        <color indexed="62"/>
      </bottom>
      <diagonal/>
    </border>
    <border>
      <left style="thin">
        <color indexed="8"/>
      </left>
      <right style="thin">
        <color indexed="8"/>
      </right>
      <top style="thin">
        <color indexed="8"/>
      </top>
      <bottom style="thin">
        <color indexed="8"/>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22"/>
      </right>
      <top style="thin">
        <color indexed="22"/>
      </top>
      <bottom style="thin">
        <color indexed="22"/>
      </bottom>
      <diagonal/>
    </border>
    <border>
      <left/>
      <right style="medium">
        <color indexed="64"/>
      </right>
      <top style="medium">
        <color indexed="64"/>
      </top>
      <bottom/>
      <diagonal/>
    </border>
    <border>
      <left/>
      <right style="medium">
        <color indexed="64"/>
      </right>
      <top/>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style="thin">
        <color theme="2"/>
      </left>
      <right style="thin">
        <color theme="2"/>
      </right>
      <top style="thin">
        <color theme="2"/>
      </top>
      <bottom style="thin">
        <color theme="2"/>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indexed="64"/>
      </bottom>
      <diagonal/>
    </border>
    <border>
      <left style="thin">
        <color indexed="64"/>
      </left>
      <right/>
      <top style="medium">
        <color indexed="64"/>
      </top>
      <bottom style="medium">
        <color indexed="64"/>
      </bottom>
      <diagonal/>
    </border>
    <border>
      <left style="thin">
        <color indexed="8"/>
      </left>
      <right/>
      <top style="medium">
        <color indexed="64"/>
      </top>
      <bottom style="medium">
        <color indexed="64"/>
      </bottom>
      <diagonal/>
    </border>
    <border>
      <left/>
      <right style="thin">
        <color indexed="8"/>
      </right>
      <top style="medium">
        <color indexed="64"/>
      </top>
      <bottom style="medium">
        <color indexed="64"/>
      </bottom>
      <diagonal/>
    </border>
    <border>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117">
    <xf numFmtId="0" fontId="0" fillId="0" borderId="0"/>
    <xf numFmtId="43" fontId="1" fillId="0" borderId="0" applyFont="0" applyFill="0" applyBorder="0" applyAlignment="0" applyProtection="0"/>
    <xf numFmtId="0" fontId="3" fillId="0" borderId="0"/>
    <xf numFmtId="0" fontId="19" fillId="0" borderId="0" applyNumberFormat="0" applyFill="0" applyBorder="0" applyAlignment="0" applyProtection="0">
      <alignment vertical="top"/>
      <protection locked="0"/>
    </xf>
    <xf numFmtId="0" fontId="29" fillId="15"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9" fillId="20"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18" borderId="0" applyNumberFormat="0" applyBorder="0" applyAlignment="0" applyProtection="0"/>
    <xf numFmtId="0" fontId="29" fillId="21" borderId="0" applyNumberFormat="0" applyBorder="0" applyAlignment="0" applyProtection="0"/>
    <xf numFmtId="0" fontId="29" fillId="21" borderId="0" applyNumberFormat="0" applyBorder="0" applyAlignment="0" applyProtection="0"/>
    <xf numFmtId="0" fontId="29" fillId="24" borderId="0" applyNumberFormat="0" applyBorder="0" applyAlignment="0" applyProtection="0"/>
    <xf numFmtId="0" fontId="29" fillId="24" borderId="0" applyNumberFormat="0" applyBorder="0" applyAlignment="0" applyProtection="0"/>
    <xf numFmtId="0" fontId="30" fillId="25" borderId="0" applyNumberFormat="0" applyBorder="0" applyAlignment="0" applyProtection="0"/>
    <xf numFmtId="0" fontId="30" fillId="22" borderId="0" applyNumberFormat="0" applyBorder="0" applyAlignment="0" applyProtection="0"/>
    <xf numFmtId="0" fontId="30" fillId="23"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32" borderId="0" applyNumberFormat="0" applyBorder="0" applyAlignment="0" applyProtection="0"/>
    <xf numFmtId="0" fontId="31" fillId="16" borderId="0" applyNumberFormat="0" applyBorder="0" applyAlignment="0" applyProtection="0"/>
    <xf numFmtId="0" fontId="32" fillId="33" borderId="31" applyNumberFormat="0" applyAlignment="0" applyProtection="0"/>
    <xf numFmtId="0" fontId="33" fillId="34" borderId="32" applyNumberFormat="0" applyAlignment="0" applyProtection="0"/>
    <xf numFmtId="43" fontId="3" fillId="0" borderId="0" applyFont="0" applyFill="0" applyBorder="0" applyAlignment="0" applyProtection="0"/>
    <xf numFmtId="167" fontId="3" fillId="0" borderId="0" applyFont="0" applyFill="0" applyBorder="0" applyAlignment="0" applyProtection="0">
      <alignment wrapText="1"/>
    </xf>
    <xf numFmtId="167" fontId="3" fillId="0" borderId="0" applyFont="0" applyFill="0" applyBorder="0" applyAlignment="0" applyProtection="0">
      <alignment wrapText="1"/>
    </xf>
    <xf numFmtId="168" fontId="22" fillId="0" borderId="0" applyFont="0" applyFill="0" applyBorder="0" applyAlignment="0" applyProtection="0">
      <alignment vertical="center"/>
    </xf>
    <xf numFmtId="0" fontId="34" fillId="0" borderId="0" applyNumberFormat="0" applyFill="0" applyBorder="0" applyAlignment="0" applyProtection="0"/>
    <xf numFmtId="0" fontId="35" fillId="17" borderId="0" applyNumberFormat="0" applyBorder="0" applyAlignment="0" applyProtection="0"/>
    <xf numFmtId="0" fontId="36" fillId="0" borderId="33" applyNumberFormat="0" applyFill="0" applyAlignment="0" applyProtection="0"/>
    <xf numFmtId="0" fontId="37" fillId="0" borderId="34" applyNumberFormat="0" applyFill="0" applyAlignment="0" applyProtection="0"/>
    <xf numFmtId="0" fontId="38" fillId="0" borderId="35"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alignment vertical="top"/>
      <protection locked="0"/>
    </xf>
    <xf numFmtId="0" fontId="40" fillId="20" borderId="31" applyNumberFormat="0" applyAlignment="0" applyProtection="0"/>
    <xf numFmtId="0" fontId="41" fillId="0" borderId="36" applyNumberFormat="0" applyFill="0" applyAlignment="0" applyProtection="0"/>
    <xf numFmtId="0" fontId="42" fillId="35" borderId="0" applyNumberFormat="0" applyBorder="0" applyAlignment="0" applyProtection="0"/>
    <xf numFmtId="0" fontId="3" fillId="0" borderId="0"/>
    <xf numFmtId="0" fontId="3" fillId="36" borderId="37" applyNumberFormat="0" applyFont="0" applyAlignment="0" applyProtection="0"/>
    <xf numFmtId="0" fontId="3" fillId="36" borderId="37" applyNumberFormat="0" applyFont="0" applyAlignment="0" applyProtection="0"/>
    <xf numFmtId="0" fontId="43" fillId="33" borderId="3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5" fillId="37" borderId="39" applyNumberFormat="0" applyProtection="0">
      <alignment horizontal="center" wrapText="1"/>
    </xf>
    <xf numFmtId="0" fontId="5" fillId="37" borderId="40" applyNumberFormat="0" applyAlignment="0" applyProtection="0">
      <alignment wrapText="1"/>
    </xf>
    <xf numFmtId="0" fontId="3" fillId="38" borderId="0" applyNumberFormat="0" applyBorder="0">
      <alignment horizontal="center" wrapText="1"/>
    </xf>
    <xf numFmtId="0" fontId="3" fillId="38" borderId="0" applyNumberFormat="0" applyBorder="0">
      <alignment horizontal="center" wrapText="1"/>
    </xf>
    <xf numFmtId="0" fontId="3" fillId="39" borderId="41" applyNumberFormat="0">
      <alignment wrapText="1"/>
    </xf>
    <xf numFmtId="0" fontId="3" fillId="39" borderId="41" applyNumberFormat="0">
      <alignment wrapText="1"/>
    </xf>
    <xf numFmtId="0" fontId="3" fillId="39" borderId="0" applyNumberFormat="0" applyBorder="0">
      <alignment wrapText="1"/>
    </xf>
    <xf numFmtId="0" fontId="3" fillId="39" borderId="0" applyNumberFormat="0" applyBorder="0">
      <alignment wrapText="1"/>
    </xf>
    <xf numFmtId="0" fontId="3" fillId="0" borderId="0" applyNumberFormat="0" applyFill="0" applyBorder="0" applyProtection="0">
      <alignment horizontal="right" wrapText="1"/>
    </xf>
    <xf numFmtId="0" fontId="3" fillId="0" borderId="0" applyNumberFormat="0" applyFill="0" applyBorder="0" applyProtection="0">
      <alignment horizontal="right" wrapText="1"/>
    </xf>
    <xf numFmtId="169" fontId="3" fillId="0" borderId="0" applyFill="0" applyBorder="0" applyAlignment="0" applyProtection="0">
      <alignment wrapText="1"/>
    </xf>
    <xf numFmtId="169" fontId="3" fillId="0" borderId="0" applyFill="0" applyBorder="0" applyAlignment="0" applyProtection="0">
      <alignment wrapText="1"/>
    </xf>
    <xf numFmtId="170" fontId="3" fillId="0" borderId="0" applyFill="0" applyBorder="0" applyAlignment="0" applyProtection="0">
      <alignment wrapText="1"/>
    </xf>
    <xf numFmtId="170" fontId="3" fillId="0" borderId="0" applyFill="0" applyBorder="0" applyAlignment="0" applyProtection="0">
      <alignment wrapText="1"/>
    </xf>
    <xf numFmtId="171" fontId="3" fillId="0" borderId="0" applyFill="0" applyBorder="0" applyAlignment="0" applyProtection="0">
      <alignment wrapText="1"/>
    </xf>
    <xf numFmtId="171" fontId="3" fillId="0" borderId="0" applyFill="0" applyBorder="0" applyAlignment="0" applyProtection="0">
      <alignment wrapText="1"/>
    </xf>
    <xf numFmtId="0" fontId="3" fillId="0" borderId="0" applyNumberFormat="0" applyFill="0" applyBorder="0" applyProtection="0">
      <alignment horizontal="right" wrapText="1"/>
    </xf>
    <xf numFmtId="0" fontId="3" fillId="0" borderId="0" applyNumberFormat="0" applyFill="0" applyBorder="0" applyProtection="0">
      <alignment horizontal="right" wrapText="1"/>
    </xf>
    <xf numFmtId="0" fontId="3" fillId="0" borderId="0" applyNumberFormat="0" applyFill="0" applyBorder="0">
      <alignment horizontal="right" wrapText="1"/>
    </xf>
    <xf numFmtId="0" fontId="3" fillId="0" borderId="0" applyNumberFormat="0" applyFill="0" applyBorder="0">
      <alignment horizontal="right" wrapText="1"/>
    </xf>
    <xf numFmtId="17" fontId="3" fillId="0" borderId="0" applyFill="0" applyBorder="0">
      <alignment horizontal="right" wrapText="1"/>
    </xf>
    <xf numFmtId="17" fontId="3" fillId="0" borderId="0" applyFill="0" applyBorder="0">
      <alignment horizontal="right" wrapText="1"/>
    </xf>
    <xf numFmtId="8" fontId="3" fillId="0" borderId="0" applyFill="0" applyBorder="0" applyAlignment="0" applyProtection="0">
      <alignment wrapText="1"/>
    </xf>
    <xf numFmtId="8" fontId="3" fillId="0" borderId="0" applyFill="0" applyBorder="0" applyAlignment="0" applyProtection="0">
      <alignment wrapText="1"/>
    </xf>
    <xf numFmtId="0" fontId="44" fillId="0" borderId="0" applyNumberFormat="0" applyFill="0" applyBorder="0">
      <alignment horizontal="left" wrapText="1"/>
    </xf>
    <xf numFmtId="0" fontId="5" fillId="0" borderId="0" applyNumberFormat="0" applyFill="0" applyBorder="0">
      <alignment horizontal="center" wrapText="1"/>
    </xf>
    <xf numFmtId="0" fontId="5" fillId="0" borderId="0" applyNumberFormat="0" applyFill="0" applyBorder="0">
      <alignment horizontal="center" wrapText="1"/>
    </xf>
    <xf numFmtId="172" fontId="45" fillId="0" borderId="0">
      <alignment horizontal="center" vertical="center"/>
    </xf>
    <xf numFmtId="0" fontId="46" fillId="0" borderId="0" applyNumberFormat="0" applyFill="0" applyBorder="0" applyAlignment="0" applyProtection="0"/>
    <xf numFmtId="0" fontId="47" fillId="0" borderId="42" applyNumberFormat="0" applyFill="0" applyAlignment="0" applyProtection="0"/>
    <xf numFmtId="0" fontId="48" fillId="0" borderId="0" applyNumberFormat="0" applyFill="0" applyBorder="0" applyAlignment="0" applyProtection="0"/>
    <xf numFmtId="173" fontId="3" fillId="0" borderId="0">
      <alignment horizontal="center" vertical="center"/>
    </xf>
    <xf numFmtId="173" fontId="3" fillId="0" borderId="0">
      <alignment horizontal="center" vertical="center"/>
    </xf>
    <xf numFmtId="0" fontId="49" fillId="0" borderId="0">
      <alignment horizontal="left"/>
    </xf>
    <xf numFmtId="0" fontId="12" fillId="0" borderId="0"/>
    <xf numFmtId="0" fontId="53" fillId="0" borderId="0"/>
    <xf numFmtId="0" fontId="53" fillId="0" borderId="0"/>
    <xf numFmtId="0" fontId="56" fillId="41" borderId="58"/>
    <xf numFmtId="0" fontId="57" fillId="42" borderId="9"/>
    <xf numFmtId="0" fontId="58" fillId="43" borderId="9"/>
    <xf numFmtId="0" fontId="59" fillId="5" borderId="9"/>
    <xf numFmtId="0" fontId="60" fillId="42" borderId="9"/>
    <xf numFmtId="0" fontId="61" fillId="0" borderId="0" applyNumberFormat="0" applyFill="0" applyBorder="0" applyAlignment="0" applyProtection="0"/>
    <xf numFmtId="0" fontId="56" fillId="0" borderId="0"/>
    <xf numFmtId="9" fontId="56" fillId="0" borderId="0" applyFont="0" applyFill="0" applyBorder="0" applyAlignment="0" applyProtection="0"/>
    <xf numFmtId="2" fontId="62" fillId="41" borderId="58"/>
    <xf numFmtId="0" fontId="63" fillId="41" borderId="58"/>
    <xf numFmtId="0" fontId="3" fillId="0" borderId="0"/>
    <xf numFmtId="0" fontId="3" fillId="0" borderId="0"/>
    <xf numFmtId="0" fontId="53" fillId="0" borderId="0"/>
    <xf numFmtId="0" fontId="70" fillId="0" borderId="0"/>
    <xf numFmtId="0" fontId="72" fillId="0" borderId="0"/>
  </cellStyleXfs>
  <cellXfs count="503">
    <xf numFmtId="0" fontId="0" fillId="0" borderId="0" xfId="0"/>
    <xf numFmtId="0" fontId="4" fillId="2" borderId="0" xfId="2" applyFont="1" applyFill="1" applyAlignment="1"/>
    <xf numFmtId="0" fontId="3" fillId="2" borderId="0" xfId="2" applyFill="1"/>
    <xf numFmtId="0" fontId="3" fillId="0" borderId="0" xfId="2"/>
    <xf numFmtId="0" fontId="5" fillId="3" borderId="1" xfId="2" applyFont="1" applyFill="1" applyBorder="1" applyAlignment="1">
      <alignment horizontal="left" vertical="center"/>
    </xf>
    <xf numFmtId="0" fontId="5" fillId="3" borderId="2" xfId="2" applyFont="1" applyFill="1" applyBorder="1" applyAlignment="1">
      <alignment horizontal="left" vertical="center"/>
    </xf>
    <xf numFmtId="0" fontId="5" fillId="3" borderId="3" xfId="2" applyFont="1" applyFill="1" applyBorder="1" applyAlignment="1">
      <alignment horizontal="left" vertical="center"/>
    </xf>
    <xf numFmtId="0" fontId="5" fillId="3" borderId="4" xfId="2" applyFont="1" applyFill="1" applyBorder="1" applyAlignment="1">
      <alignment horizontal="left" vertical="center"/>
    </xf>
    <xf numFmtId="0" fontId="5" fillId="3" borderId="1" xfId="2" applyFont="1" applyFill="1" applyBorder="1" applyAlignment="1">
      <alignment horizontal="left" vertical="center" wrapText="1"/>
    </xf>
    <xf numFmtId="0" fontId="5" fillId="2" borderId="0" xfId="2" applyFont="1" applyFill="1"/>
    <xf numFmtId="0" fontId="3" fillId="4" borderId="6" xfId="2" applyFont="1" applyFill="1" applyBorder="1" applyAlignment="1">
      <alignment horizontal="left" vertical="center"/>
    </xf>
    <xf numFmtId="0" fontId="3" fillId="0" borderId="0" xfId="2" applyFill="1"/>
    <xf numFmtId="0" fontId="3" fillId="4" borderId="9" xfId="2" applyFont="1" applyFill="1" applyBorder="1" applyAlignment="1">
      <alignment horizontal="left" vertical="center"/>
    </xf>
    <xf numFmtId="0" fontId="3" fillId="5" borderId="9" xfId="2" applyFont="1" applyFill="1" applyBorder="1" applyAlignment="1">
      <alignment horizontal="left" vertical="center"/>
    </xf>
    <xf numFmtId="0" fontId="3" fillId="5" borderId="10" xfId="2" applyFont="1" applyFill="1" applyBorder="1" applyAlignment="1">
      <alignment horizontal="left" vertical="center"/>
    </xf>
    <xf numFmtId="0" fontId="3" fillId="5" borderId="13" xfId="2" applyFont="1" applyFill="1" applyBorder="1" applyAlignment="1">
      <alignment horizontal="left" vertical="center"/>
    </xf>
    <xf numFmtId="14" fontId="3" fillId="2" borderId="0" xfId="2" applyNumberFormat="1" applyFont="1" applyFill="1" applyAlignment="1">
      <alignment horizontal="left"/>
    </xf>
    <xf numFmtId="0" fontId="3" fillId="2" borderId="0" xfId="2" applyFont="1" applyFill="1"/>
    <xf numFmtId="0" fontId="3" fillId="6" borderId="0" xfId="2" applyFont="1" applyFill="1"/>
    <xf numFmtId="0" fontId="3" fillId="6" borderId="0" xfId="2" applyFill="1"/>
    <xf numFmtId="49" fontId="3" fillId="2" borderId="0" xfId="2" applyNumberFormat="1" applyFont="1" applyFill="1"/>
    <xf numFmtId="0" fontId="5" fillId="7" borderId="0" xfId="2" applyFont="1" applyFill="1" applyBorder="1" applyAlignment="1" applyProtection="1">
      <alignment horizontal="left"/>
      <protection locked="0"/>
    </xf>
    <xf numFmtId="0" fontId="3" fillId="2" borderId="0" xfId="2" applyFill="1" applyAlignment="1">
      <alignment horizontal="right"/>
    </xf>
    <xf numFmtId="0" fontId="3" fillId="0" borderId="2" xfId="2" applyFill="1" applyBorder="1"/>
    <xf numFmtId="0" fontId="3" fillId="0" borderId="4" xfId="2" applyFill="1" applyBorder="1"/>
    <xf numFmtId="0" fontId="3" fillId="2" borderId="0" xfId="2" applyFill="1" applyBorder="1" applyAlignment="1">
      <alignment vertical="top" wrapText="1"/>
    </xf>
    <xf numFmtId="0" fontId="8" fillId="2" borderId="0" xfId="2" applyFont="1" applyFill="1"/>
    <xf numFmtId="0" fontId="10" fillId="8" borderId="19" xfId="2" applyFont="1" applyFill="1" applyBorder="1"/>
    <xf numFmtId="0" fontId="3" fillId="8" borderId="20" xfId="2" applyFill="1" applyBorder="1"/>
    <xf numFmtId="0" fontId="3" fillId="8" borderId="21" xfId="2" applyFill="1" applyBorder="1"/>
    <xf numFmtId="0" fontId="3" fillId="8" borderId="22" xfId="2" applyFill="1" applyBorder="1"/>
    <xf numFmtId="0" fontId="3" fillId="8" borderId="0" xfId="2" applyFill="1" applyBorder="1"/>
    <xf numFmtId="0" fontId="3" fillId="8" borderId="23" xfId="2" applyFill="1" applyBorder="1"/>
    <xf numFmtId="0" fontId="11" fillId="8" borderId="24" xfId="0" applyFont="1" applyFill="1" applyBorder="1"/>
    <xf numFmtId="0" fontId="3" fillId="8" borderId="9" xfId="2" applyFill="1" applyBorder="1"/>
    <xf numFmtId="0" fontId="3" fillId="8" borderId="25" xfId="2" applyFill="1" applyBorder="1"/>
    <xf numFmtId="0" fontId="7" fillId="2" borderId="0" xfId="2" applyFont="1" applyFill="1" applyAlignment="1">
      <alignment horizontal="center"/>
    </xf>
    <xf numFmtId="0" fontId="5" fillId="3" borderId="16" xfId="2" applyFont="1" applyFill="1" applyBorder="1" applyAlignment="1">
      <alignment horizontal="center"/>
    </xf>
    <xf numFmtId="0" fontId="3" fillId="0" borderId="16" xfId="2" applyFont="1" applyBorder="1" applyProtection="1">
      <protection locked="0"/>
    </xf>
    <xf numFmtId="0" fontId="13" fillId="0" borderId="16" xfId="0" applyFont="1" applyFill="1" applyBorder="1" applyAlignment="1">
      <alignment wrapText="1"/>
    </xf>
    <xf numFmtId="0" fontId="13" fillId="0" borderId="16" xfId="0" applyFont="1" applyBorder="1" applyProtection="1">
      <protection locked="0"/>
    </xf>
    <xf numFmtId="0" fontId="13" fillId="0" borderId="16" xfId="0" applyFont="1" applyFill="1" applyBorder="1" applyProtection="1">
      <protection locked="0"/>
    </xf>
    <xf numFmtId="0" fontId="13" fillId="0" borderId="16" xfId="0" applyFont="1" applyBorder="1" applyAlignment="1" applyProtection="1">
      <alignment horizontal="center"/>
      <protection locked="0"/>
    </xf>
    <xf numFmtId="0" fontId="5" fillId="9" borderId="16" xfId="2" applyFont="1" applyFill="1" applyBorder="1"/>
    <xf numFmtId="0" fontId="3" fillId="9" borderId="16" xfId="2" applyFill="1" applyBorder="1" applyAlignment="1">
      <alignment vertical="top"/>
    </xf>
    <xf numFmtId="0" fontId="3" fillId="9" borderId="16" xfId="2" applyFill="1" applyBorder="1"/>
    <xf numFmtId="0" fontId="3" fillId="9" borderId="16" xfId="2" applyFill="1" applyBorder="1" applyAlignment="1">
      <alignment horizontal="left"/>
    </xf>
    <xf numFmtId="0" fontId="3" fillId="9" borderId="16" xfId="2" applyFill="1" applyBorder="1" applyAlignment="1"/>
    <xf numFmtId="0" fontId="3" fillId="9" borderId="10" xfId="2" applyFill="1" applyBorder="1" applyAlignment="1"/>
    <xf numFmtId="0" fontId="3" fillId="9" borderId="17" xfId="2" applyFill="1" applyBorder="1" applyAlignment="1"/>
    <xf numFmtId="0" fontId="3" fillId="0" borderId="16" xfId="2" applyBorder="1" applyAlignment="1" applyProtection="1">
      <alignment vertical="top"/>
      <protection locked="0"/>
    </xf>
    <xf numFmtId="11" fontId="13" fillId="10" borderId="16" xfId="1" applyNumberFormat="1" applyFont="1" applyFill="1" applyBorder="1" applyAlignment="1" applyProtection="1">
      <alignment vertical="top"/>
      <protection hidden="1"/>
    </xf>
    <xf numFmtId="0" fontId="13" fillId="10" borderId="16" xfId="0" applyFont="1" applyFill="1" applyBorder="1" applyAlignment="1" applyProtection="1">
      <alignment vertical="top"/>
      <protection hidden="1"/>
    </xf>
    <xf numFmtId="0" fontId="3" fillId="0" borderId="16" xfId="2" applyBorder="1" applyAlignment="1" applyProtection="1">
      <alignment horizontal="center" vertical="top"/>
      <protection locked="0"/>
    </xf>
    <xf numFmtId="0" fontId="3" fillId="0" borderId="16" xfId="2" applyBorder="1" applyAlignment="1" applyProtection="1">
      <alignment vertical="top" wrapText="1"/>
      <protection locked="0"/>
    </xf>
    <xf numFmtId="0" fontId="13" fillId="0" borderId="16" xfId="0" applyFont="1" applyFill="1" applyBorder="1"/>
    <xf numFmtId="0" fontId="3" fillId="0" borderId="16" xfId="2" applyFont="1" applyBorder="1" applyAlignment="1" applyProtection="1">
      <alignment vertical="top"/>
      <protection locked="0"/>
    </xf>
    <xf numFmtId="0" fontId="13" fillId="0" borderId="16" xfId="0" applyFont="1" applyBorder="1"/>
    <xf numFmtId="0" fontId="5" fillId="9" borderId="16" xfId="2" applyFont="1" applyFill="1" applyBorder="1" applyAlignment="1">
      <alignment vertical="top"/>
    </xf>
    <xf numFmtId="0" fontId="3" fillId="9" borderId="16" xfId="2" applyFill="1" applyBorder="1" applyAlignment="1">
      <alignment horizontal="center" vertical="top"/>
    </xf>
    <xf numFmtId="0" fontId="3" fillId="9" borderId="16" xfId="2" applyFill="1" applyBorder="1" applyAlignment="1">
      <alignment vertical="top" wrapText="1"/>
    </xf>
    <xf numFmtId="0" fontId="13" fillId="0" borderId="16" xfId="0" applyFont="1" applyBorder="1" applyAlignment="1" applyProtection="1">
      <alignment vertical="top"/>
      <protection locked="0"/>
    </xf>
    <xf numFmtId="0" fontId="3" fillId="9" borderId="16" xfId="2" applyFont="1" applyFill="1" applyBorder="1" applyAlignment="1">
      <alignment vertical="top"/>
    </xf>
    <xf numFmtId="11" fontId="3" fillId="9" borderId="16" xfId="1" applyNumberFormat="1" applyFont="1" applyFill="1" applyBorder="1" applyAlignment="1" applyProtection="1">
      <alignment vertical="top"/>
      <protection hidden="1"/>
    </xf>
    <xf numFmtId="0" fontId="3" fillId="9" borderId="16" xfId="2" applyFill="1" applyBorder="1" applyAlignment="1" applyProtection="1">
      <alignment vertical="top"/>
      <protection hidden="1"/>
    </xf>
    <xf numFmtId="0" fontId="9" fillId="2" borderId="0" xfId="2" applyFont="1" applyFill="1"/>
    <xf numFmtId="0" fontId="14" fillId="2" borderId="0" xfId="2" applyFont="1" applyFill="1"/>
    <xf numFmtId="0" fontId="17" fillId="0" borderId="0" xfId="2" applyFont="1" applyFill="1" applyAlignment="1">
      <alignment horizontal="center"/>
    </xf>
    <xf numFmtId="11" fontId="13" fillId="0" borderId="16" xfId="0" applyNumberFormat="1" applyFont="1" applyFill="1" applyBorder="1"/>
    <xf numFmtId="0" fontId="5" fillId="3" borderId="0" xfId="2" applyFont="1" applyFill="1" applyAlignment="1">
      <alignment vertical="top" wrapText="1"/>
    </xf>
    <xf numFmtId="0" fontId="18" fillId="3" borderId="0" xfId="2" applyFont="1" applyFill="1" applyAlignment="1">
      <alignment horizontal="left" vertical="top" wrapText="1"/>
    </xf>
    <xf numFmtId="0" fontId="3" fillId="3" borderId="0" xfId="2" applyFont="1" applyFill="1" applyAlignment="1">
      <alignment horizontal="left" vertical="top" wrapText="1"/>
    </xf>
    <xf numFmtId="0" fontId="3" fillId="3" borderId="0" xfId="2" applyFill="1" applyAlignment="1">
      <alignment horizontal="left" vertical="top" wrapText="1"/>
    </xf>
    <xf numFmtId="0" fontId="3" fillId="3" borderId="0" xfId="2" applyFill="1" applyAlignment="1">
      <alignment vertical="top" wrapText="1"/>
    </xf>
    <xf numFmtId="0" fontId="3" fillId="11" borderId="0" xfId="2" applyFont="1" applyFill="1" applyAlignment="1" applyProtection="1">
      <alignment vertical="top" wrapText="1"/>
      <protection hidden="1"/>
    </xf>
    <xf numFmtId="0" fontId="5" fillId="11" borderId="0" xfId="2" applyFont="1" applyFill="1" applyAlignment="1" applyProtection="1">
      <alignment horizontal="left" vertical="top" wrapText="1"/>
      <protection hidden="1"/>
    </xf>
    <xf numFmtId="0" fontId="5" fillId="11" borderId="0" xfId="2" applyFont="1" applyFill="1" applyAlignment="1" applyProtection="1">
      <alignment horizontal="center" vertical="top" wrapText="1"/>
      <protection hidden="1"/>
    </xf>
    <xf numFmtId="0" fontId="5" fillId="11" borderId="0" xfId="2" applyFont="1" applyFill="1" applyAlignment="1" applyProtection="1">
      <alignment vertical="top" wrapText="1"/>
      <protection hidden="1"/>
    </xf>
    <xf numFmtId="0" fontId="3" fillId="0" borderId="0" xfId="2" applyFont="1" applyFill="1" applyAlignment="1">
      <alignment vertical="top" wrapText="1"/>
    </xf>
    <xf numFmtId="0" fontId="3" fillId="0" borderId="0" xfId="2" applyFont="1" applyFill="1" applyAlignment="1" applyProtection="1">
      <alignment horizontal="left" vertical="top" wrapText="1"/>
      <protection locked="0"/>
    </xf>
    <xf numFmtId="0" fontId="3" fillId="0" borderId="0" xfId="2" applyFill="1" applyAlignment="1" applyProtection="1">
      <alignment horizontal="left" vertical="top" wrapText="1"/>
      <protection locked="0"/>
    </xf>
    <xf numFmtId="0" fontId="13" fillId="0" borderId="0" xfId="0" applyFont="1" applyFill="1" applyAlignment="1" applyProtection="1">
      <alignment horizontal="left" vertical="top" wrapText="1"/>
      <protection locked="0"/>
    </xf>
    <xf numFmtId="0" fontId="3" fillId="0" borderId="0" xfId="2" applyFill="1" applyAlignment="1" applyProtection="1">
      <alignment vertical="top" wrapText="1"/>
      <protection locked="0"/>
    </xf>
    <xf numFmtId="0" fontId="3" fillId="0" borderId="0" xfId="2" applyFill="1" applyProtection="1">
      <protection locked="0"/>
    </xf>
    <xf numFmtId="0" fontId="12" fillId="0" borderId="0" xfId="2" applyFont="1" applyFill="1" applyAlignment="1" applyProtection="1">
      <alignment horizontal="left" vertical="top" wrapText="1"/>
      <protection locked="0"/>
    </xf>
    <xf numFmtId="0" fontId="3" fillId="0" borderId="0" xfId="2" applyFont="1" applyFill="1" applyAlignment="1" applyProtection="1">
      <alignment vertical="top" wrapText="1"/>
      <protection locked="0"/>
    </xf>
    <xf numFmtId="0" fontId="3" fillId="12" borderId="0" xfId="2" applyFont="1" applyFill="1" applyAlignment="1">
      <alignment vertical="top" wrapText="1"/>
    </xf>
    <xf numFmtId="0" fontId="3" fillId="12" borderId="0" xfId="2" applyFont="1" applyFill="1" applyAlignment="1" applyProtection="1">
      <alignment horizontal="left" vertical="top" wrapText="1"/>
      <protection locked="0"/>
    </xf>
    <xf numFmtId="0" fontId="3" fillId="12" borderId="0" xfId="2" applyFill="1" applyAlignment="1" applyProtection="1">
      <alignment horizontal="left" vertical="top" wrapText="1"/>
      <protection locked="0"/>
    </xf>
    <xf numFmtId="0" fontId="13" fillId="12" borderId="0" xfId="0" applyFont="1" applyFill="1" applyAlignment="1" applyProtection="1">
      <alignment horizontal="left" vertical="top" wrapText="1"/>
      <protection locked="0"/>
    </xf>
    <xf numFmtId="0" fontId="3" fillId="12" borderId="0" xfId="2" applyFill="1" applyAlignment="1" applyProtection="1">
      <alignment vertical="top" wrapText="1"/>
      <protection locked="0"/>
    </xf>
    <xf numFmtId="0" fontId="3" fillId="12" borderId="0" xfId="2" applyFont="1" applyFill="1" applyAlignment="1" applyProtection="1">
      <alignment vertical="top" wrapText="1"/>
      <protection locked="0"/>
    </xf>
    <xf numFmtId="0" fontId="3" fillId="12" borderId="0" xfId="2" applyFill="1" applyProtection="1">
      <protection locked="0"/>
    </xf>
    <xf numFmtId="0" fontId="7" fillId="12" borderId="0" xfId="2" applyFont="1" applyFill="1" applyProtection="1">
      <protection locked="0"/>
    </xf>
    <xf numFmtId="49" fontId="3" fillId="0" borderId="0" xfId="2" applyNumberFormat="1" applyFont="1" applyFill="1" applyAlignment="1" applyProtection="1">
      <alignment horizontal="left" vertical="top" wrapText="1"/>
      <protection locked="0"/>
    </xf>
    <xf numFmtId="49" fontId="3" fillId="0" borderId="0" xfId="2" applyNumberFormat="1" applyFill="1" applyAlignment="1" applyProtection="1">
      <alignment horizontal="left" vertical="top" wrapText="1"/>
      <protection locked="0"/>
    </xf>
    <xf numFmtId="49" fontId="13" fillId="0" borderId="0" xfId="0" applyNumberFormat="1" applyFont="1" applyFill="1" applyAlignment="1" applyProtection="1">
      <alignment horizontal="left" vertical="top" wrapText="1"/>
      <protection locked="0"/>
    </xf>
    <xf numFmtId="49" fontId="3" fillId="0" borderId="0" xfId="2" applyNumberFormat="1" applyFill="1" applyAlignment="1" applyProtection="1">
      <alignment vertical="top" wrapText="1"/>
      <protection locked="0"/>
    </xf>
    <xf numFmtId="49" fontId="3" fillId="0" borderId="0" xfId="2" applyNumberFormat="1" applyFill="1" applyProtection="1">
      <protection locked="0"/>
    </xf>
    <xf numFmtId="0" fontId="3" fillId="12" borderId="0" xfId="3" applyFont="1" applyFill="1" applyAlignment="1" applyProtection="1">
      <alignment horizontal="left" vertical="top" wrapText="1"/>
      <protection locked="0"/>
    </xf>
    <xf numFmtId="49" fontId="3" fillId="12" borderId="0" xfId="2" applyNumberFormat="1" applyFont="1" applyFill="1" applyAlignment="1" applyProtection="1">
      <alignment horizontal="left" vertical="top" wrapText="1"/>
      <protection locked="0"/>
    </xf>
    <xf numFmtId="49" fontId="3" fillId="12" borderId="0" xfId="2" applyNumberFormat="1" applyFill="1" applyAlignment="1" applyProtection="1">
      <alignment horizontal="left" vertical="top" wrapText="1"/>
      <protection locked="0"/>
    </xf>
    <xf numFmtId="49" fontId="13" fillId="12" borderId="0" xfId="0" applyNumberFormat="1" applyFont="1" applyFill="1" applyAlignment="1" applyProtection="1">
      <alignment horizontal="left" vertical="top" wrapText="1"/>
      <protection locked="0"/>
    </xf>
    <xf numFmtId="49" fontId="3" fillId="12" borderId="0" xfId="2" applyNumberFormat="1" applyFill="1" applyAlignment="1" applyProtection="1">
      <alignment vertical="top" wrapText="1"/>
      <protection locked="0"/>
    </xf>
    <xf numFmtId="49" fontId="3" fillId="12" borderId="0" xfId="2" applyNumberFormat="1" applyFill="1" applyProtection="1">
      <protection locked="0"/>
    </xf>
    <xf numFmtId="0" fontId="12" fillId="12" borderId="0" xfId="2" applyFont="1" applyFill="1" applyAlignment="1" applyProtection="1">
      <alignment horizontal="left"/>
      <protection locked="0"/>
    </xf>
    <xf numFmtId="0" fontId="3" fillId="0" borderId="0" xfId="2" applyFont="1" applyFill="1" applyAlignment="1">
      <alignment horizontal="left" vertical="top"/>
    </xf>
    <xf numFmtId="0" fontId="13" fillId="0" borderId="0" xfId="0" applyFont="1" applyAlignment="1">
      <alignment horizontal="left" vertical="top"/>
    </xf>
    <xf numFmtId="0" fontId="3" fillId="0" borderId="0" xfId="2" applyFont="1" applyAlignment="1">
      <alignment horizontal="left" vertical="top"/>
    </xf>
    <xf numFmtId="0" fontId="19" fillId="0" borderId="0" xfId="3" applyFont="1" applyFill="1" applyAlignment="1" applyProtection="1">
      <alignment horizontal="left" vertical="top"/>
      <protection locked="0"/>
    </xf>
    <xf numFmtId="0" fontId="3" fillId="0" borderId="0" xfId="2" applyFont="1" applyFill="1" applyAlignment="1" applyProtection="1">
      <alignment horizontal="left" vertical="top"/>
      <protection locked="0"/>
    </xf>
    <xf numFmtId="0" fontId="3" fillId="0" borderId="0" xfId="3" applyFont="1" applyFill="1" applyAlignment="1" applyProtection="1">
      <alignment horizontal="left" vertical="top"/>
      <protection locked="0"/>
    </xf>
    <xf numFmtId="49" fontId="3" fillId="0" borderId="0" xfId="2" applyNumberFormat="1" applyFont="1" applyFill="1" applyAlignment="1">
      <alignment horizontal="left" vertical="top" wrapText="1"/>
    </xf>
    <xf numFmtId="49" fontId="13" fillId="0" borderId="0" xfId="0" applyNumberFormat="1" applyFont="1" applyAlignment="1">
      <alignment horizontal="left" vertical="top" wrapText="1"/>
    </xf>
    <xf numFmtId="49" fontId="3" fillId="0" borderId="0" xfId="2" applyNumberFormat="1" applyFont="1" applyAlignment="1">
      <alignment horizontal="left" vertical="top" wrapText="1"/>
    </xf>
    <xf numFmtId="49" fontId="19" fillId="0" borderId="0" xfId="3" applyNumberFormat="1" applyFont="1" applyFill="1" applyAlignment="1" applyProtection="1">
      <alignment horizontal="left" vertical="top" wrapText="1"/>
      <protection locked="0"/>
    </xf>
    <xf numFmtId="49" fontId="3" fillId="0" borderId="0" xfId="3" applyNumberFormat="1" applyFont="1" applyFill="1" applyAlignment="1" applyProtection="1">
      <alignment horizontal="left" vertical="top" wrapText="1"/>
      <protection locked="0"/>
    </xf>
    <xf numFmtId="0" fontId="3" fillId="12" borderId="0" xfId="2" applyNumberFormat="1" applyFont="1" applyFill="1" applyAlignment="1" applyProtection="1">
      <alignment horizontal="left" vertical="top" wrapText="1"/>
      <protection locked="0"/>
    </xf>
    <xf numFmtId="0" fontId="7" fillId="12" borderId="0" xfId="2" applyFont="1" applyFill="1" applyAlignment="1" applyProtection="1">
      <alignment horizontal="left" vertical="top" wrapText="1"/>
      <protection locked="0"/>
    </xf>
    <xf numFmtId="0" fontId="7" fillId="12" borderId="0" xfId="2" applyFont="1" applyFill="1" applyAlignment="1" applyProtection="1">
      <alignment vertical="top" wrapText="1"/>
      <protection locked="0"/>
    </xf>
    <xf numFmtId="0" fontId="3" fillId="12" borderId="0" xfId="2" applyFont="1" applyFill="1" applyProtection="1">
      <protection locked="0"/>
    </xf>
    <xf numFmtId="0" fontId="3" fillId="13" borderId="0" xfId="2" applyFill="1" applyAlignment="1">
      <alignment vertical="top" wrapText="1"/>
    </xf>
    <xf numFmtId="0" fontId="3" fillId="13" borderId="0" xfId="2" applyFill="1" applyAlignment="1">
      <alignment horizontal="left" vertical="top" wrapText="1"/>
    </xf>
    <xf numFmtId="0" fontId="9" fillId="0" borderId="0" xfId="2" applyFont="1" applyFill="1" applyAlignment="1">
      <alignment wrapText="1"/>
    </xf>
    <xf numFmtId="0" fontId="3" fillId="0" borderId="0" xfId="2" applyAlignment="1">
      <alignment horizontal="left" vertical="top" wrapText="1"/>
    </xf>
    <xf numFmtId="0" fontId="3" fillId="0" borderId="0" xfId="2" applyAlignment="1">
      <alignment vertical="top" wrapText="1"/>
    </xf>
    <xf numFmtId="0" fontId="5" fillId="0" borderId="0" xfId="2" applyFont="1" applyAlignment="1">
      <alignment vertical="top" wrapText="1"/>
    </xf>
    <xf numFmtId="0" fontId="5" fillId="0" borderId="0" xfId="2" applyFont="1" applyAlignment="1">
      <alignment horizontal="left" vertical="top" wrapText="1"/>
    </xf>
    <xf numFmtId="0" fontId="14" fillId="0" borderId="0" xfId="2" applyFont="1" applyAlignment="1">
      <alignment horizontal="left"/>
    </xf>
    <xf numFmtId="0" fontId="3" fillId="0" borderId="0" xfId="2" applyAlignment="1">
      <alignment horizontal="left"/>
    </xf>
    <xf numFmtId="0" fontId="20" fillId="0" borderId="0" xfId="2" applyFont="1" applyFill="1"/>
    <xf numFmtId="0" fontId="3" fillId="0" borderId="0" xfId="2" applyFont="1" applyAlignment="1">
      <alignment horizontal="left" wrapText="1"/>
    </xf>
    <xf numFmtId="0" fontId="5" fillId="0" borderId="16" xfId="2" applyFont="1" applyBorder="1" applyAlignment="1">
      <alignment horizontal="left"/>
    </xf>
    <xf numFmtId="0" fontId="3" fillId="0" borderId="16" xfId="2" applyFont="1" applyBorder="1" applyAlignment="1">
      <alignment horizontal="left" wrapText="1"/>
    </xf>
    <xf numFmtId="0" fontId="3" fillId="0" borderId="16" xfId="2" applyFont="1" applyBorder="1" applyAlignment="1">
      <alignment horizontal="left"/>
    </xf>
    <xf numFmtId="0" fontId="3" fillId="0" borderId="16" xfId="2" applyFont="1" applyBorder="1"/>
    <xf numFmtId="0" fontId="3" fillId="0" borderId="16" xfId="2" applyBorder="1"/>
    <xf numFmtId="0" fontId="3" fillId="5" borderId="16" xfId="2" applyFont="1" applyFill="1" applyBorder="1" applyAlignment="1">
      <alignment horizontal="left" wrapText="1"/>
    </xf>
    <xf numFmtId="0" fontId="7" fillId="5" borderId="16" xfId="2" applyFont="1" applyFill="1" applyBorder="1" applyAlignment="1">
      <alignment horizontal="left" wrapText="1"/>
    </xf>
    <xf numFmtId="0" fontId="7" fillId="5" borderId="16" xfId="2" applyFont="1" applyFill="1" applyBorder="1" applyAlignment="1">
      <alignment horizontal="left"/>
    </xf>
    <xf numFmtId="0" fontId="5" fillId="0" borderId="16" xfId="2" applyFont="1" applyFill="1" applyBorder="1" applyAlignment="1">
      <alignment horizontal="left"/>
    </xf>
    <xf numFmtId="0" fontId="3" fillId="0" borderId="16" xfId="2" applyBorder="1" applyAlignment="1">
      <alignment horizontal="left"/>
    </xf>
    <xf numFmtId="0" fontId="5" fillId="14" borderId="16" xfId="2" applyFont="1" applyFill="1" applyBorder="1" applyAlignment="1">
      <alignment horizontal="left" wrapText="1"/>
    </xf>
    <xf numFmtId="0" fontId="21" fillId="7" borderId="0" xfId="2" applyFont="1" applyFill="1"/>
    <xf numFmtId="0" fontId="3" fillId="7" borderId="0" xfId="2" applyFill="1"/>
    <xf numFmtId="0" fontId="5" fillId="10" borderId="29" xfId="2" applyFont="1" applyFill="1" applyBorder="1" applyAlignment="1">
      <alignment horizontal="center"/>
    </xf>
    <xf numFmtId="0" fontId="22" fillId="0" borderId="29" xfId="2" applyFont="1" applyBorder="1" applyAlignment="1">
      <alignment wrapText="1"/>
    </xf>
    <xf numFmtId="0" fontId="23" fillId="0" borderId="29" xfId="2" applyFont="1" applyBorder="1" applyAlignment="1">
      <alignment wrapText="1"/>
    </xf>
    <xf numFmtId="0" fontId="5" fillId="0" borderId="28" xfId="2" applyFont="1" applyBorder="1" applyAlignment="1">
      <alignment wrapText="1"/>
    </xf>
    <xf numFmtId="0" fontId="5" fillId="0" borderId="0" xfId="2" applyFont="1" applyFill="1" applyBorder="1" applyAlignment="1">
      <alignment wrapText="1"/>
    </xf>
    <xf numFmtId="0" fontId="22" fillId="0" borderId="0" xfId="2" applyFont="1" applyBorder="1" applyAlignment="1">
      <alignment wrapText="1"/>
    </xf>
    <xf numFmtId="0" fontId="21" fillId="0" borderId="0" xfId="0" applyFont="1" applyFill="1"/>
    <xf numFmtId="0" fontId="3" fillId="0" borderId="0" xfId="0" applyFont="1"/>
    <xf numFmtId="0" fontId="5" fillId="0" borderId="19" xfId="0" applyFont="1" applyBorder="1" applyAlignment="1">
      <alignment horizontal="left" vertical="center"/>
    </xf>
    <xf numFmtId="0" fontId="3" fillId="0" borderId="20" xfId="0" applyFont="1" applyBorder="1"/>
    <xf numFmtId="0" fontId="3" fillId="0" borderId="21" xfId="0" applyFont="1" applyBorder="1"/>
    <xf numFmtId="0" fontId="0" fillId="0" borderId="22" xfId="0" applyBorder="1"/>
    <xf numFmtId="0" fontId="5" fillId="0" borderId="0" xfId="0" applyFont="1" applyAlignment="1">
      <alignment wrapText="1"/>
    </xf>
    <xf numFmtId="0" fontId="5" fillId="0" borderId="16" xfId="0" applyFont="1" applyBorder="1" applyAlignment="1">
      <alignment vertical="center"/>
    </xf>
    <xf numFmtId="0" fontId="3" fillId="0" borderId="20" xfId="0" applyFont="1" applyBorder="1" applyAlignment="1">
      <alignment vertical="center"/>
    </xf>
    <xf numFmtId="0" fontId="3" fillId="0" borderId="21" xfId="0" applyFont="1" applyBorder="1" applyAlignment="1">
      <alignment vertical="center"/>
    </xf>
    <xf numFmtId="0" fontId="3" fillId="0" borderId="22" xfId="0" applyFont="1" applyBorder="1" applyAlignment="1">
      <alignment horizontal="left" vertical="center"/>
    </xf>
    <xf numFmtId="0" fontId="3" fillId="0" borderId="0" xfId="0" applyFont="1" applyBorder="1" applyAlignment="1">
      <alignment vertical="center"/>
    </xf>
    <xf numFmtId="0" fontId="3" fillId="0" borderId="23" xfId="0" applyFont="1" applyBorder="1" applyAlignment="1">
      <alignment vertical="center"/>
    </xf>
    <xf numFmtId="0" fontId="3" fillId="0" borderId="0" xfId="0" applyFont="1" applyAlignment="1">
      <alignment wrapText="1"/>
    </xf>
    <xf numFmtId="0" fontId="0" fillId="0" borderId="24" xfId="0" applyBorder="1"/>
    <xf numFmtId="0" fontId="24" fillId="0" borderId="0" xfId="0" applyFont="1"/>
    <xf numFmtId="0" fontId="21" fillId="0" borderId="0" xfId="0" applyFont="1" applyFill="1" applyBorder="1" applyAlignment="1">
      <alignment horizontal="left"/>
    </xf>
    <xf numFmtId="0" fontId="25" fillId="0" borderId="0" xfId="0" applyFont="1"/>
    <xf numFmtId="0" fontId="0" fillId="0" borderId="9" xfId="0" applyBorder="1"/>
    <xf numFmtId="0" fontId="0" fillId="0" borderId="25" xfId="0" applyBorder="1"/>
    <xf numFmtId="0" fontId="3" fillId="0" borderId="24" xfId="0" applyFont="1" applyBorder="1"/>
    <xf numFmtId="0" fontId="3" fillId="0" borderId="0" xfId="2" applyFill="1" applyBorder="1"/>
    <xf numFmtId="0" fontId="26" fillId="0" borderId="0" xfId="2" applyFont="1" applyFill="1" applyBorder="1"/>
    <xf numFmtId="0" fontId="13" fillId="6" borderId="0" xfId="2" applyFont="1" applyFill="1" applyBorder="1"/>
    <xf numFmtId="0" fontId="27" fillId="0" borderId="0" xfId="2" applyFont="1" applyFill="1" applyBorder="1" applyAlignment="1">
      <alignment horizontal="left"/>
    </xf>
    <xf numFmtId="0" fontId="27" fillId="0" borderId="0" xfId="2" applyFont="1" applyFill="1" applyBorder="1"/>
    <xf numFmtId="0" fontId="13" fillId="0" borderId="0" xfId="2" applyFont="1" applyFill="1"/>
    <xf numFmtId="0" fontId="28" fillId="0" borderId="0" xfId="2" applyFont="1" applyFill="1"/>
    <xf numFmtId="0" fontId="13" fillId="0" borderId="0" xfId="2" applyFont="1" applyFill="1" applyAlignment="1">
      <alignment horizontal="left"/>
    </xf>
    <xf numFmtId="0" fontId="13" fillId="0" borderId="22" xfId="0" applyFont="1" applyBorder="1"/>
    <xf numFmtId="0" fontId="13" fillId="0" borderId="0" xfId="0" applyFont="1"/>
    <xf numFmtId="0" fontId="3" fillId="0" borderId="0" xfId="2" applyFont="1" applyFill="1"/>
    <xf numFmtId="0" fontId="3" fillId="0" borderId="0" xfId="2" applyFont="1" applyFill="1" applyAlignment="1">
      <alignment horizontal="right"/>
    </xf>
    <xf numFmtId="0" fontId="10" fillId="0" borderId="0" xfId="2" applyFont="1"/>
    <xf numFmtId="0" fontId="5" fillId="0" borderId="9" xfId="2" applyFont="1" applyBorder="1"/>
    <xf numFmtId="2" fontId="13" fillId="0" borderId="0" xfId="0" applyNumberFormat="1" applyFont="1"/>
    <xf numFmtId="2" fontId="13" fillId="0" borderId="0" xfId="0" applyNumberFormat="1" applyFont="1" applyFill="1" applyBorder="1"/>
    <xf numFmtId="0" fontId="3" fillId="0" borderId="0" xfId="2" applyNumberFormat="1" applyFont="1"/>
    <xf numFmtId="166" fontId="3" fillId="0" borderId="0" xfId="2" applyNumberFormat="1" applyFont="1"/>
    <xf numFmtId="0" fontId="3" fillId="0" borderId="0" xfId="0" applyFont="1" applyBorder="1"/>
    <xf numFmtId="165" fontId="3" fillId="0" borderId="0" xfId="0" applyNumberFormat="1" applyFont="1"/>
    <xf numFmtId="0" fontId="3" fillId="0" borderId="0" xfId="0" applyFont="1" applyFill="1" applyBorder="1"/>
    <xf numFmtId="0" fontId="19" fillId="0" borderId="0" xfId="3" applyFont="1" applyAlignment="1" applyProtection="1"/>
    <xf numFmtId="0" fontId="3" fillId="0" borderId="10" xfId="2" applyFont="1" applyFill="1" applyBorder="1" applyAlignment="1">
      <alignment horizontal="center" vertical="center" wrapText="1"/>
    </xf>
    <xf numFmtId="0" fontId="3" fillId="0" borderId="0" xfId="2"/>
    <xf numFmtId="0" fontId="3" fillId="0" borderId="0" xfId="2" applyFont="1"/>
    <xf numFmtId="0" fontId="50" fillId="0" borderId="0" xfId="0" applyFont="1"/>
    <xf numFmtId="11" fontId="13" fillId="10" borderId="16" xfId="0" applyNumberFormat="1" applyFont="1" applyFill="1" applyBorder="1" applyAlignment="1" applyProtection="1">
      <alignment vertical="top"/>
      <protection hidden="1"/>
    </xf>
    <xf numFmtId="0" fontId="27" fillId="0" borderId="0" xfId="0" applyFont="1"/>
    <xf numFmtId="0" fontId="2" fillId="0" borderId="0" xfId="0" applyFont="1"/>
    <xf numFmtId="0" fontId="3" fillId="5" borderId="44" xfId="2" applyFont="1" applyFill="1" applyBorder="1" applyAlignment="1">
      <alignment horizontal="left" vertical="center" wrapText="1"/>
    </xf>
    <xf numFmtId="0" fontId="12" fillId="0" borderId="37" xfId="99" applyFont="1" applyFill="1" applyBorder="1" applyAlignment="1"/>
    <xf numFmtId="174" fontId="12" fillId="0" borderId="37" xfId="99" applyNumberFormat="1" applyFont="1" applyFill="1" applyBorder="1" applyAlignment="1">
      <alignment horizontal="right"/>
    </xf>
    <xf numFmtId="0" fontId="12" fillId="0" borderId="37" xfId="99" applyFont="1" applyFill="1" applyBorder="1" applyAlignment="1">
      <alignment horizontal="right"/>
    </xf>
    <xf numFmtId="0" fontId="13" fillId="0" borderId="0" xfId="0" applyFont="1" applyBorder="1"/>
    <xf numFmtId="0" fontId="0" fillId="0" borderId="0" xfId="0" applyBorder="1"/>
    <xf numFmtId="0" fontId="13" fillId="0" borderId="0" xfId="2" applyFont="1" applyFill="1" applyBorder="1"/>
    <xf numFmtId="0" fontId="0" fillId="0" borderId="0" xfId="0" applyFill="1" applyBorder="1"/>
    <xf numFmtId="11" fontId="52" fillId="10" borderId="16" xfId="1" applyNumberFormat="1" applyFont="1" applyFill="1" applyBorder="1" applyAlignment="1" applyProtection="1">
      <alignment vertical="top"/>
      <protection hidden="1"/>
    </xf>
    <xf numFmtId="0" fontId="11" fillId="12" borderId="0" xfId="0" applyFont="1" applyFill="1" applyAlignment="1">
      <alignment horizontal="left" vertical="top" wrapText="1" indent="1"/>
    </xf>
    <xf numFmtId="0" fontId="27" fillId="0" borderId="0" xfId="2" applyFont="1" applyFill="1"/>
    <xf numFmtId="0" fontId="53" fillId="0" borderId="37" xfId="100" applyFont="1" applyFill="1" applyBorder="1" applyAlignment="1"/>
    <xf numFmtId="174" fontId="53" fillId="0" borderId="37" xfId="100" applyNumberFormat="1" applyFont="1" applyFill="1" applyBorder="1" applyAlignment="1">
      <alignment horizontal="right"/>
    </xf>
    <xf numFmtId="0" fontId="53" fillId="0" borderId="37" xfId="100" applyFont="1" applyFill="1" applyBorder="1" applyAlignment="1">
      <alignment horizontal="right"/>
    </xf>
    <xf numFmtId="0" fontId="0" fillId="0" borderId="0" xfId="0" applyAlignment="1"/>
    <xf numFmtId="0" fontId="13" fillId="0" borderId="0" xfId="0" applyFont="1" applyAlignment="1"/>
    <xf numFmtId="0" fontId="53" fillId="0" borderId="37" xfId="101" applyFont="1" applyFill="1" applyBorder="1" applyAlignment="1"/>
    <xf numFmtId="174" fontId="53" fillId="0" borderId="37" xfId="101" applyNumberFormat="1" applyFont="1" applyFill="1" applyBorder="1" applyAlignment="1">
      <alignment horizontal="right"/>
    </xf>
    <xf numFmtId="0" fontId="53" fillId="0" borderId="37" xfId="101" applyFont="1" applyFill="1" applyBorder="1" applyAlignment="1">
      <alignment horizontal="right"/>
    </xf>
    <xf numFmtId="0" fontId="0" fillId="4" borderId="0" xfId="0" applyFill="1" applyAlignment="1"/>
    <xf numFmtId="0" fontId="13" fillId="4" borderId="0" xfId="0" applyFont="1" applyFill="1" applyAlignment="1"/>
    <xf numFmtId="0" fontId="0" fillId="4" borderId="0" xfId="0" applyFill="1"/>
    <xf numFmtId="0" fontId="13" fillId="4" borderId="0" xfId="0" applyFont="1" applyFill="1"/>
    <xf numFmtId="0" fontId="13" fillId="0" borderId="0" xfId="0" applyFont="1" applyFill="1"/>
    <xf numFmtId="0" fontId="0" fillId="0" borderId="0" xfId="0" applyFill="1"/>
    <xf numFmtId="0" fontId="5" fillId="0" borderId="0" xfId="2" applyFont="1" applyFill="1"/>
    <xf numFmtId="0" fontId="27" fillId="0" borderId="0" xfId="0" applyFont="1" applyFill="1"/>
    <xf numFmtId="0" fontId="2" fillId="0" borderId="0" xfId="0" applyFont="1" applyFill="1"/>
    <xf numFmtId="0" fontId="2" fillId="4" borderId="0" xfId="0" applyFont="1" applyFill="1"/>
    <xf numFmtId="0" fontId="0" fillId="0" borderId="0" xfId="0" applyFont="1" applyFill="1"/>
    <xf numFmtId="0" fontId="0" fillId="4" borderId="0" xfId="0" applyFont="1" applyFill="1"/>
    <xf numFmtId="0" fontId="27" fillId="0" borderId="45" xfId="0" applyFont="1" applyFill="1" applyBorder="1"/>
    <xf numFmtId="0" fontId="27" fillId="0" borderId="46" xfId="0" applyFont="1" applyFill="1" applyBorder="1"/>
    <xf numFmtId="0" fontId="27" fillId="0" borderId="47" xfId="0" applyFont="1" applyFill="1" applyBorder="1"/>
    <xf numFmtId="0" fontId="27" fillId="0" borderId="27" xfId="0" applyFont="1" applyFill="1" applyBorder="1"/>
    <xf numFmtId="0" fontId="27" fillId="0" borderId="48" xfId="0" applyFont="1" applyFill="1" applyBorder="1"/>
    <xf numFmtId="0" fontId="13" fillId="0" borderId="49" xfId="0" applyFont="1" applyFill="1" applyBorder="1"/>
    <xf numFmtId="0" fontId="13" fillId="0" borderId="50" xfId="0" applyFont="1" applyFill="1" applyBorder="1"/>
    <xf numFmtId="0" fontId="2" fillId="0" borderId="51" xfId="0" applyFont="1" applyFill="1" applyBorder="1"/>
    <xf numFmtId="0" fontId="54" fillId="0" borderId="52" xfId="100" applyFont="1" applyFill="1" applyBorder="1" applyAlignment="1">
      <alignment horizontal="center"/>
    </xf>
    <xf numFmtId="0" fontId="54" fillId="0" borderId="53" xfId="100" applyFont="1" applyFill="1" applyBorder="1" applyAlignment="1">
      <alignment horizontal="center"/>
    </xf>
    <xf numFmtId="0" fontId="54" fillId="0" borderId="54" xfId="100" applyFont="1" applyFill="1" applyBorder="1" applyAlignment="1">
      <alignment horizontal="center"/>
    </xf>
    <xf numFmtId="0" fontId="53" fillId="0" borderId="55" xfId="100" applyFont="1" applyFill="1" applyBorder="1" applyAlignment="1"/>
    <xf numFmtId="0" fontId="53" fillId="0" borderId="55" xfId="101" applyFont="1" applyFill="1" applyBorder="1" applyAlignment="1"/>
    <xf numFmtId="0" fontId="0" fillId="0" borderId="5" xfId="0" applyFill="1" applyBorder="1"/>
    <xf numFmtId="0" fontId="13" fillId="0" borderId="26" xfId="0" applyFont="1" applyFill="1" applyBorder="1"/>
    <xf numFmtId="0" fontId="0" fillId="0" borderId="26" xfId="0" applyFill="1" applyBorder="1"/>
    <xf numFmtId="0" fontId="0" fillId="0" borderId="26" xfId="0" applyFont="1" applyFill="1" applyBorder="1"/>
    <xf numFmtId="0" fontId="2" fillId="6" borderId="56" xfId="0" applyFont="1" applyFill="1" applyBorder="1"/>
    <xf numFmtId="0" fontId="0" fillId="0" borderId="8" xfId="0" applyFill="1" applyBorder="1"/>
    <xf numFmtId="0" fontId="13" fillId="0" borderId="0" xfId="0" applyFont="1" applyFill="1" applyBorder="1"/>
    <xf numFmtId="0" fontId="0" fillId="0" borderId="0" xfId="0" applyFont="1" applyFill="1" applyBorder="1"/>
    <xf numFmtId="0" fontId="2" fillId="6" borderId="57" xfId="0" applyFont="1" applyFill="1" applyBorder="1"/>
    <xf numFmtId="0" fontId="0" fillId="0" borderId="12" xfId="0" applyFill="1" applyBorder="1"/>
    <xf numFmtId="0" fontId="13" fillId="0" borderId="13" xfId="0" applyFont="1" applyFill="1" applyBorder="1"/>
    <xf numFmtId="0" fontId="0" fillId="0" borderId="13" xfId="0" applyFill="1" applyBorder="1"/>
    <xf numFmtId="0" fontId="0" fillId="0" borderId="13" xfId="0" applyFont="1" applyFill="1" applyBorder="1"/>
    <xf numFmtId="0" fontId="2" fillId="6" borderId="29" xfId="0" applyFont="1" applyFill="1" applyBorder="1"/>
    <xf numFmtId="0" fontId="2" fillId="0" borderId="45" xfId="0" applyFont="1" applyBorder="1"/>
    <xf numFmtId="0" fontId="2" fillId="0" borderId="46" xfId="0" applyFont="1" applyBorder="1"/>
    <xf numFmtId="0" fontId="2" fillId="0" borderId="47" xfId="0" applyFont="1" applyBorder="1"/>
    <xf numFmtId="0" fontId="3" fillId="0" borderId="16" xfId="2" applyFont="1" applyFill="1" applyBorder="1" applyProtection="1">
      <protection locked="0"/>
    </xf>
    <xf numFmtId="164" fontId="13" fillId="0" borderId="16" xfId="0" applyNumberFormat="1" applyFont="1" applyFill="1" applyBorder="1"/>
    <xf numFmtId="0" fontId="13" fillId="0" borderId="16" xfId="0" applyFont="1" applyFill="1" applyBorder="1" applyAlignment="1" applyProtection="1">
      <alignment horizontal="center"/>
      <protection locked="0"/>
    </xf>
    <xf numFmtId="0" fontId="27" fillId="6" borderId="46" xfId="0" applyFont="1" applyFill="1" applyBorder="1"/>
    <xf numFmtId="0" fontId="0" fillId="0" borderId="0" xfId="0" applyFill="1" applyAlignment="1"/>
    <xf numFmtId="0" fontId="13" fillId="6" borderId="50" xfId="0" applyFont="1" applyFill="1" applyBorder="1"/>
    <xf numFmtId="175" fontId="13" fillId="0" borderId="16" xfId="0" applyNumberFormat="1" applyFont="1" applyFill="1" applyBorder="1" applyProtection="1">
      <protection locked="0"/>
    </xf>
    <xf numFmtId="0" fontId="3" fillId="0" borderId="16" xfId="2" applyFill="1" applyBorder="1" applyAlignment="1" applyProtection="1">
      <alignment vertical="top"/>
      <protection locked="0"/>
    </xf>
    <xf numFmtId="0" fontId="13" fillId="0" borderId="16" xfId="0" applyFont="1" applyFill="1" applyBorder="1" applyAlignment="1" applyProtection="1">
      <alignment vertical="top"/>
      <protection locked="0"/>
    </xf>
    <xf numFmtId="0" fontId="3" fillId="0" borderId="16" xfId="2" applyFill="1" applyBorder="1" applyAlignment="1" applyProtection="1">
      <alignment horizontal="center" vertical="top"/>
      <protection locked="0"/>
    </xf>
    <xf numFmtId="0" fontId="55" fillId="0" borderId="0" xfId="0" applyFont="1"/>
    <xf numFmtId="0" fontId="64" fillId="0" borderId="0" xfId="0" applyFont="1"/>
    <xf numFmtId="0" fontId="3" fillId="12" borderId="0" xfId="0" applyFont="1" applyFill="1" applyAlignment="1" applyProtection="1">
      <alignment horizontal="left" vertical="top" wrapText="1"/>
      <protection locked="0"/>
    </xf>
    <xf numFmtId="0" fontId="3" fillId="0" borderId="59" xfId="2" applyFont="1" applyFill="1" applyBorder="1" applyAlignment="1">
      <alignment horizontal="center" vertical="center" wrapText="1"/>
    </xf>
    <xf numFmtId="0" fontId="3" fillId="5" borderId="60" xfId="113" applyFont="1" applyFill="1" applyBorder="1" applyAlignment="1" applyProtection="1">
      <alignment horizontal="left" vertical="top" wrapText="1"/>
      <protection locked="0"/>
    </xf>
    <xf numFmtId="0" fontId="65" fillId="0" borderId="0" xfId="0" applyFont="1" applyAlignment="1">
      <alignment wrapText="1"/>
    </xf>
    <xf numFmtId="0" fontId="0" fillId="0" borderId="0" xfId="0" applyAlignment="1">
      <alignment wrapText="1"/>
    </xf>
    <xf numFmtId="0" fontId="13" fillId="6" borderId="0" xfId="2" applyFont="1" applyFill="1" applyBorder="1" applyAlignment="1">
      <alignment horizontal="center"/>
    </xf>
    <xf numFmtId="0" fontId="0" fillId="0" borderId="58" xfId="0" applyBorder="1"/>
    <xf numFmtId="0" fontId="0" fillId="0" borderId="62" xfId="0" applyBorder="1"/>
    <xf numFmtId="0" fontId="0" fillId="0" borderId="65" xfId="0" applyBorder="1"/>
    <xf numFmtId="0" fontId="0" fillId="0" borderId="67" xfId="0" applyBorder="1"/>
    <xf numFmtId="0" fontId="0" fillId="0" borderId="68" xfId="0" applyBorder="1"/>
    <xf numFmtId="0" fontId="5" fillId="0" borderId="45" xfId="0" applyFont="1" applyBorder="1" applyAlignment="1">
      <alignment horizontal="center" wrapText="1"/>
    </xf>
    <xf numFmtId="0" fontId="5" fillId="0" borderId="46" xfId="0" applyFont="1" applyBorder="1" applyAlignment="1">
      <alignment horizontal="center" wrapText="1"/>
    </xf>
    <xf numFmtId="171" fontId="2" fillId="0" borderId="46" xfId="0" applyNumberFormat="1" applyFont="1" applyBorder="1"/>
    <xf numFmtId="171" fontId="2" fillId="0" borderId="47" xfId="0" applyNumberFormat="1" applyFont="1" applyBorder="1"/>
    <xf numFmtId="0" fontId="0" fillId="0" borderId="64" xfId="0" applyBorder="1"/>
    <xf numFmtId="2" fontId="0" fillId="0" borderId="63" xfId="0" applyNumberFormat="1" applyBorder="1"/>
    <xf numFmtId="2" fontId="0" fillId="0" borderId="66" xfId="0" applyNumberFormat="1" applyBorder="1"/>
    <xf numFmtId="0" fontId="3" fillId="0" borderId="62" xfId="0" applyFont="1" applyBorder="1" applyAlignment="1">
      <alignment wrapText="1"/>
    </xf>
    <xf numFmtId="0" fontId="3" fillId="0" borderId="70" xfId="0" applyFont="1" applyBorder="1" applyAlignment="1">
      <alignment wrapText="1"/>
    </xf>
    <xf numFmtId="0" fontId="3" fillId="0" borderId="64" xfId="0" applyFont="1" applyBorder="1" applyAlignment="1">
      <alignment wrapText="1"/>
    </xf>
    <xf numFmtId="0" fontId="3" fillId="0" borderId="71" xfId="0" applyFont="1" applyBorder="1" applyAlignment="1">
      <alignment wrapText="1"/>
    </xf>
    <xf numFmtId="0" fontId="3" fillId="0" borderId="67" xfId="0" applyFont="1" applyBorder="1" applyAlignment="1">
      <alignment wrapText="1"/>
    </xf>
    <xf numFmtId="0" fontId="3" fillId="0" borderId="24" xfId="0" applyFont="1" applyBorder="1" applyAlignment="1">
      <alignment wrapText="1"/>
    </xf>
    <xf numFmtId="2" fontId="0" fillId="0" borderId="69" xfId="0" applyNumberFormat="1" applyBorder="1"/>
    <xf numFmtId="0" fontId="0" fillId="0" borderId="72" xfId="0" applyBorder="1"/>
    <xf numFmtId="0" fontId="2" fillId="0" borderId="45" xfId="0" applyFont="1" applyBorder="1" applyAlignment="1">
      <alignment horizontal="center"/>
    </xf>
    <xf numFmtId="0" fontId="2" fillId="0" borderId="46" xfId="0" applyFont="1" applyBorder="1" applyAlignment="1">
      <alignment horizontal="center"/>
    </xf>
    <xf numFmtId="11" fontId="0" fillId="0" borderId="0" xfId="0" applyNumberFormat="1"/>
    <xf numFmtId="11" fontId="0" fillId="6" borderId="0" xfId="0" applyNumberFormat="1" applyFill="1"/>
    <xf numFmtId="0" fontId="2" fillId="0" borderId="0" xfId="0" applyFont="1" applyAlignment="1"/>
    <xf numFmtId="0" fontId="13" fillId="0" borderId="0" xfId="2" applyFont="1" applyFill="1" applyBorder="1" applyAlignment="1"/>
    <xf numFmtId="0" fontId="0" fillId="12" borderId="0" xfId="0" applyFill="1" applyAlignment="1">
      <alignment horizontal="left" vertical="top" wrapText="1"/>
    </xf>
    <xf numFmtId="0" fontId="5" fillId="0" borderId="0" xfId="2" applyFont="1" applyFill="1" applyBorder="1"/>
    <xf numFmtId="0" fontId="27" fillId="0" borderId="0" xfId="0" applyFont="1" applyBorder="1"/>
    <xf numFmtId="0" fontId="17" fillId="0" borderId="0" xfId="2" applyFont="1" applyFill="1" applyAlignment="1">
      <alignment horizontal="left"/>
    </xf>
    <xf numFmtId="0" fontId="17" fillId="0" borderId="0" xfId="2" applyFont="1" applyFill="1" applyAlignment="1"/>
    <xf numFmtId="11" fontId="0" fillId="0" borderId="0" xfId="0" applyNumberFormat="1" applyAlignment="1"/>
    <xf numFmtId="11" fontId="13" fillId="0" borderId="0" xfId="0" applyNumberFormat="1" applyFont="1"/>
    <xf numFmtId="11" fontId="0" fillId="0" borderId="0" xfId="0" applyNumberFormat="1" applyFill="1"/>
    <xf numFmtId="11" fontId="0" fillId="0" borderId="0" xfId="0" applyNumberFormat="1" applyFill="1" applyAlignment="1"/>
    <xf numFmtId="0" fontId="53" fillId="40" borderId="43" xfId="114" applyFont="1" applyFill="1" applyBorder="1" applyAlignment="1">
      <alignment horizontal="center"/>
    </xf>
    <xf numFmtId="0" fontId="53" fillId="0" borderId="37" xfId="114" applyFont="1" applyFill="1" applyBorder="1" applyAlignment="1"/>
    <xf numFmtId="174" fontId="53" fillId="0" borderId="37" xfId="114" applyNumberFormat="1" applyFont="1" applyFill="1" applyBorder="1" applyAlignment="1">
      <alignment horizontal="right"/>
    </xf>
    <xf numFmtId="0" fontId="53" fillId="0" borderId="37" xfId="114" applyFont="1" applyFill="1" applyBorder="1" applyAlignment="1">
      <alignment horizontal="right"/>
    </xf>
    <xf numFmtId="0" fontId="53" fillId="0" borderId="0" xfId="114" applyAlignment="1"/>
    <xf numFmtId="0" fontId="2" fillId="0" borderId="0" xfId="0" applyFont="1" applyBorder="1"/>
    <xf numFmtId="0" fontId="54" fillId="0" borderId="73" xfId="100" applyFont="1" applyFill="1" applyBorder="1" applyAlignment="1">
      <alignment horizontal="center"/>
    </xf>
    <xf numFmtId="0" fontId="54" fillId="0" borderId="74" xfId="100" applyFont="1" applyFill="1" applyBorder="1" applyAlignment="1">
      <alignment horizontal="center"/>
    </xf>
    <xf numFmtId="0" fontId="54" fillId="0" borderId="61" xfId="100" applyFont="1" applyFill="1" applyBorder="1" applyAlignment="1">
      <alignment horizontal="center"/>
    </xf>
    <xf numFmtId="0" fontId="0" fillId="0" borderId="0" xfId="0" applyFont="1" applyBorder="1"/>
    <xf numFmtId="0" fontId="66" fillId="0" borderId="0" xfId="2" applyFont="1" applyFill="1" applyBorder="1"/>
    <xf numFmtId="0" fontId="67" fillId="0" borderId="0" xfId="2" applyFont="1" applyFill="1" applyBorder="1"/>
    <xf numFmtId="1" fontId="13" fillId="0" borderId="16" xfId="0" applyNumberFormat="1" applyFont="1" applyFill="1" applyBorder="1"/>
    <xf numFmtId="0" fontId="0" fillId="0" borderId="16" xfId="0" applyBorder="1" applyAlignment="1">
      <alignment horizontal="right"/>
    </xf>
    <xf numFmtId="0" fontId="13" fillId="0" borderId="16" xfId="0" applyFont="1" applyBorder="1" applyAlignment="1" applyProtection="1">
      <alignment horizontal="right"/>
      <protection locked="0"/>
    </xf>
    <xf numFmtId="0" fontId="13" fillId="0" borderId="16" xfId="0" applyFont="1" applyBorder="1" applyAlignment="1">
      <alignment horizontal="left" vertical="center"/>
    </xf>
    <xf numFmtId="0" fontId="3" fillId="0" borderId="58" xfId="2" applyFont="1" applyBorder="1" applyAlignment="1" applyProtection="1">
      <alignment vertical="top"/>
      <protection locked="0"/>
    </xf>
    <xf numFmtId="0" fontId="13" fillId="0" borderId="58" xfId="0" applyFont="1" applyBorder="1"/>
    <xf numFmtId="0" fontId="13" fillId="0" borderId="58" xfId="0" applyFont="1" applyBorder="1" applyAlignment="1">
      <alignment vertical="top"/>
    </xf>
    <xf numFmtId="0" fontId="3" fillId="0" borderId="58" xfId="0" applyFont="1" applyBorder="1" applyAlignment="1">
      <alignment vertical="top"/>
    </xf>
    <xf numFmtId="0" fontId="13" fillId="10" borderId="16" xfId="0" applyFont="1" applyFill="1" applyBorder="1" applyAlignment="1" applyProtection="1">
      <alignment horizontal="center" vertical="top"/>
      <protection hidden="1"/>
    </xf>
    <xf numFmtId="0" fontId="3" fillId="0" borderId="70" xfId="2" applyFont="1" applyBorder="1" applyAlignment="1" applyProtection="1">
      <alignment horizontal="left"/>
      <protection locked="0"/>
    </xf>
    <xf numFmtId="0" fontId="3" fillId="0" borderId="59" xfId="2" applyFont="1" applyBorder="1" applyAlignment="1" applyProtection="1">
      <alignment horizontal="left"/>
      <protection locked="0"/>
    </xf>
    <xf numFmtId="0" fontId="3" fillId="0" borderId="75" xfId="2" applyFont="1" applyBorder="1" applyAlignment="1" applyProtection="1">
      <alignment horizontal="left"/>
      <protection locked="0"/>
    </xf>
    <xf numFmtId="0" fontId="0" fillId="0" borderId="0" xfId="0" applyNumberFormat="1"/>
    <xf numFmtId="0" fontId="3" fillId="0" borderId="58" xfId="2" applyFont="1" applyBorder="1" applyProtection="1">
      <protection locked="0"/>
    </xf>
    <xf numFmtId="0" fontId="13" fillId="0" borderId="58" xfId="0" applyFont="1" applyFill="1" applyBorder="1" applyAlignment="1">
      <alignment wrapText="1"/>
    </xf>
    <xf numFmtId="0" fontId="13" fillId="0" borderId="58" xfId="0" applyFont="1" applyBorder="1" applyProtection="1">
      <protection locked="0"/>
    </xf>
    <xf numFmtId="0" fontId="13" fillId="0" borderId="58" xfId="0" applyFont="1" applyFill="1" applyBorder="1" applyProtection="1">
      <protection locked="0"/>
    </xf>
    <xf numFmtId="0" fontId="13" fillId="0" borderId="58" xfId="0" applyFont="1" applyBorder="1" applyAlignment="1" applyProtection="1">
      <alignment horizontal="center"/>
      <protection locked="0"/>
    </xf>
    <xf numFmtId="1" fontId="13" fillId="0" borderId="58" xfId="0" applyNumberFormat="1" applyFont="1" applyFill="1" applyBorder="1"/>
    <xf numFmtId="2" fontId="13" fillId="0" borderId="58" xfId="0" applyNumberFormat="1" applyFont="1" applyFill="1" applyBorder="1"/>
    <xf numFmtId="0" fontId="3" fillId="0" borderId="1" xfId="2" applyFont="1" applyBorder="1" applyAlignment="1" applyProtection="1">
      <protection locked="0"/>
    </xf>
    <xf numFmtId="0" fontId="3" fillId="0" borderId="17" xfId="2" applyFont="1" applyBorder="1" applyAlignment="1" applyProtection="1">
      <protection locked="0"/>
    </xf>
    <xf numFmtId="0" fontId="3" fillId="0" borderId="18" xfId="2" applyFont="1" applyBorder="1" applyProtection="1">
      <protection locked="0"/>
    </xf>
    <xf numFmtId="0" fontId="3" fillId="2" borderId="0" xfId="2" applyFont="1" applyFill="1" applyAlignment="1">
      <alignment horizontal="center"/>
    </xf>
    <xf numFmtId="11" fontId="3" fillId="0" borderId="0" xfId="0" applyNumberFormat="1" applyFont="1"/>
    <xf numFmtId="0" fontId="0" fillId="0" borderId="0" xfId="0" applyNumberFormat="1" applyFill="1"/>
    <xf numFmtId="0" fontId="0" fillId="0" borderId="0" xfId="0" applyNumberFormat="1" applyFill="1" applyAlignment="1"/>
    <xf numFmtId="0" fontId="0" fillId="0" borderId="0" xfId="0" applyNumberFormat="1" applyAlignment="1"/>
    <xf numFmtId="0" fontId="2" fillId="0" borderId="0" xfId="0" applyNumberFormat="1" applyFont="1"/>
    <xf numFmtId="0" fontId="68" fillId="0" borderId="0" xfId="0" applyNumberFormat="1" applyFont="1" applyAlignment="1"/>
    <xf numFmtId="0" fontId="0" fillId="0" borderId="0" xfId="0" applyNumberFormat="1" applyFont="1"/>
    <xf numFmtId="0" fontId="2" fillId="0" borderId="77" xfId="0" applyNumberFormat="1" applyFont="1" applyFill="1" applyBorder="1" applyAlignment="1">
      <alignment wrapText="1"/>
    </xf>
    <xf numFmtId="0" fontId="69" fillId="0" borderId="79" xfId="115" applyFont="1" applyFill="1" applyBorder="1" applyAlignment="1">
      <alignment wrapText="1"/>
    </xf>
    <xf numFmtId="0" fontId="70" fillId="0" borderId="0" xfId="115"/>
    <xf numFmtId="0" fontId="69" fillId="0" borderId="79" xfId="115" applyFont="1" applyFill="1" applyBorder="1" applyAlignment="1">
      <alignment horizontal="right" wrapText="1"/>
    </xf>
    <xf numFmtId="0" fontId="0" fillId="0" borderId="0" xfId="0" pivotButton="1"/>
    <xf numFmtId="0" fontId="0" fillId="0" borderId="0" xfId="0" applyAlignment="1">
      <alignment horizontal="left"/>
    </xf>
    <xf numFmtId="0" fontId="0" fillId="0" borderId="0" xfId="0" quotePrefix="1"/>
    <xf numFmtId="3" fontId="0" fillId="0" borderId="0" xfId="0" applyNumberFormat="1"/>
    <xf numFmtId="0" fontId="0" fillId="44" borderId="0" xfId="0" applyFill="1"/>
    <xf numFmtId="0" fontId="0" fillId="45" borderId="0" xfId="0" applyFill="1"/>
    <xf numFmtId="11" fontId="13" fillId="0" borderId="58" xfId="0" applyNumberFormat="1" applyFont="1" applyFill="1" applyBorder="1"/>
    <xf numFmtId="0" fontId="3" fillId="0" borderId="58" xfId="2" applyFont="1" applyFill="1" applyBorder="1" applyProtection="1">
      <protection locked="0"/>
    </xf>
    <xf numFmtId="0" fontId="13" fillId="0" borderId="58" xfId="0" applyFont="1" applyFill="1" applyBorder="1"/>
    <xf numFmtId="0" fontId="3" fillId="0" borderId="58" xfId="2" applyBorder="1" applyAlignment="1" applyProtection="1">
      <alignment horizontal="center" vertical="top"/>
      <protection locked="0"/>
    </xf>
    <xf numFmtId="22" fontId="0" fillId="0" borderId="0" xfId="0" applyNumberFormat="1"/>
    <xf numFmtId="0" fontId="50" fillId="12" borderId="0" xfId="0" applyFont="1" applyFill="1"/>
    <xf numFmtId="0" fontId="0" fillId="12" borderId="0" xfId="0" applyFill="1"/>
    <xf numFmtId="0" fontId="2" fillId="12" borderId="0" xfId="0" applyFont="1" applyFill="1"/>
    <xf numFmtId="0" fontId="2" fillId="46" borderId="0" xfId="0" applyFont="1" applyFill="1"/>
    <xf numFmtId="0" fontId="69" fillId="40" borderId="78" xfId="115" applyFont="1" applyFill="1" applyBorder="1" applyAlignment="1">
      <alignment horizontal="center" wrapText="1"/>
    </xf>
    <xf numFmtId="0" fontId="29" fillId="40" borderId="78" xfId="115" applyFont="1" applyFill="1" applyBorder="1" applyAlignment="1">
      <alignment horizontal="center" wrapText="1"/>
    </xf>
    <xf numFmtId="0" fontId="3" fillId="0" borderId="16" xfId="2" applyBorder="1" applyAlignment="1" applyProtection="1">
      <alignment horizontal="center" vertical="top" wrapText="1"/>
      <protection locked="0"/>
    </xf>
    <xf numFmtId="0" fontId="13" fillId="0" borderId="83" xfId="0" applyFont="1" applyBorder="1"/>
    <xf numFmtId="0" fontId="13" fillId="0" borderId="83" xfId="0" applyFont="1" applyBorder="1" applyAlignment="1" applyProtection="1">
      <alignment horizontal="center"/>
      <protection locked="0"/>
    </xf>
    <xf numFmtId="0" fontId="3" fillId="0" borderId="83" xfId="2" applyFont="1" applyBorder="1"/>
    <xf numFmtId="0" fontId="3" fillId="0" borderId="83" xfId="2" applyBorder="1"/>
    <xf numFmtId="0" fontId="3" fillId="5" borderId="83" xfId="2" applyFont="1" applyFill="1" applyBorder="1" applyAlignment="1">
      <alignment horizontal="left" wrapText="1"/>
    </xf>
    <xf numFmtId="0" fontId="71" fillId="40" borderId="78" xfId="116" applyFont="1" applyFill="1" applyBorder="1" applyAlignment="1">
      <alignment horizontal="center"/>
    </xf>
    <xf numFmtId="0" fontId="71" fillId="0" borderId="79" xfId="116" applyFont="1" applyFill="1" applyBorder="1" applyAlignment="1">
      <alignment wrapText="1"/>
    </xf>
    <xf numFmtId="0" fontId="71" fillId="0" borderId="79" xfId="116" applyFont="1" applyFill="1" applyBorder="1" applyAlignment="1">
      <alignment horizontal="right" wrapText="1"/>
    </xf>
    <xf numFmtId="2" fontId="0" fillId="0" borderId="0" xfId="0" applyNumberFormat="1"/>
    <xf numFmtId="0" fontId="0" fillId="6" borderId="0" xfId="0" applyFill="1"/>
    <xf numFmtId="1" fontId="0" fillId="0" borderId="0" xfId="0" applyNumberFormat="1"/>
    <xf numFmtId="0" fontId="3" fillId="5" borderId="58" xfId="0" applyFont="1" applyFill="1" applyBorder="1" applyAlignment="1" applyProtection="1">
      <alignment vertical="top"/>
      <protection locked="0"/>
    </xf>
    <xf numFmtId="0" fontId="3" fillId="5" borderId="59" xfId="2" applyFont="1" applyFill="1" applyBorder="1" applyAlignment="1">
      <alignment horizontal="left" vertical="center" wrapText="1"/>
    </xf>
    <xf numFmtId="0" fontId="3" fillId="5" borderId="76" xfId="2" applyFont="1" applyFill="1" applyBorder="1" applyAlignment="1">
      <alignment horizontal="left" vertical="center" wrapText="1"/>
    </xf>
    <xf numFmtId="0" fontId="3" fillId="2" borderId="0" xfId="2" applyFont="1" applyFill="1" applyAlignment="1">
      <alignment horizontal="left" wrapText="1"/>
    </xf>
    <xf numFmtId="0" fontId="3" fillId="2" borderId="0" xfId="2" applyFont="1" applyFill="1" applyAlignment="1">
      <alignment horizontal="left" vertical="center" wrapText="1"/>
    </xf>
    <xf numFmtId="0" fontId="5" fillId="5" borderId="8" xfId="2" applyFont="1" applyFill="1" applyBorder="1" applyAlignment="1">
      <alignment horizontal="center" vertical="center" textRotation="90"/>
    </xf>
    <xf numFmtId="0" fontId="5" fillId="5" borderId="12" xfId="2" applyFont="1" applyFill="1" applyBorder="1" applyAlignment="1">
      <alignment horizontal="center" vertical="center" textRotation="90"/>
    </xf>
    <xf numFmtId="0" fontId="3" fillId="5" borderId="10" xfId="2" applyFont="1" applyFill="1" applyBorder="1" applyAlignment="1">
      <alignment horizontal="left" vertical="center" wrapText="1"/>
    </xf>
    <xf numFmtId="0" fontId="3" fillId="5" borderId="11" xfId="2" applyFont="1" applyFill="1" applyBorder="1" applyAlignment="1">
      <alignment horizontal="left" vertical="center" wrapText="1"/>
    </xf>
    <xf numFmtId="0" fontId="3" fillId="5" borderId="14" xfId="2" applyFont="1" applyFill="1" applyBorder="1" applyAlignment="1">
      <alignment horizontal="left" vertical="center" wrapText="1"/>
    </xf>
    <xf numFmtId="0" fontId="3" fillId="5" borderId="15" xfId="2" applyFont="1" applyFill="1" applyBorder="1" applyAlignment="1">
      <alignment horizontal="left" vertical="center" wrapText="1"/>
    </xf>
    <xf numFmtId="0" fontId="4" fillId="2" borderId="0" xfId="2" applyFont="1" applyFill="1" applyAlignment="1">
      <alignment horizontal="center"/>
    </xf>
    <xf numFmtId="0" fontId="5" fillId="3" borderId="2" xfId="2" applyFont="1" applyFill="1" applyBorder="1" applyAlignment="1">
      <alignment horizontal="left" vertical="center" wrapText="1"/>
    </xf>
    <xf numFmtId="0" fontId="5" fillId="3" borderId="3" xfId="2" applyFont="1" applyFill="1" applyBorder="1" applyAlignment="1">
      <alignment horizontal="left" vertical="center" wrapText="1"/>
    </xf>
    <xf numFmtId="0" fontId="5" fillId="3" borderId="4" xfId="2" applyFont="1" applyFill="1" applyBorder="1" applyAlignment="1">
      <alignment horizontal="left" vertical="center" wrapText="1"/>
    </xf>
    <xf numFmtId="0" fontId="3" fillId="3" borderId="2" xfId="2" applyFont="1" applyFill="1" applyBorder="1" applyAlignment="1">
      <alignment horizontal="left" vertical="center" wrapText="1"/>
    </xf>
    <xf numFmtId="0" fontId="3" fillId="3" borderId="3" xfId="2" applyFont="1" applyFill="1" applyBorder="1" applyAlignment="1">
      <alignment horizontal="left" vertical="center" wrapText="1"/>
    </xf>
    <xf numFmtId="0" fontId="3" fillId="3" borderId="4" xfId="2" applyFont="1" applyFill="1" applyBorder="1" applyAlignment="1">
      <alignment horizontal="left" vertical="center" wrapText="1"/>
    </xf>
    <xf numFmtId="0" fontId="5" fillId="4" borderId="5" xfId="2" applyFont="1" applyFill="1" applyBorder="1" applyAlignment="1">
      <alignment horizontal="center" vertical="center" textRotation="90"/>
    </xf>
    <xf numFmtId="0" fontId="5" fillId="4" borderId="8" xfId="2" applyFont="1" applyFill="1" applyBorder="1" applyAlignment="1">
      <alignment horizontal="center" vertical="center" textRotation="90"/>
    </xf>
    <xf numFmtId="0" fontId="3" fillId="4" borderId="6" xfId="2" applyFont="1" applyFill="1" applyBorder="1" applyAlignment="1">
      <alignment horizontal="left" vertical="center" wrapText="1"/>
    </xf>
    <xf numFmtId="0" fontId="3" fillId="4" borderId="7" xfId="2" applyFont="1" applyFill="1" applyBorder="1" applyAlignment="1">
      <alignment horizontal="left" vertical="center" wrapText="1"/>
    </xf>
    <xf numFmtId="0" fontId="3" fillId="4" borderId="10" xfId="2" applyFont="1" applyFill="1" applyBorder="1" applyAlignment="1">
      <alignment horizontal="left" vertical="center" wrapText="1"/>
    </xf>
    <xf numFmtId="0" fontId="3" fillId="4" borderId="11" xfId="2" applyFont="1" applyFill="1" applyBorder="1" applyAlignment="1">
      <alignment horizontal="left" vertical="center" wrapText="1"/>
    </xf>
    <xf numFmtId="0" fontId="3" fillId="0" borderId="1" xfId="2" applyFont="1" applyBorder="1" applyAlignment="1" applyProtection="1">
      <alignment horizontal="left"/>
      <protection locked="0"/>
    </xf>
    <xf numFmtId="0" fontId="3" fillId="0" borderId="10" xfId="2" applyFont="1" applyBorder="1" applyAlignment="1" applyProtection="1">
      <alignment horizontal="left"/>
      <protection locked="0"/>
    </xf>
    <xf numFmtId="0" fontId="3" fillId="0" borderId="17" xfId="2" applyFont="1" applyBorder="1" applyAlignment="1" applyProtection="1">
      <alignment horizontal="left"/>
      <protection locked="0"/>
    </xf>
    <xf numFmtId="0" fontId="3" fillId="0" borderId="70" xfId="2" applyFont="1" applyBorder="1" applyAlignment="1" applyProtection="1">
      <alignment horizontal="left"/>
      <protection locked="0"/>
    </xf>
    <xf numFmtId="0" fontId="3" fillId="0" borderId="59" xfId="2" applyFont="1" applyBorder="1" applyAlignment="1" applyProtection="1">
      <alignment horizontal="left"/>
      <protection locked="0"/>
    </xf>
    <xf numFmtId="0" fontId="3" fillId="0" borderId="75" xfId="2" applyFont="1" applyBorder="1" applyAlignment="1" applyProtection="1">
      <alignment horizontal="left"/>
      <protection locked="0"/>
    </xf>
    <xf numFmtId="0" fontId="3" fillId="0" borderId="16" xfId="0" applyFont="1" applyBorder="1" applyAlignment="1" applyProtection="1">
      <alignment horizontal="left" vertical="top" wrapText="1"/>
      <protection locked="0"/>
    </xf>
    <xf numFmtId="0" fontId="9" fillId="0" borderId="2" xfId="2" applyFont="1" applyBorder="1" applyAlignment="1">
      <alignment horizontal="center"/>
    </xf>
    <xf numFmtId="0" fontId="9" fillId="0" borderId="3" xfId="2" applyFont="1" applyBorder="1" applyAlignment="1">
      <alignment horizontal="center"/>
    </xf>
    <xf numFmtId="0" fontId="9" fillId="0" borderId="4" xfId="2" applyFont="1" applyBorder="1" applyAlignment="1">
      <alignment horizontal="center"/>
    </xf>
    <xf numFmtId="0" fontId="13" fillId="0" borderId="70" xfId="0" applyFont="1" applyFill="1" applyBorder="1"/>
    <xf numFmtId="0" fontId="13" fillId="0" borderId="59" xfId="0" applyFont="1" applyFill="1" applyBorder="1"/>
    <xf numFmtId="0" fontId="13" fillId="0" borderId="75" xfId="0" applyFont="1" applyFill="1" applyBorder="1"/>
    <xf numFmtId="0" fontId="5" fillId="3" borderId="16" xfId="2" applyFont="1" applyFill="1" applyBorder="1" applyAlignment="1">
      <alignment horizontal="center"/>
    </xf>
    <xf numFmtId="0" fontId="6" fillId="0" borderId="16" xfId="0" applyFont="1" applyBorder="1" applyAlignment="1" applyProtection="1">
      <alignment horizontal="left" vertical="top" wrapText="1"/>
      <protection locked="0"/>
    </xf>
    <xf numFmtId="0" fontId="3" fillId="9" borderId="16" xfId="2" applyFill="1" applyBorder="1" applyAlignment="1">
      <alignment horizontal="center" vertical="top" wrapText="1"/>
    </xf>
    <xf numFmtId="0" fontId="5" fillId="3" borderId="1" xfId="2" applyFont="1" applyFill="1" applyBorder="1" applyAlignment="1">
      <alignment horizontal="left" vertical="center"/>
    </xf>
    <xf numFmtId="0" fontId="5" fillId="3" borderId="17" xfId="2" applyFont="1" applyFill="1" applyBorder="1" applyAlignment="1">
      <alignment horizontal="left" vertical="center"/>
    </xf>
    <xf numFmtId="0" fontId="3" fillId="0" borderId="16" xfId="2" applyBorder="1" applyAlignment="1" applyProtection="1">
      <alignment horizontal="center"/>
      <protection locked="0"/>
    </xf>
    <xf numFmtId="0" fontId="5" fillId="3" borderId="1" xfId="2" applyFont="1" applyFill="1" applyBorder="1" applyAlignment="1">
      <alignment horizontal="center"/>
    </xf>
    <xf numFmtId="0" fontId="5" fillId="3" borderId="10" xfId="2" applyFont="1" applyFill="1" applyBorder="1" applyAlignment="1">
      <alignment horizontal="center"/>
    </xf>
    <xf numFmtId="0" fontId="5" fillId="3" borderId="17" xfId="2" applyFont="1" applyFill="1" applyBorder="1" applyAlignment="1">
      <alignment horizontal="center"/>
    </xf>
    <xf numFmtId="0" fontId="5" fillId="3" borderId="16" xfId="2" applyFont="1" applyFill="1" applyBorder="1" applyAlignment="1">
      <alignment horizontal="left"/>
    </xf>
    <xf numFmtId="0" fontId="3" fillId="0" borderId="16" xfId="2" applyBorder="1" applyAlignment="1" applyProtection="1">
      <alignment horizontal="left"/>
      <protection locked="0"/>
    </xf>
    <xf numFmtId="0" fontId="11" fillId="8" borderId="22" xfId="0" applyFont="1" applyFill="1" applyBorder="1" applyAlignment="1">
      <alignment horizontal="left" vertical="top" wrapText="1" readingOrder="1"/>
    </xf>
    <xf numFmtId="0" fontId="11" fillId="8" borderId="0" xfId="0" applyFont="1" applyFill="1" applyBorder="1" applyAlignment="1">
      <alignment horizontal="left" vertical="top" wrapText="1" readingOrder="1"/>
    </xf>
    <xf numFmtId="0" fontId="11" fillId="8" borderId="23" xfId="0" applyFont="1" applyFill="1" applyBorder="1" applyAlignment="1">
      <alignment horizontal="left" vertical="top" wrapText="1" readingOrder="1"/>
    </xf>
    <xf numFmtId="0" fontId="3" fillId="7" borderId="16" xfId="2" applyFont="1" applyFill="1" applyBorder="1" applyAlignment="1" applyProtection="1">
      <alignment horizontal="left"/>
      <protection locked="0"/>
    </xf>
    <xf numFmtId="0" fontId="5" fillId="3" borderId="1" xfId="2" applyFont="1" applyFill="1" applyBorder="1" applyAlignment="1">
      <alignment horizontal="left" vertical="top"/>
    </xf>
    <xf numFmtId="0" fontId="5" fillId="3" borderId="17" xfId="2" applyFont="1" applyFill="1" applyBorder="1" applyAlignment="1">
      <alignment horizontal="left" vertical="top"/>
    </xf>
    <xf numFmtId="0" fontId="3" fillId="0" borderId="1" xfId="2" applyFont="1" applyBorder="1" applyAlignment="1" applyProtection="1">
      <alignment horizontal="left" vertical="top" wrapText="1"/>
      <protection locked="0"/>
    </xf>
    <xf numFmtId="0" fontId="3" fillId="0" borderId="10" xfId="2" applyFont="1" applyBorder="1" applyAlignment="1" applyProtection="1">
      <alignment horizontal="left" vertical="top" wrapText="1"/>
      <protection locked="0"/>
    </xf>
    <xf numFmtId="0" fontId="3" fillId="0" borderId="17" xfId="2" applyFont="1" applyBorder="1" applyAlignment="1" applyProtection="1">
      <alignment horizontal="left" vertical="top" wrapText="1"/>
      <protection locked="0"/>
    </xf>
    <xf numFmtId="0" fontId="3" fillId="0" borderId="1" xfId="2" applyBorder="1" applyAlignment="1" applyProtection="1">
      <alignment horizontal="left"/>
      <protection locked="0"/>
    </xf>
    <xf numFmtId="0" fontId="3" fillId="0" borderId="17" xfId="2" applyBorder="1" applyAlignment="1" applyProtection="1">
      <alignment horizontal="left"/>
      <protection locked="0"/>
    </xf>
    <xf numFmtId="0" fontId="5" fillId="3" borderId="1" xfId="2" applyFont="1" applyFill="1" applyBorder="1" applyAlignment="1">
      <alignment horizontal="left"/>
    </xf>
    <xf numFmtId="0" fontId="5" fillId="3" borderId="17" xfId="2" applyFont="1" applyFill="1" applyBorder="1" applyAlignment="1">
      <alignment horizontal="left"/>
    </xf>
    <xf numFmtId="0" fontId="3" fillId="2" borderId="0" xfId="2" applyFill="1" applyAlignment="1">
      <alignment horizontal="left"/>
    </xf>
    <xf numFmtId="0" fontId="3" fillId="2" borderId="0" xfId="2" applyFill="1" applyAlignment="1">
      <alignment horizontal="center"/>
    </xf>
    <xf numFmtId="0" fontId="3" fillId="0" borderId="80" xfId="0" applyFont="1" applyBorder="1" applyAlignment="1" applyProtection="1">
      <alignment horizontal="left" vertical="top" wrapText="1"/>
      <protection locked="0"/>
    </xf>
    <xf numFmtId="0" fontId="3" fillId="0" borderId="81" xfId="0" applyFont="1" applyBorder="1" applyAlignment="1" applyProtection="1">
      <alignment horizontal="left" vertical="top" wrapText="1"/>
      <protection locked="0"/>
    </xf>
    <xf numFmtId="0" fontId="3" fillId="0" borderId="82" xfId="0" applyFont="1" applyBorder="1" applyAlignment="1" applyProtection="1">
      <alignment horizontal="left" vertical="top" wrapText="1"/>
      <protection locked="0"/>
    </xf>
    <xf numFmtId="0" fontId="0" fillId="0" borderId="20" xfId="0" applyNumberFormat="1" applyBorder="1" applyAlignment="1" applyProtection="1">
      <alignment wrapText="1"/>
      <protection locked="0"/>
    </xf>
    <xf numFmtId="0" fontId="5" fillId="0" borderId="1" xfId="0" applyFont="1" applyBorder="1" applyAlignment="1">
      <alignment horizontal="left" vertical="center" wrapText="1"/>
    </xf>
    <xf numFmtId="0" fontId="5" fillId="0" borderId="10" xfId="0" applyFont="1" applyBorder="1" applyAlignment="1">
      <alignment horizontal="left" vertical="center" wrapText="1"/>
    </xf>
    <xf numFmtId="0" fontId="5" fillId="0" borderId="17" xfId="0" applyFont="1" applyBorder="1" applyAlignment="1">
      <alignment horizontal="left" vertical="center" wrapText="1"/>
    </xf>
    <xf numFmtId="0" fontId="5" fillId="0" borderId="19" xfId="0" applyFont="1" applyFill="1" applyBorder="1" applyAlignment="1">
      <alignment horizontal="left" vertical="center" wrapText="1"/>
    </xf>
    <xf numFmtId="0" fontId="5" fillId="0" borderId="20" xfId="0" applyFont="1" applyFill="1" applyBorder="1" applyAlignment="1">
      <alignment horizontal="left" vertical="center" wrapText="1"/>
    </xf>
    <xf numFmtId="0" fontId="5" fillId="0" borderId="21"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3" fillId="0" borderId="9" xfId="0" applyFont="1" applyFill="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21" xfId="0" applyFont="1" applyBorder="1" applyAlignment="1">
      <alignment horizontal="left" vertical="center" wrapText="1"/>
    </xf>
    <xf numFmtId="0" fontId="3" fillId="0" borderId="24" xfId="0" applyFont="1" applyBorder="1" applyAlignment="1">
      <alignment horizontal="left" wrapText="1"/>
    </xf>
    <xf numFmtId="0" fontId="3" fillId="0" borderId="9" xfId="0" applyFont="1" applyBorder="1" applyAlignment="1">
      <alignment horizontal="left" wrapText="1"/>
    </xf>
    <xf numFmtId="0" fontId="3" fillId="0" borderId="22" xfId="0" applyFont="1" applyBorder="1" applyAlignment="1">
      <alignment horizontal="left" vertical="center" wrapText="1"/>
    </xf>
    <xf numFmtId="0" fontId="3" fillId="0" borderId="0" xfId="0" applyFont="1" applyBorder="1" applyAlignment="1">
      <alignment horizontal="left" vertical="center" wrapText="1"/>
    </xf>
    <xf numFmtId="0" fontId="3" fillId="0" borderId="23" xfId="0" applyFont="1" applyBorder="1" applyAlignment="1">
      <alignment horizontal="left" vertical="center" wrapText="1"/>
    </xf>
    <xf numFmtId="0" fontId="3" fillId="0" borderId="24" xfId="0" applyFont="1" applyBorder="1" applyAlignment="1">
      <alignment horizontal="left" vertical="center" wrapText="1"/>
    </xf>
    <xf numFmtId="0" fontId="3" fillId="0" borderId="9" xfId="0" applyFont="1" applyBorder="1" applyAlignment="1">
      <alignment horizontal="left" vertical="center" wrapText="1"/>
    </xf>
    <xf numFmtId="0" fontId="3" fillId="0" borderId="25" xfId="0" applyFont="1" applyBorder="1" applyAlignment="1">
      <alignment horizontal="left" vertical="center" wrapText="1"/>
    </xf>
    <xf numFmtId="0" fontId="17" fillId="0" borderId="0" xfId="2" applyFont="1" applyFill="1" applyAlignment="1">
      <alignment horizontal="center"/>
    </xf>
    <xf numFmtId="0" fontId="5" fillId="0" borderId="16" xfId="2" applyFont="1" applyFill="1" applyBorder="1" applyAlignment="1">
      <alignment horizontal="left" wrapText="1"/>
    </xf>
    <xf numFmtId="0" fontId="5" fillId="10" borderId="27" xfId="2" applyFont="1" applyFill="1" applyBorder="1" applyAlignment="1">
      <alignment horizontal="center" wrapText="1"/>
    </xf>
    <xf numFmtId="0" fontId="5" fillId="10" borderId="28" xfId="2" applyFont="1" applyFill="1" applyBorder="1" applyAlignment="1">
      <alignment horizontal="center" wrapText="1"/>
    </xf>
    <xf numFmtId="0" fontId="5" fillId="10" borderId="2" xfId="2" applyFont="1" applyFill="1" applyBorder="1" applyAlignment="1">
      <alignment horizontal="center"/>
    </xf>
    <xf numFmtId="0" fontId="5" fillId="10" borderId="3" xfId="2" applyFont="1" applyFill="1" applyBorder="1" applyAlignment="1">
      <alignment horizontal="center"/>
    </xf>
    <xf numFmtId="0" fontId="5" fillId="10" borderId="4" xfId="2" applyFont="1" applyFill="1" applyBorder="1" applyAlignment="1">
      <alignment horizontal="center"/>
    </xf>
    <xf numFmtId="0" fontId="5" fillId="0" borderId="27" xfId="2" applyFont="1" applyBorder="1" applyAlignment="1">
      <alignment horizontal="center" wrapText="1"/>
    </xf>
    <xf numFmtId="0" fontId="5" fillId="0" borderId="30" xfId="2" applyFont="1" applyBorder="1" applyAlignment="1">
      <alignment horizontal="center" wrapText="1"/>
    </xf>
    <xf numFmtId="0" fontId="5" fillId="0" borderId="28" xfId="2" applyFont="1" applyBorder="1" applyAlignment="1">
      <alignment horizontal="center" wrapText="1"/>
    </xf>
    <xf numFmtId="0" fontId="22" fillId="0" borderId="2" xfId="2" applyFont="1" applyBorder="1" applyAlignment="1">
      <alignment wrapText="1"/>
    </xf>
    <xf numFmtId="0" fontId="22" fillId="0" borderId="4" xfId="2" applyFont="1" applyBorder="1" applyAlignment="1">
      <alignment wrapText="1"/>
    </xf>
    <xf numFmtId="0" fontId="22" fillId="0" borderId="3" xfId="2" applyFont="1" applyBorder="1" applyAlignment="1">
      <alignment wrapText="1"/>
    </xf>
    <xf numFmtId="0" fontId="23" fillId="0" borderId="2" xfId="2" applyFont="1" applyBorder="1" applyAlignment="1">
      <alignment wrapText="1"/>
    </xf>
    <xf numFmtId="0" fontId="23" fillId="0" borderId="4" xfId="2" applyFont="1" applyBorder="1" applyAlignment="1">
      <alignment wrapText="1"/>
    </xf>
    <xf numFmtId="0" fontId="23" fillId="0" borderId="2" xfId="2" applyFont="1" applyBorder="1"/>
    <xf numFmtId="0" fontId="23" fillId="0" borderId="4" xfId="2" applyFont="1" applyBorder="1"/>
    <xf numFmtId="0" fontId="2" fillId="46" borderId="0" xfId="0" applyFont="1" applyFill="1" applyAlignment="1">
      <alignment horizontal="center" wrapText="1"/>
    </xf>
    <xf numFmtId="0" fontId="13" fillId="6" borderId="0" xfId="2" applyFont="1" applyFill="1" applyBorder="1" applyAlignment="1">
      <alignment horizontal="center"/>
    </xf>
    <xf numFmtId="0" fontId="0" fillId="0" borderId="0" xfId="0" applyAlignment="1">
      <alignment horizontal="center" vertical="center"/>
    </xf>
    <xf numFmtId="0" fontId="10" fillId="0" borderId="0" xfId="2" applyFont="1" applyAlignment="1">
      <alignment horizontal="center"/>
    </xf>
    <xf numFmtId="0" fontId="5" fillId="0" borderId="9" xfId="2" applyFont="1" applyBorder="1" applyAlignment="1">
      <alignment horizontal="center"/>
    </xf>
    <xf numFmtId="0" fontId="0" fillId="0" borderId="10" xfId="0" applyBorder="1" applyAlignment="1">
      <alignment horizontal="left" vertical="center" wrapText="1"/>
    </xf>
    <xf numFmtId="0" fontId="0" fillId="0" borderId="10" xfId="0" applyFont="1" applyBorder="1" applyAlignment="1">
      <alignment horizontal="left" vertical="center" wrapText="1"/>
    </xf>
    <xf numFmtId="0" fontId="0" fillId="0" borderId="59" xfId="0" applyBorder="1" applyAlignment="1">
      <alignment horizontal="left" vertical="center" wrapText="1"/>
    </xf>
    <xf numFmtId="0" fontId="0" fillId="0" borderId="59" xfId="0" applyFont="1" applyBorder="1" applyAlignment="1">
      <alignment horizontal="left" vertical="center" wrapText="1"/>
    </xf>
  </cellXfs>
  <cellStyles count="117">
    <cellStyle name="20% - Accent1 2" xfId="4"/>
    <cellStyle name="20% - Accent1 2 2" xfId="5"/>
    <cellStyle name="20% - Accent2 2" xfId="6"/>
    <cellStyle name="20% - Accent2 2 2" xfId="7"/>
    <cellStyle name="20% - Accent3 2" xfId="8"/>
    <cellStyle name="20% - Accent3 2 2" xfId="9"/>
    <cellStyle name="20% - Accent4 2" xfId="10"/>
    <cellStyle name="20% - Accent4 2 2" xfId="11"/>
    <cellStyle name="20% - Accent5 2" xfId="12"/>
    <cellStyle name="20% - Accent5 2 2" xfId="13"/>
    <cellStyle name="20% - Accent6 2" xfId="14"/>
    <cellStyle name="20% - Accent6 2 2" xfId="15"/>
    <cellStyle name="40% - Accent1 2" xfId="16"/>
    <cellStyle name="40% - Accent1 2 2" xfId="17"/>
    <cellStyle name="40% - Accent2 2" xfId="18"/>
    <cellStyle name="40% - Accent2 2 2" xfId="19"/>
    <cellStyle name="40% - Accent3 2" xfId="20"/>
    <cellStyle name="40% - Accent3 2 2" xfId="21"/>
    <cellStyle name="40% - Accent4 2" xfId="22"/>
    <cellStyle name="40% - Accent4 2 2" xfId="23"/>
    <cellStyle name="40% - Accent5 2" xfId="24"/>
    <cellStyle name="40% - Accent5 2 2" xfId="25"/>
    <cellStyle name="40% - Accent6 2" xfId="26"/>
    <cellStyle name="40% - Accent6 2 2" xfId="27"/>
    <cellStyle name="60% - Accent1 2" xfId="28"/>
    <cellStyle name="60% - Accent2 2" xfId="29"/>
    <cellStyle name="60% - Accent3 2" xfId="30"/>
    <cellStyle name="60% - Accent4 2" xfId="31"/>
    <cellStyle name="60% - Accent5 2" xfId="32"/>
    <cellStyle name="60% - Accent6 2" xfId="33"/>
    <cellStyle name="Accent1 2" xfId="34"/>
    <cellStyle name="Accent2 2" xfId="35"/>
    <cellStyle name="Accent3 2" xfId="36"/>
    <cellStyle name="Accent4 2" xfId="37"/>
    <cellStyle name="Accent5 2" xfId="38"/>
    <cellStyle name="Accent6 2" xfId="39"/>
    <cellStyle name="Bad 2" xfId="40"/>
    <cellStyle name="Calculation 2" xfId="41"/>
    <cellStyle name="Check Cell 2" xfId="42"/>
    <cellStyle name="Comma" xfId="1" builtinId="3"/>
    <cellStyle name="Comma 2" xfId="43"/>
    <cellStyle name="DateTime" xfId="44"/>
    <cellStyle name="DateTime 2" xfId="45"/>
    <cellStyle name="Default_Free" xfId="102"/>
    <cellStyle name="Euro" xfId="46"/>
    <cellStyle name="Explanatory Text 2" xfId="47"/>
    <cellStyle name="GHG First" xfId="103"/>
    <cellStyle name="GHG Second" xfId="104"/>
    <cellStyle name="GHG Third" xfId="105"/>
    <cellStyle name="GHG_Title" xfId="106"/>
    <cellStyle name="Good 2" xfId="48"/>
    <cellStyle name="Heading 1 2" xfId="49"/>
    <cellStyle name="Heading 2 2" xfId="50"/>
    <cellStyle name="Heading 3 2" xfId="51"/>
    <cellStyle name="Heading 4 2" xfId="52"/>
    <cellStyle name="Hyperlink" xfId="3" builtinId="8"/>
    <cellStyle name="Hyperlink 2" xfId="53"/>
    <cellStyle name="Hyperlink 3" xfId="107"/>
    <cellStyle name="Input 2" xfId="54"/>
    <cellStyle name="Linked Cell 2" xfId="55"/>
    <cellStyle name="Neutral 2" xfId="56"/>
    <cellStyle name="Normal" xfId="0" builtinId="0"/>
    <cellStyle name="Normal 2" xfId="2"/>
    <cellStyle name="Normal 3" xfId="57"/>
    <cellStyle name="Normal 4" xfId="108"/>
    <cellStyle name="Normal 67" xfId="112"/>
    <cellStyle name="Normal_Crude_Tank_Spec." xfId="100"/>
    <cellStyle name="Normal_Reference Source Info" xfId="113"/>
    <cellStyle name="Normal_Sheet1" xfId="115"/>
    <cellStyle name="Normal_Sheet3" xfId="99"/>
    <cellStyle name="Normal_Speciate" xfId="114"/>
    <cellStyle name="Normal_Water throughput" xfId="116"/>
    <cellStyle name="Normal_Well" xfId="101"/>
    <cellStyle name="Note 2" xfId="58"/>
    <cellStyle name="Note 2 2" xfId="59"/>
    <cellStyle name="Output 2" xfId="60"/>
    <cellStyle name="Percent 2" xfId="61"/>
    <cellStyle name="Percent 2 2" xfId="62"/>
    <cellStyle name="Percent 2 3" xfId="63"/>
    <cellStyle name="Percent 3" xfId="109"/>
    <cellStyle name="Source Text" xfId="98"/>
    <cellStyle name="Standard_Bsp-Datenaustausch_S&amp;U" xfId="64"/>
    <cellStyle name="Style 21" xfId="65"/>
    <cellStyle name="Style 22" xfId="66"/>
    <cellStyle name="Style 23" xfId="67"/>
    <cellStyle name="Style 23 2" xfId="68"/>
    <cellStyle name="Style 24" xfId="69"/>
    <cellStyle name="Style 24 2" xfId="70"/>
    <cellStyle name="Style 25" xfId="71"/>
    <cellStyle name="Style 25 2" xfId="72"/>
    <cellStyle name="Style 26" xfId="73"/>
    <cellStyle name="Style 26 2" xfId="74"/>
    <cellStyle name="Style 27" xfId="75"/>
    <cellStyle name="Style 27 2" xfId="76"/>
    <cellStyle name="Style 28" xfId="77"/>
    <cellStyle name="Style 28 2" xfId="78"/>
    <cellStyle name="Style 29" xfId="79"/>
    <cellStyle name="Style 29 2" xfId="80"/>
    <cellStyle name="Style 30" xfId="81"/>
    <cellStyle name="Style 30 2" xfId="82"/>
    <cellStyle name="Style 31" xfId="83"/>
    <cellStyle name="Style 31 2" xfId="84"/>
    <cellStyle name="Style 32" xfId="85"/>
    <cellStyle name="Style 32 2" xfId="86"/>
    <cellStyle name="Style 33" xfId="87"/>
    <cellStyle name="Style 33 2" xfId="88"/>
    <cellStyle name="Style 34" xfId="89"/>
    <cellStyle name="Style 35" xfId="90"/>
    <cellStyle name="Style 36" xfId="91"/>
    <cellStyle name="Table_Body" xfId="110"/>
    <cellStyle name="text" xfId="92"/>
    <cellStyle name="Title 2" xfId="93"/>
    <cellStyle name="Total 2" xfId="94"/>
    <cellStyle name="User_Free" xfId="111"/>
    <cellStyle name="Warning Text 2" xfId="95"/>
    <cellStyle name="wissenschaft-Eingabe" xfId="96"/>
    <cellStyle name="wissenschaft-Eingabe 2" xfId="97"/>
  </cellStyles>
  <dxfs count="13">
    <dxf>
      <fill>
        <patternFill>
          <bgColor theme="8" tint="0.39994506668294322"/>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ndense val="0"/>
        <extend val="0"/>
        <color indexed="44"/>
      </font>
    </dxf>
    <dxf>
      <font>
        <condense val="0"/>
        <extend val="0"/>
        <color indexed="9"/>
      </font>
    </dxf>
    <dxf>
      <font>
        <condense val="0"/>
        <extend val="0"/>
        <color indexed="44"/>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4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Rates'!$R$167:$R$306</c:f>
              <c:numCache>
                <c:formatCode>0.00E+00</c:formatCode>
                <c:ptCount val="140"/>
                <c:pt idx="0">
                  <c:v>1.0107544054806504E-3</c:v>
                </c:pt>
                <c:pt idx="1">
                  <c:v>0</c:v>
                </c:pt>
                <c:pt idx="2">
                  <c:v>0</c:v>
                </c:pt>
                <c:pt idx="3">
                  <c:v>0</c:v>
                </c:pt>
                <c:pt idx="4">
                  <c:v>1.3420813766230192E-3</c:v>
                </c:pt>
                <c:pt idx="5">
                  <c:v>0</c:v>
                </c:pt>
                <c:pt idx="6">
                  <c:v>0</c:v>
                </c:pt>
                <c:pt idx="7">
                  <c:v>1.148810965906919E-2</c:v>
                </c:pt>
                <c:pt idx="8">
                  <c:v>0</c:v>
                </c:pt>
                <c:pt idx="9">
                  <c:v>0</c:v>
                </c:pt>
                <c:pt idx="10">
                  <c:v>0</c:v>
                </c:pt>
                <c:pt idx="11">
                  <c:v>0</c:v>
                </c:pt>
                <c:pt idx="12">
                  <c:v>1.6490107488455693E-4</c:v>
                </c:pt>
                <c:pt idx="13">
                  <c:v>0</c:v>
                </c:pt>
                <c:pt idx="14">
                  <c:v>0</c:v>
                </c:pt>
                <c:pt idx="15">
                  <c:v>0</c:v>
                </c:pt>
                <c:pt idx="16">
                  <c:v>0</c:v>
                </c:pt>
                <c:pt idx="17">
                  <c:v>0</c:v>
                </c:pt>
                <c:pt idx="18">
                  <c:v>0</c:v>
                </c:pt>
                <c:pt idx="19">
                  <c:v>0</c:v>
                </c:pt>
                <c:pt idx="20">
                  <c:v>0</c:v>
                </c:pt>
                <c:pt idx="21">
                  <c:v>0</c:v>
                </c:pt>
                <c:pt idx="22">
                  <c:v>0</c:v>
                </c:pt>
                <c:pt idx="23">
                  <c:v>1.8899042883479614E-2</c:v>
                </c:pt>
                <c:pt idx="24">
                  <c:v>0</c:v>
                </c:pt>
                <c:pt idx="25">
                  <c:v>0</c:v>
                </c:pt>
                <c:pt idx="26">
                  <c:v>0</c:v>
                </c:pt>
                <c:pt idx="27">
                  <c:v>0</c:v>
                </c:pt>
                <c:pt idx="28">
                  <c:v>2.5245760559013266E-4</c:v>
                </c:pt>
                <c:pt idx="29">
                  <c:v>1.6745509826660731E-4</c:v>
                </c:pt>
                <c:pt idx="30">
                  <c:v>1.7687167143173217E-2</c:v>
                </c:pt>
                <c:pt idx="31">
                  <c:v>4.1994378011937132E-3</c:v>
                </c:pt>
                <c:pt idx="32">
                  <c:v>5.8904388505752348E-3</c:v>
                </c:pt>
                <c:pt idx="33">
                  <c:v>3.55019287602525E-5</c:v>
                </c:pt>
                <c:pt idx="34">
                  <c:v>1.0110172219731395E-2</c:v>
                </c:pt>
                <c:pt idx="35">
                  <c:v>6.8650619099135972E-3</c:v>
                </c:pt>
                <c:pt idx="36">
                  <c:v>6.930561504732766E-3</c:v>
                </c:pt>
                <c:pt idx="37">
                  <c:v>4.7522855953635399E-3</c:v>
                </c:pt>
                <c:pt idx="38">
                  <c:v>1.1075057630106162E-3</c:v>
                </c:pt>
                <c:pt idx="39">
                  <c:v>4.1720606577299157E-3</c:v>
                </c:pt>
                <c:pt idx="40">
                  <c:v>7.9274855331815705E-4</c:v>
                </c:pt>
                <c:pt idx="41">
                  <c:v>5.4105142010122346E-3</c:v>
                </c:pt>
                <c:pt idx="42">
                  <c:v>5.1379534018264833E-3</c:v>
                </c:pt>
                <c:pt idx="43">
                  <c:v>1.3330234383561642E-2</c:v>
                </c:pt>
                <c:pt idx="44">
                  <c:v>2.387760628767123E-2</c:v>
                </c:pt>
                <c:pt idx="45">
                  <c:v>5.8954249951206411E-3</c:v>
                </c:pt>
                <c:pt idx="46">
                  <c:v>9.1146659276217304E-3</c:v>
                </c:pt>
                <c:pt idx="47">
                  <c:v>2.6917934689146467E-3</c:v>
                </c:pt>
                <c:pt idx="48">
                  <c:v>9.4820809544851961E-3</c:v>
                </c:pt>
                <c:pt idx="49">
                  <c:v>1.037123717260274E-2</c:v>
                </c:pt>
                <c:pt idx="50">
                  <c:v>1.5809437791272418E-2</c:v>
                </c:pt>
                <c:pt idx="51">
                  <c:v>8.7030743932108891E-3</c:v>
                </c:pt>
                <c:pt idx="52">
                  <c:v>1.4700730265093095E-2</c:v>
                </c:pt>
                <c:pt idx="53">
                  <c:v>5.8904889041095894E-3</c:v>
                </c:pt>
                <c:pt idx="54">
                  <c:v>2.867867597570432E-3</c:v>
                </c:pt>
                <c:pt idx="55">
                  <c:v>5.9481414585007145E-3</c:v>
                </c:pt>
                <c:pt idx="56">
                  <c:v>7.8817636341659957E-3</c:v>
                </c:pt>
                <c:pt idx="57">
                  <c:v>5.705491681599408E-3</c:v>
                </c:pt>
                <c:pt idx="58">
                  <c:v>1.3350720420921542E-2</c:v>
                </c:pt>
                <c:pt idx="59">
                  <c:v>1.2385767808219176E-2</c:v>
                </c:pt>
                <c:pt idx="60">
                  <c:v>2.4627265918752951E-2</c:v>
                </c:pt>
                <c:pt idx="61">
                  <c:v>1.4942530147286023E-2</c:v>
                </c:pt>
                <c:pt idx="62">
                  <c:v>7.2544051022660067E-3</c:v>
                </c:pt>
                <c:pt idx="63">
                  <c:v>7.5288898684931502E-3</c:v>
                </c:pt>
                <c:pt idx="64">
                  <c:v>1.1371005716919557E-2</c:v>
                </c:pt>
                <c:pt idx="65">
                  <c:v>9.8110582986295929E-4</c:v>
                </c:pt>
                <c:pt idx="66">
                  <c:v>1.6545245487658681E-2</c:v>
                </c:pt>
                <c:pt idx="67">
                  <c:v>3.5115994757773793E-2</c:v>
                </c:pt>
                <c:pt idx="68">
                  <c:v>3.1004194054167763E-2</c:v>
                </c:pt>
                <c:pt idx="69">
                  <c:v>1.2629577475538159E-2</c:v>
                </c:pt>
                <c:pt idx="70">
                  <c:v>8.819583992251738E-3</c:v>
                </c:pt>
                <c:pt idx="71">
                  <c:v>6.424858150684931E-3</c:v>
                </c:pt>
                <c:pt idx="72">
                  <c:v>1.0700019071654717E-2</c:v>
                </c:pt>
                <c:pt idx="73">
                  <c:v>5.6053007850368807E-3</c:v>
                </c:pt>
                <c:pt idx="74">
                  <c:v>7.9341832214181104E-3</c:v>
                </c:pt>
                <c:pt idx="75">
                  <c:v>1.4569358273455674E-2</c:v>
                </c:pt>
                <c:pt idx="76">
                  <c:v>8.3403494779566868E-3</c:v>
                </c:pt>
                <c:pt idx="77">
                  <c:v>7.8841418575342465E-2</c:v>
                </c:pt>
                <c:pt idx="78">
                  <c:v>2.7054870833150496E-3</c:v>
                </c:pt>
                <c:pt idx="79">
                  <c:v>8.1705963726683723E-3</c:v>
                </c:pt>
                <c:pt idx="80">
                  <c:v>9.4163459160830527E-3</c:v>
                </c:pt>
                <c:pt idx="81">
                  <c:v>9.6696832770869524E-3</c:v>
                </c:pt>
                <c:pt idx="82">
                  <c:v>8.9457810528638659E-3</c:v>
                </c:pt>
                <c:pt idx="83">
                  <c:v>7.5245164808755288E-3</c:v>
                </c:pt>
                <c:pt idx="84">
                  <c:v>2.7043776281067333E-3</c:v>
                </c:pt>
                <c:pt idx="85">
                  <c:v>1.2223385835616435E-2</c:v>
                </c:pt>
                <c:pt idx="86">
                  <c:v>1.2660038111031001E-2</c:v>
                </c:pt>
                <c:pt idx="87">
                  <c:v>1.2559671874785776E-2</c:v>
                </c:pt>
                <c:pt idx="88">
                  <c:v>4.1547297756267318E-4</c:v>
                </c:pt>
                <c:pt idx="89">
                  <c:v>0</c:v>
                </c:pt>
                <c:pt idx="90">
                  <c:v>8.2807936205402752E-3</c:v>
                </c:pt>
                <c:pt idx="91">
                  <c:v>1.0549886775087558E-2</c:v>
                </c:pt>
                <c:pt idx="92">
                  <c:v>4.4456207397260269E-3</c:v>
                </c:pt>
                <c:pt idx="93">
                  <c:v>1.2977681749862165E-2</c:v>
                </c:pt>
                <c:pt idx="94">
                  <c:v>3.4224266214086551E-3</c:v>
                </c:pt>
                <c:pt idx="95">
                  <c:v>9.815137544711913E-4</c:v>
                </c:pt>
                <c:pt idx="96">
                  <c:v>7.3651164437344551E-3</c:v>
                </c:pt>
                <c:pt idx="97">
                  <c:v>3.8419481460972012E-3</c:v>
                </c:pt>
                <c:pt idx="98">
                  <c:v>5.6768504323573112E-3</c:v>
                </c:pt>
                <c:pt idx="99">
                  <c:v>2.891450782919483E-3</c:v>
                </c:pt>
                <c:pt idx="100">
                  <c:v>7.8410592054383344E-4</c:v>
                </c:pt>
                <c:pt idx="101">
                  <c:v>1.0836718352739727E-2</c:v>
                </c:pt>
                <c:pt idx="102">
                  <c:v>6.5211990058387142E-3</c:v>
                </c:pt>
                <c:pt idx="103">
                  <c:v>8.1171472989914999E-3</c:v>
                </c:pt>
                <c:pt idx="104">
                  <c:v>1.2609089047184168E-2</c:v>
                </c:pt>
                <c:pt idx="105">
                  <c:v>5.5086483400495559E-3</c:v>
                </c:pt>
                <c:pt idx="106">
                  <c:v>8.1210949626396908E-3</c:v>
                </c:pt>
                <c:pt idx="107">
                  <c:v>1.4586857306398771E-2</c:v>
                </c:pt>
                <c:pt idx="108">
                  <c:v>9.3015830255997121E-5</c:v>
                </c:pt>
                <c:pt idx="109">
                  <c:v>5.7440627334734377E-3</c:v>
                </c:pt>
                <c:pt idx="110">
                  <c:v>1.3540936860422065E-2</c:v>
                </c:pt>
                <c:pt idx="111">
                  <c:v>1.7812910749688667E-2</c:v>
                </c:pt>
                <c:pt idx="112">
                  <c:v>5.1131578984424707E-3</c:v>
                </c:pt>
                <c:pt idx="113">
                  <c:v>1.750000003401039E-2</c:v>
                </c:pt>
                <c:pt idx="114">
                  <c:v>1.0860236223224363E-2</c:v>
                </c:pt>
                <c:pt idx="115">
                  <c:v>9.2969053539681355E-3</c:v>
                </c:pt>
                <c:pt idx="116">
                  <c:v>7.6397644405949228E-3</c:v>
                </c:pt>
                <c:pt idx="117">
                  <c:v>2.8202431557972714E-3</c:v>
                </c:pt>
                <c:pt idx="118">
                  <c:v>8.323808371108344E-3</c:v>
                </c:pt>
                <c:pt idx="119">
                  <c:v>5.2005193218944163E-3</c:v>
                </c:pt>
                <c:pt idx="120">
                  <c:v>6.7551901910833188E-3</c:v>
                </c:pt>
                <c:pt idx="121">
                  <c:v>1.4087283445296644E-2</c:v>
                </c:pt>
                <c:pt idx="122">
                  <c:v>4.0802259354200867E-3</c:v>
                </c:pt>
                <c:pt idx="123">
                  <c:v>8.6617942924516154E-3</c:v>
                </c:pt>
                <c:pt idx="124">
                  <c:v>4.5993728221920115E-3</c:v>
                </c:pt>
                <c:pt idx="125">
                  <c:v>5.6611285507454688E-3</c:v>
                </c:pt>
                <c:pt idx="126">
                  <c:v>5.6338877518596221E-3</c:v>
                </c:pt>
                <c:pt idx="127">
                  <c:v>1.4905345231459611E-2</c:v>
                </c:pt>
                <c:pt idx="128">
                  <c:v>4.999633702286896E-3</c:v>
                </c:pt>
                <c:pt idx="129">
                  <c:v>1.5486435785723597E-2</c:v>
                </c:pt>
                <c:pt idx="130">
                  <c:v>4.8848613796158846E-3</c:v>
                </c:pt>
                <c:pt idx="131">
                  <c:v>3.0622794853602003E-2</c:v>
                </c:pt>
                <c:pt idx="132">
                  <c:v>1.97097519111082E-2</c:v>
                </c:pt>
                <c:pt idx="133">
                  <c:v>3.747547512975995E-3</c:v>
                </c:pt>
                <c:pt idx="134">
                  <c:v>1.2921037575938056E-2</c:v>
                </c:pt>
                <c:pt idx="135">
                  <c:v>1.7589168517607497E-2</c:v>
                </c:pt>
                <c:pt idx="136">
                  <c:v>1.6449875262957381E-2</c:v>
                </c:pt>
                <c:pt idx="137">
                  <c:v>1.4195034870570255E-2</c:v>
                </c:pt>
                <c:pt idx="138">
                  <c:v>1.332556804376268E-3</c:v>
                </c:pt>
                <c:pt idx="139">
                  <c:v>4.3002326252314814E-3</c:v>
                </c:pt>
              </c:numCache>
            </c:numRef>
          </c:yVal>
          <c:smooth val="0"/>
          <c:extLst>
            <c:ext xmlns:c16="http://schemas.microsoft.com/office/drawing/2014/chart" uri="{C3380CC4-5D6E-409C-BE32-E72D297353CC}">
              <c16:uniqueId val="{00000000-BE4D-4ACE-A43A-5EC36E2D06C8}"/>
            </c:ext>
          </c:extLst>
        </c:ser>
        <c:ser>
          <c:idx val="1"/>
          <c:order val="1"/>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Rates'!$S$167:$S$306</c:f>
              <c:numCache>
                <c:formatCode>0.00E+00</c:formatCode>
                <c:ptCount val="140"/>
                <c:pt idx="0">
                  <c:v>3.0233447952171212E-3</c:v>
                </c:pt>
                <c:pt idx="1">
                  <c:v>0</c:v>
                </c:pt>
                <c:pt idx="2">
                  <c:v>0</c:v>
                </c:pt>
                <c:pt idx="3">
                  <c:v>0</c:v>
                </c:pt>
                <c:pt idx="4">
                  <c:v>7.591808837990109E-4</c:v>
                </c:pt>
                <c:pt idx="5">
                  <c:v>0</c:v>
                </c:pt>
                <c:pt idx="6">
                  <c:v>0</c:v>
                </c:pt>
                <c:pt idx="7">
                  <c:v>5.7052175806535793E-3</c:v>
                </c:pt>
                <c:pt idx="8">
                  <c:v>0</c:v>
                </c:pt>
                <c:pt idx="9">
                  <c:v>0</c:v>
                </c:pt>
                <c:pt idx="10">
                  <c:v>0</c:v>
                </c:pt>
                <c:pt idx="11">
                  <c:v>0</c:v>
                </c:pt>
                <c:pt idx="12">
                  <c:v>1.1733932967479814E-3</c:v>
                </c:pt>
                <c:pt idx="13">
                  <c:v>0</c:v>
                </c:pt>
                <c:pt idx="14">
                  <c:v>0</c:v>
                </c:pt>
                <c:pt idx="15">
                  <c:v>0</c:v>
                </c:pt>
                <c:pt idx="16">
                  <c:v>0</c:v>
                </c:pt>
                <c:pt idx="17">
                  <c:v>0</c:v>
                </c:pt>
                <c:pt idx="18">
                  <c:v>0</c:v>
                </c:pt>
                <c:pt idx="19">
                  <c:v>0</c:v>
                </c:pt>
                <c:pt idx="20">
                  <c:v>0</c:v>
                </c:pt>
                <c:pt idx="21">
                  <c:v>0</c:v>
                </c:pt>
                <c:pt idx="22">
                  <c:v>0</c:v>
                </c:pt>
                <c:pt idx="23">
                  <c:v>2.5441280760289495E-2</c:v>
                </c:pt>
                <c:pt idx="24">
                  <c:v>0</c:v>
                </c:pt>
                <c:pt idx="25">
                  <c:v>0</c:v>
                </c:pt>
                <c:pt idx="26">
                  <c:v>0</c:v>
                </c:pt>
                <c:pt idx="27">
                  <c:v>0</c:v>
                </c:pt>
                <c:pt idx="28">
                  <c:v>1.351683711757761E-3</c:v>
                </c:pt>
                <c:pt idx="29">
                  <c:v>7.2578681848179403E-4</c:v>
                </c:pt>
                <c:pt idx="30">
                  <c:v>4.9391889985305019E-2</c:v>
                </c:pt>
                <c:pt idx="31">
                  <c:v>3.0611099218150962E-2</c:v>
                </c:pt>
                <c:pt idx="32">
                  <c:v>9.8212032773479837E-3</c:v>
                </c:pt>
                <c:pt idx="33">
                  <c:v>2.4402070140421689E-6</c:v>
                </c:pt>
                <c:pt idx="34">
                  <c:v>2.9467309403497424E-2</c:v>
                </c:pt>
                <c:pt idx="35">
                  <c:v>1.1642302549670327E-2</c:v>
                </c:pt>
                <c:pt idx="36">
                  <c:v>1.6923701002004576E-2</c:v>
                </c:pt>
                <c:pt idx="37">
                  <c:v>7.3091006427818753E-3</c:v>
                </c:pt>
                <c:pt idx="38">
                  <c:v>1.9952940576640748E-3</c:v>
                </c:pt>
                <c:pt idx="39">
                  <c:v>1.1743272684437749E-2</c:v>
                </c:pt>
                <c:pt idx="40">
                  <c:v>8.0361214460436883E-3</c:v>
                </c:pt>
                <c:pt idx="41">
                  <c:v>8.466778508028178E-3</c:v>
                </c:pt>
                <c:pt idx="42">
                  <c:v>5.5353013523592086E-2</c:v>
                </c:pt>
                <c:pt idx="43">
                  <c:v>1.1140977431506849E-2</c:v>
                </c:pt>
                <c:pt idx="44">
                  <c:v>5.4135332835616438E-2</c:v>
                </c:pt>
                <c:pt idx="45">
                  <c:v>1.8801536745041555E-3</c:v>
                </c:pt>
                <c:pt idx="46">
                  <c:v>1.3398709024354844E-2</c:v>
                </c:pt>
                <c:pt idx="47">
                  <c:v>7.4528736923076926E-3</c:v>
                </c:pt>
                <c:pt idx="48">
                  <c:v>8.4232307644719392E-3</c:v>
                </c:pt>
                <c:pt idx="49">
                  <c:v>2.2205900449315072E-2</c:v>
                </c:pt>
                <c:pt idx="50">
                  <c:v>1.5607015492162122E-2</c:v>
                </c:pt>
                <c:pt idx="51">
                  <c:v>1.5134090026638515E-2</c:v>
                </c:pt>
                <c:pt idx="52">
                  <c:v>2.7800947296149372E-2</c:v>
                </c:pt>
                <c:pt idx="53">
                  <c:v>2.1374769863013697E-2</c:v>
                </c:pt>
                <c:pt idx="54">
                  <c:v>1.5919232671232877E-2</c:v>
                </c:pt>
                <c:pt idx="55">
                  <c:v>1.4367891781370677E-2</c:v>
                </c:pt>
                <c:pt idx="56">
                  <c:v>1.0310767919419823E-2</c:v>
                </c:pt>
                <c:pt idx="57">
                  <c:v>3.2365781318030354E-3</c:v>
                </c:pt>
                <c:pt idx="58">
                  <c:v>5.6439032926525537E-3</c:v>
                </c:pt>
                <c:pt idx="59">
                  <c:v>1.4436254452054795E-2</c:v>
                </c:pt>
                <c:pt idx="60">
                  <c:v>2.1794723240434577E-2</c:v>
                </c:pt>
                <c:pt idx="61">
                  <c:v>2.3917765739005045E-2</c:v>
                </c:pt>
                <c:pt idx="62">
                  <c:v>8.506186612342188E-3</c:v>
                </c:pt>
                <c:pt idx="63">
                  <c:v>4.7078463217221133E-3</c:v>
                </c:pt>
                <c:pt idx="64">
                  <c:v>8.5213910539155731E-3</c:v>
                </c:pt>
                <c:pt idx="65">
                  <c:v>3.009375037755683E-3</c:v>
                </c:pt>
                <c:pt idx="66">
                  <c:v>5.1841430023221037E-2</c:v>
                </c:pt>
                <c:pt idx="67">
                  <c:v>1.6319497960322813E-2</c:v>
                </c:pt>
                <c:pt idx="68">
                  <c:v>5.2276258215783668E-2</c:v>
                </c:pt>
                <c:pt idx="69">
                  <c:v>1.0494230864970644E-2</c:v>
                </c:pt>
                <c:pt idx="70">
                  <c:v>2.0134332619605285E-2</c:v>
                </c:pt>
                <c:pt idx="71">
                  <c:v>3.3144740729941294E-2</c:v>
                </c:pt>
                <c:pt idx="72">
                  <c:v>9.3170186384566398E-3</c:v>
                </c:pt>
                <c:pt idx="73">
                  <c:v>7.1322521443624868E-3</c:v>
                </c:pt>
                <c:pt idx="74">
                  <c:v>1.3480603241151209E-2</c:v>
                </c:pt>
                <c:pt idx="75">
                  <c:v>1.2975864021711036E-2</c:v>
                </c:pt>
                <c:pt idx="76">
                  <c:v>1.3679245483724532E-2</c:v>
                </c:pt>
                <c:pt idx="77">
                  <c:v>2.4432411360730592E-2</c:v>
                </c:pt>
                <c:pt idx="78">
                  <c:v>6.139544084785448E-3</c:v>
                </c:pt>
                <c:pt idx="79">
                  <c:v>1.4494094676911066E-2</c:v>
                </c:pt>
                <c:pt idx="80">
                  <c:v>1.4428211866669403E-2</c:v>
                </c:pt>
                <c:pt idx="81">
                  <c:v>1.0523093741286066E-2</c:v>
                </c:pt>
                <c:pt idx="82">
                  <c:v>2.2231103733460506E-2</c:v>
                </c:pt>
                <c:pt idx="83">
                  <c:v>4.8635433420220735E-3</c:v>
                </c:pt>
                <c:pt idx="84">
                  <c:v>3.1907258649662533E-3</c:v>
                </c:pt>
                <c:pt idx="85">
                  <c:v>3.8413278273972604E-2</c:v>
                </c:pt>
                <c:pt idx="86">
                  <c:v>0.10733954197548666</c:v>
                </c:pt>
                <c:pt idx="87">
                  <c:v>1.3904913566374693E-2</c:v>
                </c:pt>
                <c:pt idx="88">
                  <c:v>5.1624585665879135E-4</c:v>
                </c:pt>
                <c:pt idx="89">
                  <c:v>0</c:v>
                </c:pt>
                <c:pt idx="90">
                  <c:v>7.0536168186950991E-3</c:v>
                </c:pt>
                <c:pt idx="91">
                  <c:v>1.6086964863726301E-2</c:v>
                </c:pt>
                <c:pt idx="92">
                  <c:v>2.0630381075342465E-2</c:v>
                </c:pt>
                <c:pt idx="93">
                  <c:v>7.7898101098435053E-3</c:v>
                </c:pt>
                <c:pt idx="94">
                  <c:v>3.9763926676917773E-3</c:v>
                </c:pt>
                <c:pt idx="95">
                  <c:v>3.0773463467980932E-3</c:v>
                </c:pt>
                <c:pt idx="96">
                  <c:v>6.5431445251612286E-3</c:v>
                </c:pt>
                <c:pt idx="97">
                  <c:v>4.8061369009667551E-3</c:v>
                </c:pt>
                <c:pt idx="98">
                  <c:v>1.0965726139017803E-2</c:v>
                </c:pt>
                <c:pt idx="99">
                  <c:v>4.8788279667592027E-3</c:v>
                </c:pt>
                <c:pt idx="100">
                  <c:v>1.028249189684247E-3</c:v>
                </c:pt>
                <c:pt idx="101">
                  <c:v>1.810372586643836E-2</c:v>
                </c:pt>
                <c:pt idx="102">
                  <c:v>1.0539677186257802E-2</c:v>
                </c:pt>
                <c:pt idx="103">
                  <c:v>6.7085092212245782E-3</c:v>
                </c:pt>
                <c:pt idx="104">
                  <c:v>1.5567128904109587E-2</c:v>
                </c:pt>
                <c:pt idx="105">
                  <c:v>4.5240309903228065E-3</c:v>
                </c:pt>
                <c:pt idx="106">
                  <c:v>1.4430929241304213E-2</c:v>
                </c:pt>
                <c:pt idx="107">
                  <c:v>4.2246326113326441E-3</c:v>
                </c:pt>
                <c:pt idx="108">
                  <c:v>2.2337892569053848E-4</c:v>
                </c:pt>
                <c:pt idx="109">
                  <c:v>7.8194717817724226E-3</c:v>
                </c:pt>
                <c:pt idx="110">
                  <c:v>1.7338283624583489E-2</c:v>
                </c:pt>
                <c:pt idx="111">
                  <c:v>4.9885459195516811E-2</c:v>
                </c:pt>
                <c:pt idx="112">
                  <c:v>3.9845443116254091E-2</c:v>
                </c:pt>
                <c:pt idx="113">
                  <c:v>1.3133856185167688E-2</c:v>
                </c:pt>
                <c:pt idx="114">
                  <c:v>1.0294970854916109E-2</c:v>
                </c:pt>
                <c:pt idx="115">
                  <c:v>5.2899347796134324E-3</c:v>
                </c:pt>
                <c:pt idx="116">
                  <c:v>2.9519624512176056E-3</c:v>
                </c:pt>
                <c:pt idx="117">
                  <c:v>7.0505162993673076E-3</c:v>
                </c:pt>
                <c:pt idx="118">
                  <c:v>3.3224662098381069E-2</c:v>
                </c:pt>
                <c:pt idx="119">
                  <c:v>6.0547214580191425E-3</c:v>
                </c:pt>
                <c:pt idx="120">
                  <c:v>4.7874350366741494E-3</c:v>
                </c:pt>
                <c:pt idx="121">
                  <c:v>1.0770168243408115E-2</c:v>
                </c:pt>
                <c:pt idx="122">
                  <c:v>3.2681587800095333E-3</c:v>
                </c:pt>
                <c:pt idx="123">
                  <c:v>5.4069947289182531E-3</c:v>
                </c:pt>
                <c:pt idx="124">
                  <c:v>4.7614569385438362E-3</c:v>
                </c:pt>
                <c:pt idx="125">
                  <c:v>4.5737277194961637E-3</c:v>
                </c:pt>
                <c:pt idx="126">
                  <c:v>4.8609566443043066E-3</c:v>
                </c:pt>
                <c:pt idx="127">
                  <c:v>1.4804213601794994E-2</c:v>
                </c:pt>
                <c:pt idx="128">
                  <c:v>8.669074723338388E-3</c:v>
                </c:pt>
                <c:pt idx="129">
                  <c:v>9.7447621666776618E-3</c:v>
                </c:pt>
                <c:pt idx="130">
                  <c:v>7.8239267144862186E-3</c:v>
                </c:pt>
                <c:pt idx="131">
                  <c:v>2.990042542986103E-2</c:v>
                </c:pt>
                <c:pt idx="132">
                  <c:v>2.0134719808000748E-2</c:v>
                </c:pt>
                <c:pt idx="133">
                  <c:v>9.8641408878802992E-3</c:v>
                </c:pt>
                <c:pt idx="134">
                  <c:v>9.7504827337701033E-3</c:v>
                </c:pt>
                <c:pt idx="135">
                  <c:v>5.0282123425162459E-2</c:v>
                </c:pt>
                <c:pt idx="136">
                  <c:v>1.2361975320932235E-2</c:v>
                </c:pt>
                <c:pt idx="137">
                  <c:v>5.59767680983484E-3</c:v>
                </c:pt>
                <c:pt idx="138">
                  <c:v>4.0128770547098788E-3</c:v>
                </c:pt>
                <c:pt idx="139">
                  <c:v>5.6964542865229765E-3</c:v>
                </c:pt>
              </c:numCache>
            </c:numRef>
          </c:yVal>
          <c:smooth val="0"/>
          <c:extLst>
            <c:ext xmlns:c16="http://schemas.microsoft.com/office/drawing/2014/chart" uri="{C3380CC4-5D6E-409C-BE32-E72D297353CC}">
              <c16:uniqueId val="{00000001-BE4D-4ACE-A43A-5EC36E2D06C8}"/>
            </c:ext>
          </c:extLst>
        </c:ser>
        <c:ser>
          <c:idx val="2"/>
          <c:order val="2"/>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Rates'!$T$167:$T$306</c:f>
              <c:numCache>
                <c:formatCode>0.00E+00</c:formatCode>
                <c:ptCount val="140"/>
                <c:pt idx="0">
                  <c:v>1.3323580799517663E-5</c:v>
                </c:pt>
                <c:pt idx="1">
                  <c:v>0</c:v>
                </c:pt>
                <c:pt idx="2">
                  <c:v>0</c:v>
                </c:pt>
                <c:pt idx="3">
                  <c:v>0</c:v>
                </c:pt>
                <c:pt idx="4">
                  <c:v>2.1937115321333656E-5</c:v>
                </c:pt>
                <c:pt idx="5">
                  <c:v>0</c:v>
                </c:pt>
                <c:pt idx="6">
                  <c:v>0</c:v>
                </c:pt>
                <c:pt idx="7">
                  <c:v>6.8974268145153986E-3</c:v>
                </c:pt>
                <c:pt idx="8">
                  <c:v>0</c:v>
                </c:pt>
                <c:pt idx="9">
                  <c:v>0</c:v>
                </c:pt>
                <c:pt idx="10">
                  <c:v>0</c:v>
                </c:pt>
                <c:pt idx="11">
                  <c:v>0</c:v>
                </c:pt>
                <c:pt idx="12">
                  <c:v>1.8704057104961323E-6</c:v>
                </c:pt>
                <c:pt idx="13">
                  <c:v>0</c:v>
                </c:pt>
                <c:pt idx="14">
                  <c:v>0</c:v>
                </c:pt>
                <c:pt idx="15">
                  <c:v>0</c:v>
                </c:pt>
                <c:pt idx="16">
                  <c:v>0</c:v>
                </c:pt>
                <c:pt idx="17">
                  <c:v>0</c:v>
                </c:pt>
                <c:pt idx="18">
                  <c:v>0</c:v>
                </c:pt>
                <c:pt idx="19">
                  <c:v>0</c:v>
                </c:pt>
                <c:pt idx="20">
                  <c:v>0</c:v>
                </c:pt>
                <c:pt idx="21">
                  <c:v>0</c:v>
                </c:pt>
                <c:pt idx="22">
                  <c:v>0</c:v>
                </c:pt>
                <c:pt idx="23">
                  <c:v>3.2837647914819405E-2</c:v>
                </c:pt>
                <c:pt idx="24">
                  <c:v>0</c:v>
                </c:pt>
                <c:pt idx="25">
                  <c:v>0</c:v>
                </c:pt>
                <c:pt idx="26">
                  <c:v>0</c:v>
                </c:pt>
                <c:pt idx="27">
                  <c:v>0</c:v>
                </c:pt>
                <c:pt idx="28">
                  <c:v>4.9897297608849335E-5</c:v>
                </c:pt>
                <c:pt idx="29">
                  <c:v>2.6650678769221318E-6</c:v>
                </c:pt>
                <c:pt idx="30">
                  <c:v>1.8232337168522549E-3</c:v>
                </c:pt>
                <c:pt idx="31">
                  <c:v>9.8184614932926567E-5</c:v>
                </c:pt>
                <c:pt idx="32">
                  <c:v>5.1179846602220221E-4</c:v>
                </c:pt>
                <c:pt idx="33">
                  <c:v>2.664847009919697E-7</c:v>
                </c:pt>
                <c:pt idx="34">
                  <c:v>2.0966025824665634E-2</c:v>
                </c:pt>
                <c:pt idx="35">
                  <c:v>2.2842955700940044E-2</c:v>
                </c:pt>
                <c:pt idx="36">
                  <c:v>3.8912264081889458E-4</c:v>
                </c:pt>
                <c:pt idx="37">
                  <c:v>3.1163573234984184E-4</c:v>
                </c:pt>
                <c:pt idx="38">
                  <c:v>3.2619801267784622E-4</c:v>
                </c:pt>
                <c:pt idx="39">
                  <c:v>1.3290269477320941E-3</c:v>
                </c:pt>
                <c:pt idx="40">
                  <c:v>5.0892499719190337E-5</c:v>
                </c:pt>
                <c:pt idx="41">
                  <c:v>4.0594491572469703E-3</c:v>
                </c:pt>
                <c:pt idx="42">
                  <c:v>2.9220010007610351E-2</c:v>
                </c:pt>
                <c:pt idx="43">
                  <c:v>3.2944899650684929E-2</c:v>
                </c:pt>
                <c:pt idx="44">
                  <c:v>0.25318911990410964</c:v>
                </c:pt>
                <c:pt idx="45">
                  <c:v>2.6752026182285727E-3</c:v>
                </c:pt>
                <c:pt idx="46">
                  <c:v>1.1796056007404529E-2</c:v>
                </c:pt>
                <c:pt idx="47">
                  <c:v>8.4670599999999991E-4</c:v>
                </c:pt>
                <c:pt idx="48">
                  <c:v>6.2470023199292972E-3</c:v>
                </c:pt>
                <c:pt idx="49">
                  <c:v>5.7662169863013696E-4</c:v>
                </c:pt>
                <c:pt idx="50">
                  <c:v>2.3842272066092358E-3</c:v>
                </c:pt>
                <c:pt idx="51">
                  <c:v>6.2952367794611275E-2</c:v>
                </c:pt>
                <c:pt idx="52">
                  <c:v>2.9633810527024757E-2</c:v>
                </c:pt>
                <c:pt idx="53">
                  <c:v>2.684273424657534E-3</c:v>
                </c:pt>
                <c:pt idx="54">
                  <c:v>2.2568249224605842E-3</c:v>
                </c:pt>
                <c:pt idx="55">
                  <c:v>1.7171608007788691E-2</c:v>
                </c:pt>
                <c:pt idx="56">
                  <c:v>2.2456666559226426E-4</c:v>
                </c:pt>
                <c:pt idx="57">
                  <c:v>1.9059953491299517E-3</c:v>
                </c:pt>
                <c:pt idx="58">
                  <c:v>2.2377230000000001E-3</c:v>
                </c:pt>
                <c:pt idx="59">
                  <c:v>6.5242756849315069E-3</c:v>
                </c:pt>
                <c:pt idx="60">
                  <c:v>1.6262480278696267E-2</c:v>
                </c:pt>
                <c:pt idx="61">
                  <c:v>1.8472226363168191E-2</c:v>
                </c:pt>
                <c:pt idx="62">
                  <c:v>4.1898940307668305E-3</c:v>
                </c:pt>
                <c:pt idx="63">
                  <c:v>2.9025375198434445E-2</c:v>
                </c:pt>
                <c:pt idx="64">
                  <c:v>1.1352596101619633E-3</c:v>
                </c:pt>
                <c:pt idx="65">
                  <c:v>7.5112408535903152E-4</c:v>
                </c:pt>
                <c:pt idx="66">
                  <c:v>3.7479677783185887E-2</c:v>
                </c:pt>
                <c:pt idx="67">
                  <c:v>1.1058301793148359E-2</c:v>
                </c:pt>
                <c:pt idx="68">
                  <c:v>8.0045948223326953E-3</c:v>
                </c:pt>
                <c:pt idx="69">
                  <c:v>3.0638353679060662E-2</c:v>
                </c:pt>
                <c:pt idx="70">
                  <c:v>1.165703882842074E-2</c:v>
                </c:pt>
                <c:pt idx="71">
                  <c:v>1.5044003307240702E-3</c:v>
                </c:pt>
                <c:pt idx="72">
                  <c:v>5.2873116460059051E-2</c:v>
                </c:pt>
                <c:pt idx="73">
                  <c:v>2.9761531085353001E-3</c:v>
                </c:pt>
                <c:pt idx="74">
                  <c:v>3.0015614341554076E-3</c:v>
                </c:pt>
                <c:pt idx="75">
                  <c:v>4.2251514153528048E-2</c:v>
                </c:pt>
                <c:pt idx="76">
                  <c:v>4.504538064033752E-3</c:v>
                </c:pt>
                <c:pt idx="77">
                  <c:v>1.3426890319634703E-3</c:v>
                </c:pt>
                <c:pt idx="78">
                  <c:v>2.1655718895665383E-3</c:v>
                </c:pt>
                <c:pt idx="79">
                  <c:v>1.5819586978505575E-2</c:v>
                </c:pt>
                <c:pt idx="80">
                  <c:v>3.6966330837321065E-2</c:v>
                </c:pt>
                <c:pt idx="81">
                  <c:v>2.0832102985791776E-2</c:v>
                </c:pt>
                <c:pt idx="82">
                  <c:v>1.0093283417985563E-3</c:v>
                </c:pt>
                <c:pt idx="83">
                  <c:v>1.1258823322795927E-2</c:v>
                </c:pt>
                <c:pt idx="84">
                  <c:v>3.1053193230704888E-3</c:v>
                </c:pt>
                <c:pt idx="85">
                  <c:v>1.5634235739726027E-2</c:v>
                </c:pt>
                <c:pt idx="86">
                  <c:v>4.5182653064167267E-3</c:v>
                </c:pt>
                <c:pt idx="87">
                  <c:v>1.3890215654533512E-2</c:v>
                </c:pt>
                <c:pt idx="88">
                  <c:v>1.1826238703841959E-5</c:v>
                </c:pt>
                <c:pt idx="89">
                  <c:v>0</c:v>
                </c:pt>
                <c:pt idx="90">
                  <c:v>2.4467273733018054E-3</c:v>
                </c:pt>
                <c:pt idx="91">
                  <c:v>8.0183882345074044E-3</c:v>
                </c:pt>
                <c:pt idx="92">
                  <c:v>3.1839293821917809E-2</c:v>
                </c:pt>
                <c:pt idx="93">
                  <c:v>3.150427776411213E-3</c:v>
                </c:pt>
                <c:pt idx="94">
                  <c:v>5.7758176238268113E-3</c:v>
                </c:pt>
                <c:pt idx="95">
                  <c:v>3.8628000552675822E-4</c:v>
                </c:pt>
                <c:pt idx="96">
                  <c:v>7.5817201449284426E-3</c:v>
                </c:pt>
                <c:pt idx="97">
                  <c:v>4.9868282648997701E-3</c:v>
                </c:pt>
                <c:pt idx="98">
                  <c:v>1.7594202676948847E-3</c:v>
                </c:pt>
                <c:pt idx="99">
                  <c:v>1.1124144618190172E-3</c:v>
                </c:pt>
                <c:pt idx="100">
                  <c:v>2.4730711280098041E-4</c:v>
                </c:pt>
                <c:pt idx="101">
                  <c:v>9.3475265376712323E-3</c:v>
                </c:pt>
                <c:pt idx="102">
                  <c:v>3.0157463917271357E-3</c:v>
                </c:pt>
                <c:pt idx="103">
                  <c:v>6.0048592101624287E-3</c:v>
                </c:pt>
                <c:pt idx="104">
                  <c:v>2.7164552487062402E-2</c:v>
                </c:pt>
                <c:pt idx="105">
                  <c:v>2.1748969308807383E-3</c:v>
                </c:pt>
                <c:pt idx="106">
                  <c:v>3.8365638285041062E-4</c:v>
                </c:pt>
                <c:pt idx="107">
                  <c:v>1.2963951937988737E-2</c:v>
                </c:pt>
                <c:pt idx="108">
                  <c:v>2.6424951777271904E-6</c:v>
                </c:pt>
                <c:pt idx="109">
                  <c:v>6.8667043944036664E-3</c:v>
                </c:pt>
                <c:pt idx="110">
                  <c:v>3.5645888208071077E-3</c:v>
                </c:pt>
                <c:pt idx="111">
                  <c:v>1.0003663434620174E-2</c:v>
                </c:pt>
                <c:pt idx="112">
                  <c:v>3.0593507350602646E-3</c:v>
                </c:pt>
                <c:pt idx="113">
                  <c:v>3.5666897458667929E-3</c:v>
                </c:pt>
                <c:pt idx="114">
                  <c:v>1.1197280389723193E-3</c:v>
                </c:pt>
                <c:pt idx="115">
                  <c:v>2.3861620395741294E-3</c:v>
                </c:pt>
                <c:pt idx="116">
                  <c:v>5.6829718909450884E-2</c:v>
                </c:pt>
                <c:pt idx="117">
                  <c:v>3.1659958809575305E-3</c:v>
                </c:pt>
                <c:pt idx="118">
                  <c:v>5.8153985392278952E-3</c:v>
                </c:pt>
                <c:pt idx="119">
                  <c:v>1.8577285551469537E-3</c:v>
                </c:pt>
                <c:pt idx="120">
                  <c:v>3.3533263805358049E-3</c:v>
                </c:pt>
                <c:pt idx="121">
                  <c:v>3.5002316462844833E-3</c:v>
                </c:pt>
                <c:pt idx="122">
                  <c:v>9.5342445332450201E-3</c:v>
                </c:pt>
                <c:pt idx="123">
                  <c:v>1.1632832462166542E-2</c:v>
                </c:pt>
                <c:pt idx="124">
                  <c:v>2.612823781190795E-3</c:v>
                </c:pt>
                <c:pt idx="125">
                  <c:v>4.9563860501377292E-3</c:v>
                </c:pt>
                <c:pt idx="126">
                  <c:v>1.7735959747467265E-3</c:v>
                </c:pt>
                <c:pt idx="127">
                  <c:v>1.5769677846008499E-3</c:v>
                </c:pt>
                <c:pt idx="128">
                  <c:v>6.9416707017540677E-3</c:v>
                </c:pt>
                <c:pt idx="129">
                  <c:v>5.5153028114128116E-3</c:v>
                </c:pt>
                <c:pt idx="130">
                  <c:v>3.5929041556425115E-3</c:v>
                </c:pt>
                <c:pt idx="131">
                  <c:v>1.1624776538350562E-2</c:v>
                </c:pt>
                <c:pt idx="132">
                  <c:v>1.9032197923434274E-2</c:v>
                </c:pt>
                <c:pt idx="133">
                  <c:v>3.5948700138184234E-3</c:v>
                </c:pt>
                <c:pt idx="134">
                  <c:v>4.1171826682549133E-4</c:v>
                </c:pt>
                <c:pt idx="135">
                  <c:v>1.399450199041417E-2</c:v>
                </c:pt>
                <c:pt idx="136">
                  <c:v>1.3656386808235739E-3</c:v>
                </c:pt>
                <c:pt idx="137">
                  <c:v>5.1160820636940597E-3</c:v>
                </c:pt>
                <c:pt idx="138">
                  <c:v>1.1707916644075071E-3</c:v>
                </c:pt>
                <c:pt idx="139">
                  <c:v>3.6301197578160064E-3</c:v>
                </c:pt>
              </c:numCache>
            </c:numRef>
          </c:yVal>
          <c:smooth val="0"/>
          <c:extLst>
            <c:ext xmlns:c16="http://schemas.microsoft.com/office/drawing/2014/chart" uri="{C3380CC4-5D6E-409C-BE32-E72D297353CC}">
              <c16:uniqueId val="{00000002-BE4D-4ACE-A43A-5EC36E2D06C8}"/>
            </c:ext>
          </c:extLst>
        </c:ser>
        <c:ser>
          <c:idx val="3"/>
          <c:order val="3"/>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Rates'!$U$167:$U$306</c:f>
              <c:numCache>
                <c:formatCode>0.00E+00</c:formatCode>
                <c:ptCount val="140"/>
                <c:pt idx="0">
                  <c:v>2.9241611409894751E-4</c:v>
                </c:pt>
                <c:pt idx="1">
                  <c:v>0</c:v>
                </c:pt>
                <c:pt idx="2">
                  <c:v>0</c:v>
                </c:pt>
                <c:pt idx="3">
                  <c:v>0</c:v>
                </c:pt>
                <c:pt idx="4">
                  <c:v>3.1174207808423783E-3</c:v>
                </c:pt>
                <c:pt idx="5">
                  <c:v>0</c:v>
                </c:pt>
                <c:pt idx="6">
                  <c:v>0</c:v>
                </c:pt>
                <c:pt idx="7">
                  <c:v>1.56705298564455E-2</c:v>
                </c:pt>
                <c:pt idx="8">
                  <c:v>0</c:v>
                </c:pt>
                <c:pt idx="9">
                  <c:v>0</c:v>
                </c:pt>
                <c:pt idx="10">
                  <c:v>0</c:v>
                </c:pt>
                <c:pt idx="11">
                  <c:v>0</c:v>
                </c:pt>
                <c:pt idx="12">
                  <c:v>2.351367178909423E-4</c:v>
                </c:pt>
                <c:pt idx="13">
                  <c:v>0</c:v>
                </c:pt>
                <c:pt idx="14">
                  <c:v>0</c:v>
                </c:pt>
                <c:pt idx="15">
                  <c:v>0</c:v>
                </c:pt>
                <c:pt idx="16">
                  <c:v>0</c:v>
                </c:pt>
                <c:pt idx="17">
                  <c:v>0</c:v>
                </c:pt>
                <c:pt idx="18">
                  <c:v>0</c:v>
                </c:pt>
                <c:pt idx="19">
                  <c:v>0</c:v>
                </c:pt>
                <c:pt idx="20">
                  <c:v>0</c:v>
                </c:pt>
                <c:pt idx="21">
                  <c:v>0</c:v>
                </c:pt>
                <c:pt idx="22">
                  <c:v>0</c:v>
                </c:pt>
                <c:pt idx="23">
                  <c:v>1.8894963576035421E-2</c:v>
                </c:pt>
                <c:pt idx="24">
                  <c:v>0</c:v>
                </c:pt>
                <c:pt idx="25">
                  <c:v>0</c:v>
                </c:pt>
                <c:pt idx="26">
                  <c:v>0</c:v>
                </c:pt>
                <c:pt idx="27">
                  <c:v>0</c:v>
                </c:pt>
                <c:pt idx="28">
                  <c:v>1.3208365207666509E-3</c:v>
                </c:pt>
                <c:pt idx="29">
                  <c:v>1.5679482675891876E-4</c:v>
                </c:pt>
                <c:pt idx="30">
                  <c:v>1.7054564189230115E-2</c:v>
                </c:pt>
                <c:pt idx="31">
                  <c:v>5.5249301027882223E-3</c:v>
                </c:pt>
                <c:pt idx="32">
                  <c:v>1.9330380724109945E-3</c:v>
                </c:pt>
                <c:pt idx="33">
                  <c:v>4.4047058015201611E-5</c:v>
                </c:pt>
                <c:pt idx="34">
                  <c:v>9.7012264007713383E-3</c:v>
                </c:pt>
                <c:pt idx="35">
                  <c:v>2.288990581716642E-2</c:v>
                </c:pt>
                <c:pt idx="36">
                  <c:v>8.94198605479124E-3</c:v>
                </c:pt>
                <c:pt idx="37">
                  <c:v>8.5237789778714428E-3</c:v>
                </c:pt>
                <c:pt idx="38">
                  <c:v>1.8428701312760841E-3</c:v>
                </c:pt>
                <c:pt idx="39">
                  <c:v>1.2328845727897723E-2</c:v>
                </c:pt>
                <c:pt idx="40">
                  <c:v>1.7694930671595408E-3</c:v>
                </c:pt>
                <c:pt idx="41">
                  <c:v>1.3881396913570872E-2</c:v>
                </c:pt>
                <c:pt idx="42">
                  <c:v>1.881246702435312E-2</c:v>
                </c:pt>
                <c:pt idx="43">
                  <c:v>1.5895621006849315E-2</c:v>
                </c:pt>
                <c:pt idx="44">
                  <c:v>7.3529208328767123E-2</c:v>
                </c:pt>
                <c:pt idx="45">
                  <c:v>1.8148499991954812E-2</c:v>
                </c:pt>
                <c:pt idx="46">
                  <c:v>1.28100394129865E-2</c:v>
                </c:pt>
                <c:pt idx="47">
                  <c:v>6.7759422507903044E-3</c:v>
                </c:pt>
                <c:pt idx="48">
                  <c:v>1.791707078214759E-2</c:v>
                </c:pt>
                <c:pt idx="49">
                  <c:v>9.7508717589041092E-3</c:v>
                </c:pt>
                <c:pt idx="50">
                  <c:v>1.4578248997316764E-2</c:v>
                </c:pt>
                <c:pt idx="51">
                  <c:v>1.7159101301411097E-2</c:v>
                </c:pt>
                <c:pt idx="52">
                  <c:v>2.5369377561792285E-2</c:v>
                </c:pt>
                <c:pt idx="53">
                  <c:v>1.958525424657534E-2</c:v>
                </c:pt>
                <c:pt idx="54">
                  <c:v>9.6486592788834324E-3</c:v>
                </c:pt>
                <c:pt idx="55">
                  <c:v>9.3321539347146158E-3</c:v>
                </c:pt>
                <c:pt idx="56">
                  <c:v>8.7279822933118457E-3</c:v>
                </c:pt>
                <c:pt idx="57">
                  <c:v>8.8081248382080712E-3</c:v>
                </c:pt>
                <c:pt idx="58">
                  <c:v>9.9044718493150677E-3</c:v>
                </c:pt>
                <c:pt idx="59">
                  <c:v>3.8979958219178081E-2</c:v>
                </c:pt>
                <c:pt idx="60">
                  <c:v>2.46444068729334E-2</c:v>
                </c:pt>
                <c:pt idx="61">
                  <c:v>2.8235327226284888E-2</c:v>
                </c:pt>
                <c:pt idx="62">
                  <c:v>1.3067866725314792E-2</c:v>
                </c:pt>
                <c:pt idx="63">
                  <c:v>2.1167981391780822E-2</c:v>
                </c:pt>
                <c:pt idx="64">
                  <c:v>9.583981129998892E-3</c:v>
                </c:pt>
                <c:pt idx="65">
                  <c:v>6.3881649608282399E-3</c:v>
                </c:pt>
                <c:pt idx="66">
                  <c:v>2.0471925782580048E-2</c:v>
                </c:pt>
                <c:pt idx="67">
                  <c:v>1.7593021382887177E-2</c:v>
                </c:pt>
                <c:pt idx="68">
                  <c:v>2.8100539148264027E-2</c:v>
                </c:pt>
                <c:pt idx="69">
                  <c:v>1.3291414203522502E-2</c:v>
                </c:pt>
                <c:pt idx="70">
                  <c:v>1.6229792757704961E-2</c:v>
                </c:pt>
                <c:pt idx="71">
                  <c:v>6.5533908199608597E-3</c:v>
                </c:pt>
                <c:pt idx="72">
                  <c:v>1.6767477615170535E-2</c:v>
                </c:pt>
                <c:pt idx="73">
                  <c:v>9.0664330189673317E-3</c:v>
                </c:pt>
                <c:pt idx="74">
                  <c:v>1.243306003330065E-2</c:v>
                </c:pt>
                <c:pt idx="75">
                  <c:v>1.2899894019126388E-2</c:v>
                </c:pt>
                <c:pt idx="76">
                  <c:v>1.6458156132339984E-2</c:v>
                </c:pt>
                <c:pt idx="77">
                  <c:v>1.7650478566210045E-2</c:v>
                </c:pt>
                <c:pt idx="78">
                  <c:v>3.6859305952881304E-3</c:v>
                </c:pt>
                <c:pt idx="79">
                  <c:v>1.7521862739905188E-2</c:v>
                </c:pt>
                <c:pt idx="80">
                  <c:v>1.3804430186276724E-2</c:v>
                </c:pt>
                <c:pt idx="81">
                  <c:v>1.4770253919347984E-2</c:v>
                </c:pt>
                <c:pt idx="82">
                  <c:v>5.3635646672498252E-3</c:v>
                </c:pt>
                <c:pt idx="83">
                  <c:v>2.2260493779232064E-2</c:v>
                </c:pt>
                <c:pt idx="84">
                  <c:v>4.6590538953160919E-3</c:v>
                </c:pt>
                <c:pt idx="85">
                  <c:v>1.6218313753424658E-2</c:v>
                </c:pt>
                <c:pt idx="86">
                  <c:v>4.4123071449170881E-2</c:v>
                </c:pt>
                <c:pt idx="87">
                  <c:v>2.2274991601806352E-2</c:v>
                </c:pt>
                <c:pt idx="88">
                  <c:v>3.4301644465885273E-4</c:v>
                </c:pt>
                <c:pt idx="89">
                  <c:v>0</c:v>
                </c:pt>
                <c:pt idx="90">
                  <c:v>1.1775158236200954E-2</c:v>
                </c:pt>
                <c:pt idx="91">
                  <c:v>1.0286985448818797E-2</c:v>
                </c:pt>
                <c:pt idx="92">
                  <c:v>1.0063954143835617E-2</c:v>
                </c:pt>
                <c:pt idx="93">
                  <c:v>2.220658375249162E-2</c:v>
                </c:pt>
                <c:pt idx="94">
                  <c:v>9.9989405018790153E-3</c:v>
                </c:pt>
                <c:pt idx="95">
                  <c:v>7.0335119404131017E-3</c:v>
                </c:pt>
                <c:pt idx="96">
                  <c:v>1.0112011642788941E-2</c:v>
                </c:pt>
                <c:pt idx="97">
                  <c:v>8.8381197856438141E-3</c:v>
                </c:pt>
                <c:pt idx="98">
                  <c:v>1.411490265737907E-2</c:v>
                </c:pt>
                <c:pt idx="99">
                  <c:v>1.7028829557288048E-2</c:v>
                </c:pt>
                <c:pt idx="100">
                  <c:v>1.1511117851695954E-3</c:v>
                </c:pt>
                <c:pt idx="101">
                  <c:v>1.3981419232876709E-2</c:v>
                </c:pt>
                <c:pt idx="102">
                  <c:v>2.0245632305018461E-2</c:v>
                </c:pt>
                <c:pt idx="103">
                  <c:v>1.8408133246372534E-2</c:v>
                </c:pt>
                <c:pt idx="104">
                  <c:v>2.0346166596651446E-2</c:v>
                </c:pt>
                <c:pt idx="105">
                  <c:v>1.2419803325813286E-2</c:v>
                </c:pt>
                <c:pt idx="106">
                  <c:v>8.6807472677573692E-3</c:v>
                </c:pt>
                <c:pt idx="107">
                  <c:v>1.6927073265200723E-2</c:v>
                </c:pt>
                <c:pt idx="108">
                  <c:v>8.4207512996906472E-5</c:v>
                </c:pt>
                <c:pt idx="109">
                  <c:v>8.0869175638399425E-3</c:v>
                </c:pt>
                <c:pt idx="110">
                  <c:v>1.6707519674194742E-2</c:v>
                </c:pt>
                <c:pt idx="111">
                  <c:v>2.129839912079701E-2</c:v>
                </c:pt>
                <c:pt idx="112">
                  <c:v>1.2480868099964241E-2</c:v>
                </c:pt>
                <c:pt idx="113">
                  <c:v>1.1692530484648087E-2</c:v>
                </c:pt>
                <c:pt idx="114">
                  <c:v>1.4920913411373193E-2</c:v>
                </c:pt>
                <c:pt idx="115">
                  <c:v>9.4750220470134709E-3</c:v>
                </c:pt>
                <c:pt idx="116">
                  <c:v>2.7540924123093939E-2</c:v>
                </c:pt>
                <c:pt idx="117">
                  <c:v>6.1419422507342563E-3</c:v>
                </c:pt>
                <c:pt idx="118">
                  <c:v>1.6396512151930262E-2</c:v>
                </c:pt>
                <c:pt idx="119">
                  <c:v>9.4316915165367655E-3</c:v>
                </c:pt>
                <c:pt idx="120">
                  <c:v>5.7344895909281378E-3</c:v>
                </c:pt>
                <c:pt idx="121">
                  <c:v>1.3740715980105242E-2</c:v>
                </c:pt>
                <c:pt idx="122">
                  <c:v>6.4838486939811386E-3</c:v>
                </c:pt>
                <c:pt idx="123">
                  <c:v>1.6599893179336998E-2</c:v>
                </c:pt>
                <c:pt idx="124">
                  <c:v>4.9609068597689212E-3</c:v>
                </c:pt>
                <c:pt idx="125">
                  <c:v>5.5283386328898888E-3</c:v>
                </c:pt>
                <c:pt idx="126">
                  <c:v>5.7934377511256272E-3</c:v>
                </c:pt>
                <c:pt idx="127">
                  <c:v>2.1841003816721775E-2</c:v>
                </c:pt>
                <c:pt idx="128">
                  <c:v>1.5117665672736676E-2</c:v>
                </c:pt>
                <c:pt idx="129">
                  <c:v>1.3011787659552911E-2</c:v>
                </c:pt>
                <c:pt idx="130">
                  <c:v>9.0597473608358924E-3</c:v>
                </c:pt>
                <c:pt idx="131">
                  <c:v>5.2188489613917553E-2</c:v>
                </c:pt>
                <c:pt idx="132">
                  <c:v>1.6996747672397377E-2</c:v>
                </c:pt>
                <c:pt idx="133">
                  <c:v>8.1758800798879278E-3</c:v>
                </c:pt>
                <c:pt idx="134">
                  <c:v>1.5427007814175104E-2</c:v>
                </c:pt>
                <c:pt idx="135">
                  <c:v>2.164802634930392E-2</c:v>
                </c:pt>
                <c:pt idx="136">
                  <c:v>3.3617131584701261E-2</c:v>
                </c:pt>
                <c:pt idx="137">
                  <c:v>1.3888716829568118E-2</c:v>
                </c:pt>
                <c:pt idx="138">
                  <c:v>4.2463648585137894E-3</c:v>
                </c:pt>
                <c:pt idx="139">
                  <c:v>7.5236748969350368E-3</c:v>
                </c:pt>
              </c:numCache>
            </c:numRef>
          </c:yVal>
          <c:smooth val="0"/>
          <c:extLst>
            <c:ext xmlns:c16="http://schemas.microsoft.com/office/drawing/2014/chart" uri="{C3380CC4-5D6E-409C-BE32-E72D297353CC}">
              <c16:uniqueId val="{00000003-BE4D-4ACE-A43A-5EC36E2D06C8}"/>
            </c:ext>
          </c:extLst>
        </c:ser>
        <c:ser>
          <c:idx val="4"/>
          <c:order val="4"/>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Rates'!$V$167:$V$306</c:f>
              <c:numCache>
                <c:formatCode>0.00E+00</c:formatCode>
                <c:ptCount val="140"/>
                <c:pt idx="0">
                  <c:v>5.7213023433222898E-4</c:v>
                </c:pt>
                <c:pt idx="1">
                  <c:v>0</c:v>
                </c:pt>
                <c:pt idx="2">
                  <c:v>0</c:v>
                </c:pt>
                <c:pt idx="3">
                  <c:v>0</c:v>
                </c:pt>
                <c:pt idx="4">
                  <c:v>2.4992642098233691E-4</c:v>
                </c:pt>
                <c:pt idx="5">
                  <c:v>0</c:v>
                </c:pt>
                <c:pt idx="6">
                  <c:v>0</c:v>
                </c:pt>
                <c:pt idx="7">
                  <c:v>2.4403166714111061E-3</c:v>
                </c:pt>
                <c:pt idx="8">
                  <c:v>0</c:v>
                </c:pt>
                <c:pt idx="9">
                  <c:v>0</c:v>
                </c:pt>
                <c:pt idx="10">
                  <c:v>0</c:v>
                </c:pt>
                <c:pt idx="11">
                  <c:v>0</c:v>
                </c:pt>
                <c:pt idx="12">
                  <c:v>4.0461837818895916E-5</c:v>
                </c:pt>
                <c:pt idx="13">
                  <c:v>0</c:v>
                </c:pt>
                <c:pt idx="14">
                  <c:v>0</c:v>
                </c:pt>
                <c:pt idx="15">
                  <c:v>0</c:v>
                </c:pt>
                <c:pt idx="16">
                  <c:v>0</c:v>
                </c:pt>
                <c:pt idx="17">
                  <c:v>0</c:v>
                </c:pt>
                <c:pt idx="18">
                  <c:v>0</c:v>
                </c:pt>
                <c:pt idx="19">
                  <c:v>0</c:v>
                </c:pt>
                <c:pt idx="20">
                  <c:v>0</c:v>
                </c:pt>
                <c:pt idx="21">
                  <c:v>0</c:v>
                </c:pt>
                <c:pt idx="22">
                  <c:v>0</c:v>
                </c:pt>
                <c:pt idx="23">
                  <c:v>2.3842580747636347E-3</c:v>
                </c:pt>
                <c:pt idx="24">
                  <c:v>0</c:v>
                </c:pt>
                <c:pt idx="25">
                  <c:v>0</c:v>
                </c:pt>
                <c:pt idx="26">
                  <c:v>0</c:v>
                </c:pt>
                <c:pt idx="27">
                  <c:v>0</c:v>
                </c:pt>
                <c:pt idx="28">
                  <c:v>7.0345577189358528E-5</c:v>
                </c:pt>
                <c:pt idx="29">
                  <c:v>4.2507832636908002E-6</c:v>
                </c:pt>
                <c:pt idx="30">
                  <c:v>6.639759459679157E-3</c:v>
                </c:pt>
                <c:pt idx="31">
                  <c:v>1.1025314051843213E-3</c:v>
                </c:pt>
                <c:pt idx="32">
                  <c:v>8.4094766535990106E-4</c:v>
                </c:pt>
                <c:pt idx="33">
                  <c:v>8.7653645450251209E-6</c:v>
                </c:pt>
                <c:pt idx="34">
                  <c:v>1.0779222316336315E-2</c:v>
                </c:pt>
                <c:pt idx="35">
                  <c:v>1.2848947062177453E-3</c:v>
                </c:pt>
                <c:pt idx="36">
                  <c:v>6.6020270871823181E-4</c:v>
                </c:pt>
                <c:pt idx="37">
                  <c:v>1.6321045205479451E-3</c:v>
                </c:pt>
                <c:pt idx="38">
                  <c:v>1.2642537724167067E-3</c:v>
                </c:pt>
                <c:pt idx="39">
                  <c:v>3.0342973398871627E-3</c:v>
                </c:pt>
                <c:pt idx="40">
                  <c:v>4.7271302623786403E-4</c:v>
                </c:pt>
                <c:pt idx="41">
                  <c:v>5.6663429500775813E-3</c:v>
                </c:pt>
                <c:pt idx="42">
                  <c:v>3.5689053729071538E-3</c:v>
                </c:pt>
                <c:pt idx="43">
                  <c:v>2.9054774383561644E-3</c:v>
                </c:pt>
                <c:pt idx="44">
                  <c:v>5.0131291643835622E-3</c:v>
                </c:pt>
                <c:pt idx="45">
                  <c:v>1.2660469041790886E-3</c:v>
                </c:pt>
                <c:pt idx="46">
                  <c:v>6.6687436923862668E-3</c:v>
                </c:pt>
                <c:pt idx="47">
                  <c:v>1.654537194942044E-3</c:v>
                </c:pt>
                <c:pt idx="48">
                  <c:v>6.4276642907644703E-3</c:v>
                </c:pt>
                <c:pt idx="49">
                  <c:v>1.5350067287671233E-3</c:v>
                </c:pt>
                <c:pt idx="50">
                  <c:v>3.9075190651037984E-4</c:v>
                </c:pt>
                <c:pt idx="51">
                  <c:v>1.6838134096475964E-2</c:v>
                </c:pt>
                <c:pt idx="52">
                  <c:v>5.6088208539170166E-3</c:v>
                </c:pt>
                <c:pt idx="53">
                  <c:v>1.3172823287671235E-3</c:v>
                </c:pt>
                <c:pt idx="54">
                  <c:v>1.6950220638407858E-3</c:v>
                </c:pt>
                <c:pt idx="55">
                  <c:v>7.5197246859848021E-3</c:v>
                </c:pt>
                <c:pt idx="56">
                  <c:v>1.5982830652699436E-3</c:v>
                </c:pt>
                <c:pt idx="57">
                  <c:v>3.0625974468715287E-3</c:v>
                </c:pt>
                <c:pt idx="58">
                  <c:v>5.4379884906600251E-3</c:v>
                </c:pt>
                <c:pt idx="59">
                  <c:v>2.9825260273972603E-3</c:v>
                </c:pt>
                <c:pt idx="60">
                  <c:v>9.056851665092111E-3</c:v>
                </c:pt>
                <c:pt idx="61">
                  <c:v>9.1778081614996392E-3</c:v>
                </c:pt>
                <c:pt idx="62">
                  <c:v>2.9054232403091327E-3</c:v>
                </c:pt>
                <c:pt idx="63">
                  <c:v>9.5685115960861059E-3</c:v>
                </c:pt>
                <c:pt idx="64">
                  <c:v>3.3763880411474155E-3</c:v>
                </c:pt>
                <c:pt idx="65">
                  <c:v>2.3223570220356335E-3</c:v>
                </c:pt>
                <c:pt idx="66">
                  <c:v>3.2736210986399838E-3</c:v>
                </c:pt>
                <c:pt idx="67">
                  <c:v>4.3708269088541061E-3</c:v>
                </c:pt>
                <c:pt idx="68">
                  <c:v>8.947584672783641E-3</c:v>
                </c:pt>
                <c:pt idx="69">
                  <c:v>2.8000238395303328E-3</c:v>
                </c:pt>
                <c:pt idx="70">
                  <c:v>6.0129913873264986E-3</c:v>
                </c:pt>
                <c:pt idx="71">
                  <c:v>2.2699153444227004E-3</c:v>
                </c:pt>
                <c:pt idx="72">
                  <c:v>2.7151552622344658E-3</c:v>
                </c:pt>
                <c:pt idx="73">
                  <c:v>6.0029709220231807E-3</c:v>
                </c:pt>
                <c:pt idx="74">
                  <c:v>4.5029197077915408E-3</c:v>
                </c:pt>
                <c:pt idx="75">
                  <c:v>3.9654465546652877E-3</c:v>
                </c:pt>
                <c:pt idx="76">
                  <c:v>2.7579160426179604E-3</c:v>
                </c:pt>
                <c:pt idx="77">
                  <c:v>2.1164888401826484E-3</c:v>
                </c:pt>
                <c:pt idx="78">
                  <c:v>1.8578933666491735E-3</c:v>
                </c:pt>
                <c:pt idx="79">
                  <c:v>1.3737664039365309E-3</c:v>
                </c:pt>
                <c:pt idx="80">
                  <c:v>4.3470950319360862E-3</c:v>
                </c:pt>
                <c:pt idx="81">
                  <c:v>2.632743883442304E-3</c:v>
                </c:pt>
                <c:pt idx="82">
                  <c:v>9.8783460483717897E-4</c:v>
                </c:pt>
                <c:pt idx="83">
                  <c:v>1.1372865028746787E-3</c:v>
                </c:pt>
                <c:pt idx="84">
                  <c:v>1.7925601882561851E-3</c:v>
                </c:pt>
                <c:pt idx="85">
                  <c:v>4.432365068493151E-3</c:v>
                </c:pt>
                <c:pt idx="86">
                  <c:v>9.0077518529199721E-3</c:v>
                </c:pt>
                <c:pt idx="87">
                  <c:v>1.6006179098294352E-3</c:v>
                </c:pt>
                <c:pt idx="88">
                  <c:v>1.9454995501531563E-4</c:v>
                </c:pt>
                <c:pt idx="89">
                  <c:v>0</c:v>
                </c:pt>
                <c:pt idx="90">
                  <c:v>4.2171761467243224E-3</c:v>
                </c:pt>
                <c:pt idx="91">
                  <c:v>5.9919423584272298E-3</c:v>
                </c:pt>
                <c:pt idx="92">
                  <c:v>9.1033322191780806E-3</c:v>
                </c:pt>
                <c:pt idx="93">
                  <c:v>1.0256011327028285E-2</c:v>
                </c:pt>
                <c:pt idx="94">
                  <c:v>1.1742258838391894E-3</c:v>
                </c:pt>
                <c:pt idx="95">
                  <c:v>1.7022714400240647E-3</c:v>
                </c:pt>
                <c:pt idx="96">
                  <c:v>2.1263189508483999E-3</c:v>
                </c:pt>
                <c:pt idx="97">
                  <c:v>1.2677692497508769E-3</c:v>
                </c:pt>
                <c:pt idx="98">
                  <c:v>2.7219266494338517E-3</c:v>
                </c:pt>
                <c:pt idx="99">
                  <c:v>2.4701182072599422E-3</c:v>
                </c:pt>
                <c:pt idx="100">
                  <c:v>1.0733339618473254E-3</c:v>
                </c:pt>
                <c:pt idx="101">
                  <c:v>4.0597564349315069E-3</c:v>
                </c:pt>
                <c:pt idx="102">
                  <c:v>3.2709266409424302E-3</c:v>
                </c:pt>
                <c:pt idx="103">
                  <c:v>0</c:v>
                </c:pt>
                <c:pt idx="104">
                  <c:v>3.071817701674277E-3</c:v>
                </c:pt>
                <c:pt idx="105">
                  <c:v>3.3254646525911632E-3</c:v>
                </c:pt>
                <c:pt idx="106">
                  <c:v>1.3115009939665668E-3</c:v>
                </c:pt>
                <c:pt idx="107">
                  <c:v>2.4527140384970635E-3</c:v>
                </c:pt>
                <c:pt idx="108">
                  <c:v>1.0746147056090573E-5</c:v>
                </c:pt>
                <c:pt idx="109">
                  <c:v>3.3953833920515892E-3</c:v>
                </c:pt>
                <c:pt idx="110">
                  <c:v>5.2835717271380971E-3</c:v>
                </c:pt>
                <c:pt idx="111">
                  <c:v>2.1686579402241594E-3</c:v>
                </c:pt>
                <c:pt idx="112">
                  <c:v>5.097056735879445E-3</c:v>
                </c:pt>
                <c:pt idx="113">
                  <c:v>4.0795470949456774E-3</c:v>
                </c:pt>
                <c:pt idx="114">
                  <c:v>2.567630661114549E-3</c:v>
                </c:pt>
                <c:pt idx="115">
                  <c:v>6.8932276167123479E-3</c:v>
                </c:pt>
                <c:pt idx="116">
                  <c:v>4.0954789232451267E-3</c:v>
                </c:pt>
                <c:pt idx="117">
                  <c:v>1.4102131680245056E-3</c:v>
                </c:pt>
                <c:pt idx="118">
                  <c:v>1.6135013910336239E-3</c:v>
                </c:pt>
                <c:pt idx="119">
                  <c:v>2.9249069011378719E-3</c:v>
                </c:pt>
                <c:pt idx="120">
                  <c:v>1.5631881603589224E-3</c:v>
                </c:pt>
                <c:pt idx="121">
                  <c:v>3.8306962646146091E-3</c:v>
                </c:pt>
                <c:pt idx="122">
                  <c:v>2.187574486640169E-3</c:v>
                </c:pt>
                <c:pt idx="123">
                  <c:v>4.7656880445269096E-3</c:v>
                </c:pt>
                <c:pt idx="124">
                  <c:v>1.5850653928949179E-3</c:v>
                </c:pt>
                <c:pt idx="125">
                  <c:v>2.9570601593456388E-3</c:v>
                </c:pt>
                <c:pt idx="126">
                  <c:v>2.2437911862588523E-3</c:v>
                </c:pt>
                <c:pt idx="127">
                  <c:v>3.6231691898913555E-3</c:v>
                </c:pt>
                <c:pt idx="128">
                  <c:v>2.0170772973092119E-3</c:v>
                </c:pt>
                <c:pt idx="129">
                  <c:v>5.1296929465479519E-3</c:v>
                </c:pt>
                <c:pt idx="130">
                  <c:v>1.6263832697393746E-3</c:v>
                </c:pt>
                <c:pt idx="131">
                  <c:v>1.6906858270890508E-2</c:v>
                </c:pt>
                <c:pt idx="132">
                  <c:v>1.3645717529050496E-2</c:v>
                </c:pt>
                <c:pt idx="133">
                  <c:v>5.7754178864021944E-3</c:v>
                </c:pt>
                <c:pt idx="134">
                  <c:v>2.8420447290053606E-3</c:v>
                </c:pt>
                <c:pt idx="135">
                  <c:v>3.5670941353286006E-3</c:v>
                </c:pt>
                <c:pt idx="136">
                  <c:v>6.0164438273343154E-3</c:v>
                </c:pt>
                <c:pt idx="137">
                  <c:v>3.6325324210144598E-3</c:v>
                </c:pt>
                <c:pt idx="138">
                  <c:v>7.1567005299280736E-4</c:v>
                </c:pt>
                <c:pt idx="139">
                  <c:v>2.5985786377915533E-3</c:v>
                </c:pt>
              </c:numCache>
            </c:numRef>
          </c:yVal>
          <c:smooth val="0"/>
          <c:extLst>
            <c:ext xmlns:c16="http://schemas.microsoft.com/office/drawing/2014/chart" uri="{C3380CC4-5D6E-409C-BE32-E72D297353CC}">
              <c16:uniqueId val="{00000004-BE4D-4ACE-A43A-5EC36E2D06C8}"/>
            </c:ext>
          </c:extLst>
        </c:ser>
        <c:ser>
          <c:idx val="5"/>
          <c:order val="5"/>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Rates'!$W$167:$W$306</c:f>
              <c:numCache>
                <c:formatCode>0.00E+00</c:formatCode>
                <c:ptCount val="140"/>
                <c:pt idx="0">
                  <c:v>6.153710645132195E-4</c:v>
                </c:pt>
                <c:pt idx="1">
                  <c:v>0</c:v>
                </c:pt>
                <c:pt idx="2">
                  <c:v>0</c:v>
                </c:pt>
                <c:pt idx="3">
                  <c:v>0</c:v>
                </c:pt>
                <c:pt idx="4">
                  <c:v>3.2043857737233791E-4</c:v>
                </c:pt>
                <c:pt idx="5">
                  <c:v>0</c:v>
                </c:pt>
                <c:pt idx="6">
                  <c:v>0</c:v>
                </c:pt>
                <c:pt idx="7">
                  <c:v>2.5467976054292549E-3</c:v>
                </c:pt>
                <c:pt idx="8">
                  <c:v>0</c:v>
                </c:pt>
                <c:pt idx="9">
                  <c:v>0</c:v>
                </c:pt>
                <c:pt idx="10">
                  <c:v>0</c:v>
                </c:pt>
                <c:pt idx="11">
                  <c:v>0</c:v>
                </c:pt>
                <c:pt idx="12">
                  <c:v>4.0461837818895916E-5</c:v>
                </c:pt>
                <c:pt idx="13">
                  <c:v>0</c:v>
                </c:pt>
                <c:pt idx="14">
                  <c:v>0</c:v>
                </c:pt>
                <c:pt idx="15">
                  <c:v>0</c:v>
                </c:pt>
                <c:pt idx="16">
                  <c:v>0</c:v>
                </c:pt>
                <c:pt idx="17">
                  <c:v>0</c:v>
                </c:pt>
                <c:pt idx="18">
                  <c:v>0</c:v>
                </c:pt>
                <c:pt idx="19">
                  <c:v>0</c:v>
                </c:pt>
                <c:pt idx="20">
                  <c:v>0</c:v>
                </c:pt>
                <c:pt idx="21">
                  <c:v>0</c:v>
                </c:pt>
                <c:pt idx="22">
                  <c:v>0</c:v>
                </c:pt>
                <c:pt idx="23">
                  <c:v>7.2848660843886116E-3</c:v>
                </c:pt>
                <c:pt idx="24">
                  <c:v>0</c:v>
                </c:pt>
                <c:pt idx="25">
                  <c:v>0</c:v>
                </c:pt>
                <c:pt idx="26">
                  <c:v>0</c:v>
                </c:pt>
                <c:pt idx="27">
                  <c:v>0</c:v>
                </c:pt>
                <c:pt idx="28">
                  <c:v>7.0345577189358528E-5</c:v>
                </c:pt>
                <c:pt idx="29">
                  <c:v>1.5546229282045769E-5</c:v>
                </c:pt>
                <c:pt idx="30">
                  <c:v>7.5963785607638373E-3</c:v>
                </c:pt>
                <c:pt idx="31">
                  <c:v>1.1782153791951187E-3</c:v>
                </c:pt>
                <c:pt idx="32">
                  <c:v>8.4855805147175537E-4</c:v>
                </c:pt>
                <c:pt idx="33">
                  <c:v>8.7653645450251209E-6</c:v>
                </c:pt>
                <c:pt idx="34">
                  <c:v>1.2790056802718282E-2</c:v>
                </c:pt>
                <c:pt idx="35">
                  <c:v>1.7193822224821271E-3</c:v>
                </c:pt>
                <c:pt idx="36">
                  <c:v>6.6020270871823181E-4</c:v>
                </c:pt>
                <c:pt idx="37">
                  <c:v>1.6709793256059007E-3</c:v>
                </c:pt>
                <c:pt idx="38">
                  <c:v>1.3423575219311203E-3</c:v>
                </c:pt>
                <c:pt idx="39">
                  <c:v>3.0688583243435527E-3</c:v>
                </c:pt>
                <c:pt idx="40">
                  <c:v>4.8250004541463133E-4</c:v>
                </c:pt>
                <c:pt idx="41">
                  <c:v>5.6663429500775813E-3</c:v>
                </c:pt>
                <c:pt idx="42">
                  <c:v>4.4438717275494671E-3</c:v>
                </c:pt>
                <c:pt idx="43">
                  <c:v>5.2223202260273972E-3</c:v>
                </c:pt>
                <c:pt idx="44">
                  <c:v>5.1672263424657533E-3</c:v>
                </c:pt>
                <c:pt idx="45">
                  <c:v>1.9256633726621737E-3</c:v>
                </c:pt>
                <c:pt idx="46">
                  <c:v>6.7717608743757263E-3</c:v>
                </c:pt>
                <c:pt idx="47">
                  <c:v>1.654537194942044E-3</c:v>
                </c:pt>
                <c:pt idx="48">
                  <c:v>6.430069553689792E-3</c:v>
                </c:pt>
                <c:pt idx="49">
                  <c:v>3.0143396383561648E-3</c:v>
                </c:pt>
                <c:pt idx="50">
                  <c:v>3.9075190651037984E-4</c:v>
                </c:pt>
                <c:pt idx="51">
                  <c:v>1.8931229323810542E-2</c:v>
                </c:pt>
                <c:pt idx="52">
                  <c:v>6.1448468931352895E-3</c:v>
                </c:pt>
                <c:pt idx="53">
                  <c:v>1.4664086301369862E-3</c:v>
                </c:pt>
                <c:pt idx="54">
                  <c:v>1.8675958968725772E-3</c:v>
                </c:pt>
                <c:pt idx="55">
                  <c:v>9.6499951561321018E-3</c:v>
                </c:pt>
                <c:pt idx="56">
                  <c:v>1.6222602352941177E-3</c:v>
                </c:pt>
                <c:pt idx="57">
                  <c:v>3.0625974468715287E-3</c:v>
                </c:pt>
                <c:pt idx="58">
                  <c:v>5.970625462017435E-3</c:v>
                </c:pt>
                <c:pt idx="59">
                  <c:v>3.1896458904109586E-3</c:v>
                </c:pt>
                <c:pt idx="60">
                  <c:v>1.092950090930562E-2</c:v>
                </c:pt>
                <c:pt idx="61">
                  <c:v>1.1595223994232155E-2</c:v>
                </c:pt>
                <c:pt idx="62">
                  <c:v>2.9054232403091327E-3</c:v>
                </c:pt>
                <c:pt idx="63">
                  <c:v>9.5685115960861059E-3</c:v>
                </c:pt>
                <c:pt idx="64">
                  <c:v>3.3763880411474155E-3</c:v>
                </c:pt>
                <c:pt idx="65">
                  <c:v>2.3223570220356335E-3</c:v>
                </c:pt>
                <c:pt idx="66">
                  <c:v>3.2736210986399838E-3</c:v>
                </c:pt>
                <c:pt idx="67">
                  <c:v>4.5953181152173402E-3</c:v>
                </c:pt>
                <c:pt idx="68">
                  <c:v>9.3712670112171895E-3</c:v>
                </c:pt>
                <c:pt idx="69">
                  <c:v>2.8632249863013697E-3</c:v>
                </c:pt>
                <c:pt idx="70">
                  <c:v>7.1562967720386287E-3</c:v>
                </c:pt>
                <c:pt idx="71">
                  <c:v>2.2770165968688839E-3</c:v>
                </c:pt>
                <c:pt idx="72">
                  <c:v>5.805165357909284E-3</c:v>
                </c:pt>
                <c:pt idx="73">
                  <c:v>6.1087613751317172E-3</c:v>
                </c:pt>
                <c:pt idx="74">
                  <c:v>5.1948324647894586E-3</c:v>
                </c:pt>
                <c:pt idx="75">
                  <c:v>3.967322357198242E-3</c:v>
                </c:pt>
                <c:pt idx="76">
                  <c:v>2.7579160426179604E-3</c:v>
                </c:pt>
                <c:pt idx="77">
                  <c:v>2.6119195525114154E-3</c:v>
                </c:pt>
                <c:pt idx="78">
                  <c:v>2.1412261125984757E-3</c:v>
                </c:pt>
                <c:pt idx="79">
                  <c:v>1.8818717862144258E-3</c:v>
                </c:pt>
                <c:pt idx="80">
                  <c:v>4.3470950319360862E-3</c:v>
                </c:pt>
                <c:pt idx="81">
                  <c:v>2.6328940128229352E-3</c:v>
                </c:pt>
                <c:pt idx="82">
                  <c:v>9.9134378638189363E-4</c:v>
                </c:pt>
                <c:pt idx="83">
                  <c:v>1.4646532823100952E-3</c:v>
                </c:pt>
                <c:pt idx="84">
                  <c:v>2.2067916883661922E-3</c:v>
                </c:pt>
                <c:pt idx="85">
                  <c:v>4.564921780821918E-3</c:v>
                </c:pt>
                <c:pt idx="86">
                  <c:v>1.2241437966834896E-2</c:v>
                </c:pt>
                <c:pt idx="87">
                  <c:v>2.8602748855931425E-3</c:v>
                </c:pt>
                <c:pt idx="88">
                  <c:v>1.9454995501531563E-4</c:v>
                </c:pt>
                <c:pt idx="89">
                  <c:v>0</c:v>
                </c:pt>
                <c:pt idx="90">
                  <c:v>4.2171761467243224E-3</c:v>
                </c:pt>
                <c:pt idx="91">
                  <c:v>7.1345205174599751E-3</c:v>
                </c:pt>
                <c:pt idx="92">
                  <c:v>9.394542746575342E-3</c:v>
                </c:pt>
                <c:pt idx="93">
                  <c:v>1.0256011327028285E-2</c:v>
                </c:pt>
                <c:pt idx="94">
                  <c:v>1.8754428658019156E-3</c:v>
                </c:pt>
                <c:pt idx="95">
                  <c:v>2.137699186289354E-3</c:v>
                </c:pt>
                <c:pt idx="96">
                  <c:v>2.6611100931283045E-3</c:v>
                </c:pt>
                <c:pt idx="97">
                  <c:v>1.487655278515987E-3</c:v>
                </c:pt>
                <c:pt idx="98">
                  <c:v>2.722192022023247E-3</c:v>
                </c:pt>
                <c:pt idx="99">
                  <c:v>2.5410006090930987E-3</c:v>
                </c:pt>
                <c:pt idx="100">
                  <c:v>1.0733339618473254E-3</c:v>
                </c:pt>
                <c:pt idx="101">
                  <c:v>4.0597564349315069E-3</c:v>
                </c:pt>
                <c:pt idx="102">
                  <c:v>3.319564129696259E-3</c:v>
                </c:pt>
                <c:pt idx="103">
                  <c:v>3.9430827218422167E-3</c:v>
                </c:pt>
                <c:pt idx="104">
                  <c:v>3.071817701674277E-3</c:v>
                </c:pt>
                <c:pt idx="105">
                  <c:v>5.9210490050569768E-3</c:v>
                </c:pt>
                <c:pt idx="106">
                  <c:v>1.4747329162925569E-3</c:v>
                </c:pt>
                <c:pt idx="107">
                  <c:v>2.4527140384970635E-3</c:v>
                </c:pt>
                <c:pt idx="108">
                  <c:v>1.0746147056090573E-5</c:v>
                </c:pt>
                <c:pt idx="109">
                  <c:v>4.0144019166175639E-3</c:v>
                </c:pt>
                <c:pt idx="110">
                  <c:v>5.9721053258052579E-3</c:v>
                </c:pt>
                <c:pt idx="111">
                  <c:v>2.8546389265255291E-3</c:v>
                </c:pt>
                <c:pt idx="112">
                  <c:v>6.9241491425274214E-3</c:v>
                </c:pt>
                <c:pt idx="113">
                  <c:v>4.1391976154936229E-3</c:v>
                </c:pt>
                <c:pt idx="114">
                  <c:v>2.9153638126507889E-3</c:v>
                </c:pt>
                <c:pt idx="115">
                  <c:v>6.8932276167123479E-3</c:v>
                </c:pt>
                <c:pt idx="116">
                  <c:v>5.0902850931237292E-3</c:v>
                </c:pt>
                <c:pt idx="117">
                  <c:v>1.4177235583458677E-3</c:v>
                </c:pt>
                <c:pt idx="118">
                  <c:v>1.7588618767123288E-3</c:v>
                </c:pt>
                <c:pt idx="119">
                  <c:v>2.9983083310049356E-3</c:v>
                </c:pt>
                <c:pt idx="120">
                  <c:v>1.6289656611398191E-3</c:v>
                </c:pt>
                <c:pt idx="121">
                  <c:v>3.8541380195586815E-3</c:v>
                </c:pt>
                <c:pt idx="122">
                  <c:v>2.2312985416717761E-3</c:v>
                </c:pt>
                <c:pt idx="123">
                  <c:v>4.7656880445269096E-3</c:v>
                </c:pt>
                <c:pt idx="124">
                  <c:v>1.9241401966916237E-3</c:v>
                </c:pt>
                <c:pt idx="125">
                  <c:v>3.066756178443728E-3</c:v>
                </c:pt>
                <c:pt idx="126">
                  <c:v>2.2999746048038045E-3</c:v>
                </c:pt>
                <c:pt idx="127">
                  <c:v>4.3910839371752476E-3</c:v>
                </c:pt>
                <c:pt idx="128">
                  <c:v>2.2070415158620964E-3</c:v>
                </c:pt>
                <c:pt idx="129">
                  <c:v>5.485236695711714E-3</c:v>
                </c:pt>
                <c:pt idx="130">
                  <c:v>1.6293750447096305E-3</c:v>
                </c:pt>
                <c:pt idx="131">
                  <c:v>1.786772078640636E-2</c:v>
                </c:pt>
                <c:pt idx="132">
                  <c:v>1.4492372983994287E-2</c:v>
                </c:pt>
                <c:pt idx="133">
                  <c:v>7.0076036007572064E-3</c:v>
                </c:pt>
                <c:pt idx="134">
                  <c:v>2.8420447290053606E-3</c:v>
                </c:pt>
                <c:pt idx="135">
                  <c:v>4.5425515597136007E-3</c:v>
                </c:pt>
                <c:pt idx="136">
                  <c:v>6.4462112819068757E-3</c:v>
                </c:pt>
                <c:pt idx="137">
                  <c:v>4.9997858509222854E-3</c:v>
                </c:pt>
                <c:pt idx="138">
                  <c:v>9.204208963285444E-4</c:v>
                </c:pt>
                <c:pt idx="139">
                  <c:v>2.5985786377915533E-3</c:v>
                </c:pt>
              </c:numCache>
            </c:numRef>
          </c:yVal>
          <c:smooth val="0"/>
          <c:extLst>
            <c:ext xmlns:c16="http://schemas.microsoft.com/office/drawing/2014/chart" uri="{C3380CC4-5D6E-409C-BE32-E72D297353CC}">
              <c16:uniqueId val="{00000005-BE4D-4ACE-A43A-5EC36E2D06C8}"/>
            </c:ext>
          </c:extLst>
        </c:ser>
        <c:ser>
          <c:idx val="6"/>
          <c:order val="6"/>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Rates'!$X$167:$X$306</c:f>
              <c:numCache>
                <c:formatCode>0.00E+00</c:formatCode>
                <c:ptCount val="140"/>
                <c:pt idx="0">
                  <c:v>3.7835726408366587E-7</c:v>
                </c:pt>
                <c:pt idx="1">
                  <c:v>0</c:v>
                </c:pt>
                <c:pt idx="2">
                  <c:v>0</c:v>
                </c:pt>
                <c:pt idx="3">
                  <c:v>0</c:v>
                </c:pt>
                <c:pt idx="4">
                  <c:v>3.9173420216667228E-7</c:v>
                </c:pt>
                <c:pt idx="5">
                  <c:v>0</c:v>
                </c:pt>
                <c:pt idx="6">
                  <c:v>0</c:v>
                </c:pt>
                <c:pt idx="7">
                  <c:v>1.4164879161415928E-3</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4.739766744682474E-4</c:v>
                </c:pt>
                <c:pt idx="24">
                  <c:v>0</c:v>
                </c:pt>
                <c:pt idx="25">
                  <c:v>0</c:v>
                </c:pt>
                <c:pt idx="26">
                  <c:v>0</c:v>
                </c:pt>
                <c:pt idx="27">
                  <c:v>0</c:v>
                </c:pt>
                <c:pt idx="28">
                  <c:v>0</c:v>
                </c:pt>
                <c:pt idx="29">
                  <c:v>3.9976018153831976E-11</c:v>
                </c:pt>
                <c:pt idx="30">
                  <c:v>0</c:v>
                </c:pt>
                <c:pt idx="31">
                  <c:v>0</c:v>
                </c:pt>
                <c:pt idx="32">
                  <c:v>1.2366877431763251E-5</c:v>
                </c:pt>
                <c:pt idx="33">
                  <c:v>0</c:v>
                </c:pt>
                <c:pt idx="34">
                  <c:v>8.6578619329381152E-5</c:v>
                </c:pt>
                <c:pt idx="35">
                  <c:v>3.893941842955512E-4</c:v>
                </c:pt>
                <c:pt idx="36">
                  <c:v>2.0814143941789192E-4</c:v>
                </c:pt>
                <c:pt idx="37">
                  <c:v>2.698931138040042E-3</c:v>
                </c:pt>
                <c:pt idx="38">
                  <c:v>7.1347369798634144E-5</c:v>
                </c:pt>
                <c:pt idx="39">
                  <c:v>0</c:v>
                </c:pt>
                <c:pt idx="40">
                  <c:v>0</c:v>
                </c:pt>
                <c:pt idx="41">
                  <c:v>5.7810652386194883E-4</c:v>
                </c:pt>
                <c:pt idx="42">
                  <c:v>8.9383727549467284E-4</c:v>
                </c:pt>
                <c:pt idx="43">
                  <c:v>1.6652436986301368E-4</c:v>
                </c:pt>
                <c:pt idx="44">
                  <c:v>0</c:v>
                </c:pt>
                <c:pt idx="45">
                  <c:v>7.2212376474831532E-4</c:v>
                </c:pt>
                <c:pt idx="46">
                  <c:v>3.7086185516205571E-5</c:v>
                </c:pt>
                <c:pt idx="47">
                  <c:v>7.583773445732349E-5</c:v>
                </c:pt>
                <c:pt idx="48">
                  <c:v>5.7726310207688905E-5</c:v>
                </c:pt>
                <c:pt idx="49">
                  <c:v>3.4994972054794521E-4</c:v>
                </c:pt>
                <c:pt idx="50">
                  <c:v>6.38014588334981E-4</c:v>
                </c:pt>
                <c:pt idx="51">
                  <c:v>0</c:v>
                </c:pt>
                <c:pt idx="52">
                  <c:v>4.1066511069141931E-5</c:v>
                </c:pt>
                <c:pt idx="53">
                  <c:v>1.4912630136986303E-4</c:v>
                </c:pt>
                <c:pt idx="54">
                  <c:v>1.5240895580253294E-4</c:v>
                </c:pt>
                <c:pt idx="55">
                  <c:v>3.6714332506970404E-5</c:v>
                </c:pt>
                <c:pt idx="56">
                  <c:v>0</c:v>
                </c:pt>
                <c:pt idx="57">
                  <c:v>8.5982732321362464E-5</c:v>
                </c:pt>
                <c:pt idx="58">
                  <c:v>3.1934117061021178E-5</c:v>
                </c:pt>
                <c:pt idx="59">
                  <c:v>0</c:v>
                </c:pt>
                <c:pt idx="60">
                  <c:v>1.4826925366084082E-3</c:v>
                </c:pt>
                <c:pt idx="61">
                  <c:v>3.363751158718714E-5</c:v>
                </c:pt>
                <c:pt idx="62">
                  <c:v>0</c:v>
                </c:pt>
                <c:pt idx="63">
                  <c:v>8.4362879060665368E-5</c:v>
                </c:pt>
                <c:pt idx="64">
                  <c:v>2.2931275198150609E-5</c:v>
                </c:pt>
                <c:pt idx="65">
                  <c:v>5.239719847204468E-5</c:v>
                </c:pt>
                <c:pt idx="66">
                  <c:v>1.1562662823678946E-7</c:v>
                </c:pt>
                <c:pt idx="67">
                  <c:v>1.4988585808312211E-3</c:v>
                </c:pt>
                <c:pt idx="68">
                  <c:v>4.8859577743572427E-6</c:v>
                </c:pt>
                <c:pt idx="69">
                  <c:v>2.0593632093933464E-4</c:v>
                </c:pt>
                <c:pt idx="70">
                  <c:v>3.6941155579655757E-5</c:v>
                </c:pt>
                <c:pt idx="71">
                  <c:v>5.1732624070450095E-4</c:v>
                </c:pt>
                <c:pt idx="72">
                  <c:v>3.2120395456628837E-4</c:v>
                </c:pt>
                <c:pt idx="73">
                  <c:v>2.4726925184404632E-4</c:v>
                </c:pt>
                <c:pt idx="74">
                  <c:v>9.9094266512452195E-4</c:v>
                </c:pt>
                <c:pt idx="75">
                  <c:v>1.3224407857327475E-6</c:v>
                </c:pt>
                <c:pt idx="76">
                  <c:v>1.070401911933563E-4</c:v>
                </c:pt>
                <c:pt idx="77">
                  <c:v>4.1644900456621004E-4</c:v>
                </c:pt>
                <c:pt idx="78">
                  <c:v>2.77121066229056E-4</c:v>
                </c:pt>
                <c:pt idx="79">
                  <c:v>4.500128184425801E-6</c:v>
                </c:pt>
                <c:pt idx="80">
                  <c:v>3.4505486024111231E-4</c:v>
                </c:pt>
                <c:pt idx="81">
                  <c:v>1.5313196824401393E-5</c:v>
                </c:pt>
                <c:pt idx="82">
                  <c:v>4.1671530843486674E-4</c:v>
                </c:pt>
                <c:pt idx="83">
                  <c:v>4.1368069805704981E-4</c:v>
                </c:pt>
                <c:pt idx="84">
                  <c:v>2.233859894436131E-4</c:v>
                </c:pt>
                <c:pt idx="85">
                  <c:v>8.2317718356164377E-3</c:v>
                </c:pt>
                <c:pt idx="86">
                  <c:v>2.0877682191780822E-3</c:v>
                </c:pt>
                <c:pt idx="87">
                  <c:v>1.3013776109378927E-6</c:v>
                </c:pt>
                <c:pt idx="88">
                  <c:v>0</c:v>
                </c:pt>
                <c:pt idx="89">
                  <c:v>0</c:v>
                </c:pt>
                <c:pt idx="90">
                  <c:v>2.8514346164635126E-4</c:v>
                </c:pt>
                <c:pt idx="91">
                  <c:v>1.965626945625309E-4</c:v>
                </c:pt>
                <c:pt idx="92">
                  <c:v>1.201295205479452E-4</c:v>
                </c:pt>
                <c:pt idx="93">
                  <c:v>2.200728699266296E-5</c:v>
                </c:pt>
                <c:pt idx="94">
                  <c:v>2.2218838774715915E-4</c:v>
                </c:pt>
                <c:pt idx="95">
                  <c:v>1.2491717437710008E-4</c:v>
                </c:pt>
                <c:pt idx="96">
                  <c:v>3.4246123009497808E-3</c:v>
                </c:pt>
                <c:pt idx="97">
                  <c:v>8.4565458668036739E-5</c:v>
                </c:pt>
                <c:pt idx="98">
                  <c:v>3.9540515819990627E-5</c:v>
                </c:pt>
                <c:pt idx="99">
                  <c:v>7.6222266855824564E-5</c:v>
                </c:pt>
                <c:pt idx="100">
                  <c:v>3.4274972989474903E-5</c:v>
                </c:pt>
                <c:pt idx="101">
                  <c:v>3.678448767123288E-4</c:v>
                </c:pt>
                <c:pt idx="102">
                  <c:v>2.3763521902555676E-4</c:v>
                </c:pt>
                <c:pt idx="103">
                  <c:v>0</c:v>
                </c:pt>
                <c:pt idx="104">
                  <c:v>4.413033881278539E-4</c:v>
                </c:pt>
                <c:pt idx="105">
                  <c:v>9.9548699147146457E-5</c:v>
                </c:pt>
                <c:pt idx="106">
                  <c:v>8.8120691902301583E-5</c:v>
                </c:pt>
                <c:pt idx="107">
                  <c:v>2.0343156686073761E-3</c:v>
                </c:pt>
                <c:pt idx="108">
                  <c:v>4.5803249747271305E-6</c:v>
                </c:pt>
                <c:pt idx="109">
                  <c:v>2.7454029929282629E-4</c:v>
                </c:pt>
                <c:pt idx="110">
                  <c:v>1.1486755646057015E-4</c:v>
                </c:pt>
                <c:pt idx="111">
                  <c:v>6.6880886674968863E-4</c:v>
                </c:pt>
                <c:pt idx="112">
                  <c:v>3.0838920231603616E-4</c:v>
                </c:pt>
                <c:pt idx="113">
                  <c:v>9.7132073689182795E-6</c:v>
                </c:pt>
                <c:pt idx="114">
                  <c:v>1.0529787387918834E-4</c:v>
                </c:pt>
                <c:pt idx="115">
                  <c:v>2.812700816082317E-4</c:v>
                </c:pt>
                <c:pt idx="116">
                  <c:v>1.103785779825928E-4</c:v>
                </c:pt>
                <c:pt idx="117">
                  <c:v>6.1548564584819634E-7</c:v>
                </c:pt>
                <c:pt idx="118">
                  <c:v>2.5908811955168115E-4</c:v>
                </c:pt>
                <c:pt idx="119">
                  <c:v>9.1051392010671096E-5</c:v>
                </c:pt>
                <c:pt idx="120">
                  <c:v>4.2286799225138425E-4</c:v>
                </c:pt>
                <c:pt idx="121">
                  <c:v>4.8187412974701177E-4</c:v>
                </c:pt>
                <c:pt idx="122">
                  <c:v>9.5085022101787668E-4</c:v>
                </c:pt>
                <c:pt idx="123">
                  <c:v>8.5771307326368426E-4</c:v>
                </c:pt>
                <c:pt idx="124">
                  <c:v>2.210147607397051E-4</c:v>
                </c:pt>
                <c:pt idx="125">
                  <c:v>1.5506038661639283E-3</c:v>
                </c:pt>
                <c:pt idx="126">
                  <c:v>6.6574623625353815E-4</c:v>
                </c:pt>
                <c:pt idx="127">
                  <c:v>8.9132961738308932E-5</c:v>
                </c:pt>
                <c:pt idx="128">
                  <c:v>3.5452109216712614E-6</c:v>
                </c:pt>
                <c:pt idx="129">
                  <c:v>7.9937688570376041E-4</c:v>
                </c:pt>
                <c:pt idx="130">
                  <c:v>8.7740600491307785E-5</c:v>
                </c:pt>
                <c:pt idx="131">
                  <c:v>3.3308230198872749E-4</c:v>
                </c:pt>
                <c:pt idx="132">
                  <c:v>2.4602541309873844E-6</c:v>
                </c:pt>
                <c:pt idx="133">
                  <c:v>1.2521512334756177E-3</c:v>
                </c:pt>
                <c:pt idx="134">
                  <c:v>8.5702237022036928E-2</c:v>
                </c:pt>
                <c:pt idx="135">
                  <c:v>5.1345173631020156E-4</c:v>
                </c:pt>
                <c:pt idx="136">
                  <c:v>5.7101969488661762E-6</c:v>
                </c:pt>
                <c:pt idx="137">
                  <c:v>9.0920331580059436E-4</c:v>
                </c:pt>
                <c:pt idx="138">
                  <c:v>2.8258011127037398E-5</c:v>
                </c:pt>
                <c:pt idx="139">
                  <c:v>3.9593079315537626E-6</c:v>
                </c:pt>
              </c:numCache>
            </c:numRef>
          </c:yVal>
          <c:smooth val="0"/>
          <c:extLst>
            <c:ext xmlns:c16="http://schemas.microsoft.com/office/drawing/2014/chart" uri="{C3380CC4-5D6E-409C-BE32-E72D297353CC}">
              <c16:uniqueId val="{00000006-BE4D-4ACE-A43A-5EC36E2D06C8}"/>
            </c:ext>
          </c:extLst>
        </c:ser>
        <c:ser>
          <c:idx val="7"/>
          <c:order val="7"/>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Rates'!$Y$167:$Y$306</c:f>
              <c:numCache>
                <c:formatCode>0.00E+00</c:formatCode>
                <c:ptCount val="140"/>
                <c:pt idx="0">
                  <c:v>0</c:v>
                </c:pt>
                <c:pt idx="1">
                  <c:v>0</c:v>
                </c:pt>
                <c:pt idx="2">
                  <c:v>0</c:v>
                </c:pt>
                <c:pt idx="3">
                  <c:v>0</c:v>
                </c:pt>
                <c:pt idx="4">
                  <c:v>0</c:v>
                </c:pt>
                <c:pt idx="5">
                  <c:v>0</c:v>
                </c:pt>
                <c:pt idx="6">
                  <c:v>0</c:v>
                </c:pt>
                <c:pt idx="7">
                  <c:v>3.6265245643862346E-7</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3.8850547087561263E-8</c:v>
                </c:pt>
                <c:pt idx="24">
                  <c:v>0</c:v>
                </c:pt>
                <c:pt idx="25">
                  <c:v>0</c:v>
                </c:pt>
                <c:pt idx="26">
                  <c:v>0</c:v>
                </c:pt>
                <c:pt idx="27">
                  <c:v>0</c:v>
                </c:pt>
                <c:pt idx="28">
                  <c:v>3.7575898374439963E-10</c:v>
                </c:pt>
                <c:pt idx="29">
                  <c:v>0</c:v>
                </c:pt>
                <c:pt idx="30">
                  <c:v>4.0630596228865481E-7</c:v>
                </c:pt>
                <c:pt idx="31">
                  <c:v>0</c:v>
                </c:pt>
                <c:pt idx="32">
                  <c:v>2.9490246183435447E-8</c:v>
                </c:pt>
                <c:pt idx="33">
                  <c:v>2.2023529007600801E-10</c:v>
                </c:pt>
                <c:pt idx="34">
                  <c:v>7.7368127911361895E-7</c:v>
                </c:pt>
                <c:pt idx="35">
                  <c:v>5.9682351135217322E-7</c:v>
                </c:pt>
                <c:pt idx="36">
                  <c:v>5.223122695555631E-8</c:v>
                </c:pt>
                <c:pt idx="37">
                  <c:v>3.5051053740779766E-8</c:v>
                </c:pt>
                <c:pt idx="38">
                  <c:v>0</c:v>
                </c:pt>
                <c:pt idx="39">
                  <c:v>9.2293538036950989E-8</c:v>
                </c:pt>
                <c:pt idx="40">
                  <c:v>3.6407711337574625E-9</c:v>
                </c:pt>
                <c:pt idx="41">
                  <c:v>7.8175324389715883E-8</c:v>
                </c:pt>
                <c:pt idx="42">
                  <c:v>9.6655936073059352E-6</c:v>
                </c:pt>
                <c:pt idx="43">
                  <c:v>1.6818132876712329E-7</c:v>
                </c:pt>
                <c:pt idx="44">
                  <c:v>1.5832242328767121E-6</c:v>
                </c:pt>
                <c:pt idx="45">
                  <c:v>4.0574911610763343E-8</c:v>
                </c:pt>
                <c:pt idx="46">
                  <c:v>3.7380520321889747E-8</c:v>
                </c:pt>
                <c:pt idx="47">
                  <c:v>3.8747346680716537E-7</c:v>
                </c:pt>
                <c:pt idx="48">
                  <c:v>7.2959642068051252E-7</c:v>
                </c:pt>
                <c:pt idx="49">
                  <c:v>2.5530422794520549E-7</c:v>
                </c:pt>
                <c:pt idx="50">
                  <c:v>1.247843793249541E-8</c:v>
                </c:pt>
                <c:pt idx="51">
                  <c:v>0</c:v>
                </c:pt>
                <c:pt idx="52">
                  <c:v>5.7817324794712976E-7</c:v>
                </c:pt>
                <c:pt idx="53">
                  <c:v>4.374371506849315E-7</c:v>
                </c:pt>
                <c:pt idx="54">
                  <c:v>2.4854383561643835E-8</c:v>
                </c:pt>
                <c:pt idx="55">
                  <c:v>0</c:v>
                </c:pt>
                <c:pt idx="56">
                  <c:v>0</c:v>
                </c:pt>
                <c:pt idx="57">
                  <c:v>4.1513537948907806E-7</c:v>
                </c:pt>
                <c:pt idx="58">
                  <c:v>1.8075915317559155E-7</c:v>
                </c:pt>
                <c:pt idx="59">
                  <c:v>2.1747585616438357E-7</c:v>
                </c:pt>
                <c:pt idx="60">
                  <c:v>1.0927358290033066E-6</c:v>
                </c:pt>
                <c:pt idx="61">
                  <c:v>5.3670518488000817E-8</c:v>
                </c:pt>
                <c:pt idx="62">
                  <c:v>2.6151424305212714E-9</c:v>
                </c:pt>
                <c:pt idx="63">
                  <c:v>4.2607514677103719E-7</c:v>
                </c:pt>
                <c:pt idx="64">
                  <c:v>3.5527327771782646E-8</c:v>
                </c:pt>
                <c:pt idx="65">
                  <c:v>4.1468918716236476E-7</c:v>
                </c:pt>
                <c:pt idx="66">
                  <c:v>0</c:v>
                </c:pt>
                <c:pt idx="67">
                  <c:v>7.7474784752424576E-8</c:v>
                </c:pt>
                <c:pt idx="68">
                  <c:v>0</c:v>
                </c:pt>
                <c:pt idx="69">
                  <c:v>2.6132609001956945E-8</c:v>
                </c:pt>
                <c:pt idx="70">
                  <c:v>9.8198008502882405E-7</c:v>
                </c:pt>
                <c:pt idx="71">
                  <c:v>6.5686585127201565E-7</c:v>
                </c:pt>
                <c:pt idx="72">
                  <c:v>4.5585714076001616E-8</c:v>
                </c:pt>
                <c:pt idx="73">
                  <c:v>3.8237513171759735E-8</c:v>
                </c:pt>
                <c:pt idx="74">
                  <c:v>4.5482578976282159E-7</c:v>
                </c:pt>
                <c:pt idx="75">
                  <c:v>1.6038111656758853E-10</c:v>
                </c:pt>
                <c:pt idx="76">
                  <c:v>2.7583682341317529E-7</c:v>
                </c:pt>
                <c:pt idx="77">
                  <c:v>6.517371689497717E-8</c:v>
                </c:pt>
                <c:pt idx="78">
                  <c:v>4.7890046875447859E-7</c:v>
                </c:pt>
                <c:pt idx="79">
                  <c:v>6.9547435577489643E-8</c:v>
                </c:pt>
                <c:pt idx="80">
                  <c:v>1.8929575486229484E-8</c:v>
                </c:pt>
                <c:pt idx="81">
                  <c:v>7.5064690315693091E-10</c:v>
                </c:pt>
                <c:pt idx="82">
                  <c:v>4.3864769308933349E-8</c:v>
                </c:pt>
                <c:pt idx="83">
                  <c:v>1.2298615347642021E-7</c:v>
                </c:pt>
                <c:pt idx="84">
                  <c:v>4.5830283923470923E-7</c:v>
                </c:pt>
                <c:pt idx="85">
                  <c:v>4.4489346575342464E-8</c:v>
                </c:pt>
                <c:pt idx="86">
                  <c:v>0</c:v>
                </c:pt>
                <c:pt idx="87">
                  <c:v>2.0668938526660652E-9</c:v>
                </c:pt>
                <c:pt idx="88">
                  <c:v>0</c:v>
                </c:pt>
                <c:pt idx="89">
                  <c:v>0</c:v>
                </c:pt>
                <c:pt idx="90">
                  <c:v>7.6650078312006488E-7</c:v>
                </c:pt>
                <c:pt idx="91">
                  <c:v>7.9217934626084999E-7</c:v>
                </c:pt>
                <c:pt idx="92">
                  <c:v>1.056311301369863E-6</c:v>
                </c:pt>
                <c:pt idx="93">
                  <c:v>3.7243101064506548E-7</c:v>
                </c:pt>
                <c:pt idx="94">
                  <c:v>2.6085333469447647E-7</c:v>
                </c:pt>
                <c:pt idx="95">
                  <c:v>9.177278749015853E-8</c:v>
                </c:pt>
                <c:pt idx="96">
                  <c:v>2.0080506722823582E-9</c:v>
                </c:pt>
                <c:pt idx="97">
                  <c:v>3.9115483691020739E-7</c:v>
                </c:pt>
                <c:pt idx="98">
                  <c:v>3.184471072750923E-7</c:v>
                </c:pt>
                <c:pt idx="99">
                  <c:v>1.2316140294217981E-9</c:v>
                </c:pt>
                <c:pt idx="100">
                  <c:v>3.0583822052146833E-9</c:v>
                </c:pt>
                <c:pt idx="101">
                  <c:v>4.950164726027398E-8</c:v>
                </c:pt>
                <c:pt idx="102">
                  <c:v>6.4849985005105213E-8</c:v>
                </c:pt>
                <c:pt idx="103">
                  <c:v>3.1778821512196022E-7</c:v>
                </c:pt>
                <c:pt idx="104">
                  <c:v>2.5222596651445963E-8</c:v>
                </c:pt>
                <c:pt idx="105">
                  <c:v>3.4653709324736387E-7</c:v>
                </c:pt>
                <c:pt idx="106">
                  <c:v>2.528253834522859E-7</c:v>
                </c:pt>
                <c:pt idx="107">
                  <c:v>0</c:v>
                </c:pt>
                <c:pt idx="108">
                  <c:v>6.5181547717270696E-10</c:v>
                </c:pt>
                <c:pt idx="109">
                  <c:v>1.4451794347843786E-6</c:v>
                </c:pt>
                <c:pt idx="110">
                  <c:v>1.7801112550907069E-7</c:v>
                </c:pt>
                <c:pt idx="111">
                  <c:v>6.100621419676213E-7</c:v>
                </c:pt>
                <c:pt idx="112">
                  <c:v>3.4409742574210344E-9</c:v>
                </c:pt>
                <c:pt idx="113">
                  <c:v>1.5084039678790741E-8</c:v>
                </c:pt>
                <c:pt idx="114">
                  <c:v>2.615389955962561E-8</c:v>
                </c:pt>
                <c:pt idx="115">
                  <c:v>2.4259969088169028E-9</c:v>
                </c:pt>
                <c:pt idx="116">
                  <c:v>6.9248917745733136E-7</c:v>
                </c:pt>
                <c:pt idx="117">
                  <c:v>0</c:v>
                </c:pt>
                <c:pt idx="118">
                  <c:v>9.489855541718556E-8</c:v>
                </c:pt>
                <c:pt idx="119">
                  <c:v>2.6502959028336877E-9</c:v>
                </c:pt>
                <c:pt idx="120">
                  <c:v>1.3084771660716051E-7</c:v>
                </c:pt>
                <c:pt idx="121">
                  <c:v>1.4962822304727559E-6</c:v>
                </c:pt>
                <c:pt idx="122">
                  <c:v>2.366242978181089E-7</c:v>
                </c:pt>
                <c:pt idx="123">
                  <c:v>1.3846843894939556E-6</c:v>
                </c:pt>
                <c:pt idx="124">
                  <c:v>1.7689131030426041E-7</c:v>
                </c:pt>
                <c:pt idx="125">
                  <c:v>6.530651697815482E-8</c:v>
                </c:pt>
                <c:pt idx="126">
                  <c:v>1.3364017032537227E-6</c:v>
                </c:pt>
                <c:pt idx="127">
                  <c:v>7.5848722248464816E-7</c:v>
                </c:pt>
                <c:pt idx="128">
                  <c:v>5.7314243233685393E-7</c:v>
                </c:pt>
                <c:pt idx="129">
                  <c:v>5.7746031743376125E-7</c:v>
                </c:pt>
                <c:pt idx="130">
                  <c:v>0</c:v>
                </c:pt>
                <c:pt idx="131">
                  <c:v>1.6047312255951382E-6</c:v>
                </c:pt>
                <c:pt idx="132">
                  <c:v>1.8041863627240818E-7</c:v>
                </c:pt>
                <c:pt idx="133">
                  <c:v>2.4956898900756799E-7</c:v>
                </c:pt>
                <c:pt idx="134">
                  <c:v>1.3940067301965453E-8</c:v>
                </c:pt>
                <c:pt idx="135">
                  <c:v>1.4525943031172697E-6</c:v>
                </c:pt>
                <c:pt idx="136">
                  <c:v>2.8550984744330882E-7</c:v>
                </c:pt>
                <c:pt idx="137">
                  <c:v>2.9490246183435446E-7</c:v>
                </c:pt>
                <c:pt idx="138">
                  <c:v>1.9157973645449085E-8</c:v>
                </c:pt>
                <c:pt idx="139">
                  <c:v>1.6402847145008443E-8</c:v>
                </c:pt>
              </c:numCache>
            </c:numRef>
          </c:yVal>
          <c:smooth val="0"/>
          <c:extLst>
            <c:ext xmlns:c16="http://schemas.microsoft.com/office/drawing/2014/chart" uri="{C3380CC4-5D6E-409C-BE32-E72D297353CC}">
              <c16:uniqueId val="{00000007-BE4D-4ACE-A43A-5EC36E2D06C8}"/>
            </c:ext>
          </c:extLst>
        </c:ser>
        <c:ser>
          <c:idx val="8"/>
          <c:order val="8"/>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Rates'!$Z$167:$Z$306</c:f>
              <c:numCache>
                <c:formatCode>0.00E+00</c:formatCode>
                <c:ptCount val="140"/>
                <c:pt idx="0">
                  <c:v>2.7955196712010287E-5</c:v>
                </c:pt>
                <c:pt idx="1">
                  <c:v>0</c:v>
                </c:pt>
                <c:pt idx="2">
                  <c:v>0</c:v>
                </c:pt>
                <c:pt idx="3">
                  <c:v>0</c:v>
                </c:pt>
                <c:pt idx="4">
                  <c:v>3.6823015003667196E-5</c:v>
                </c:pt>
                <c:pt idx="5">
                  <c:v>0</c:v>
                </c:pt>
                <c:pt idx="6">
                  <c:v>0</c:v>
                </c:pt>
                <c:pt idx="7">
                  <c:v>2.6508780030927274E-4</c:v>
                </c:pt>
                <c:pt idx="8">
                  <c:v>0</c:v>
                </c:pt>
                <c:pt idx="9">
                  <c:v>0</c:v>
                </c:pt>
                <c:pt idx="10">
                  <c:v>0</c:v>
                </c:pt>
                <c:pt idx="11">
                  <c:v>0</c:v>
                </c:pt>
                <c:pt idx="12">
                  <c:v>4.7867117570656116E-6</c:v>
                </c:pt>
                <c:pt idx="13">
                  <c:v>0</c:v>
                </c:pt>
                <c:pt idx="14">
                  <c:v>0</c:v>
                </c:pt>
                <c:pt idx="15">
                  <c:v>0</c:v>
                </c:pt>
                <c:pt idx="16">
                  <c:v>0</c:v>
                </c:pt>
                <c:pt idx="17">
                  <c:v>0</c:v>
                </c:pt>
                <c:pt idx="18">
                  <c:v>0</c:v>
                </c:pt>
                <c:pt idx="19">
                  <c:v>0</c:v>
                </c:pt>
                <c:pt idx="20">
                  <c:v>0</c:v>
                </c:pt>
                <c:pt idx="21">
                  <c:v>0</c:v>
                </c:pt>
                <c:pt idx="22">
                  <c:v>0</c:v>
                </c:pt>
                <c:pt idx="23">
                  <c:v>3.3003539750883293E-4</c:v>
                </c:pt>
                <c:pt idx="24">
                  <c:v>0</c:v>
                </c:pt>
                <c:pt idx="25">
                  <c:v>0</c:v>
                </c:pt>
                <c:pt idx="26">
                  <c:v>0</c:v>
                </c:pt>
                <c:pt idx="27">
                  <c:v>0</c:v>
                </c:pt>
                <c:pt idx="28">
                  <c:v>1.2146627614063149E-5</c:v>
                </c:pt>
                <c:pt idx="29">
                  <c:v>2.4163282084093997E-8</c:v>
                </c:pt>
                <c:pt idx="30">
                  <c:v>1.6149376222612357E-3</c:v>
                </c:pt>
                <c:pt idx="31">
                  <c:v>1.0227564055513184E-4</c:v>
                </c:pt>
                <c:pt idx="32">
                  <c:v>2.6826611044286435E-4</c:v>
                </c:pt>
                <c:pt idx="33">
                  <c:v>3.3695999381629229E-6</c:v>
                </c:pt>
                <c:pt idx="34">
                  <c:v>1.5713098359140878E-3</c:v>
                </c:pt>
                <c:pt idx="35">
                  <c:v>2.1034713088989926E-4</c:v>
                </c:pt>
                <c:pt idx="36">
                  <c:v>1.4415818639733542E-4</c:v>
                </c:pt>
                <c:pt idx="37">
                  <c:v>5.5380664910432021E-4</c:v>
                </c:pt>
                <c:pt idx="38">
                  <c:v>7.296890093042128E-6</c:v>
                </c:pt>
                <c:pt idx="39">
                  <c:v>2.2052264513935311E-4</c:v>
                </c:pt>
                <c:pt idx="40">
                  <c:v>1.1940163395656192E-4</c:v>
                </c:pt>
                <c:pt idx="41">
                  <c:v>6.1113559841660388E-4</c:v>
                </c:pt>
                <c:pt idx="42">
                  <c:v>9.3894337899543367E-5</c:v>
                </c:pt>
                <c:pt idx="43">
                  <c:v>6.8639522602739734E-4</c:v>
                </c:pt>
                <c:pt idx="44">
                  <c:v>3.2559242465753427E-4</c:v>
                </c:pt>
                <c:pt idx="45">
                  <c:v>1.9300498495930675E-4</c:v>
                </c:pt>
                <c:pt idx="46">
                  <c:v>4.568076184218337E-4</c:v>
                </c:pt>
                <c:pt idx="47">
                  <c:v>1.1088878819810325E-4</c:v>
                </c:pt>
                <c:pt idx="48">
                  <c:v>1.8627425099425538E-4</c:v>
                </c:pt>
                <c:pt idx="49">
                  <c:v>3.8971673424657534E-4</c:v>
                </c:pt>
                <c:pt idx="50">
                  <c:v>1.1402268747352067E-4</c:v>
                </c:pt>
                <c:pt idx="51">
                  <c:v>4.9798548159633166E-4</c:v>
                </c:pt>
                <c:pt idx="52">
                  <c:v>1.286030215059971E-4</c:v>
                </c:pt>
                <c:pt idx="53">
                  <c:v>7.530878219178082E-5</c:v>
                </c:pt>
                <c:pt idx="54">
                  <c:v>2.3799244636857071E-4</c:v>
                </c:pt>
                <c:pt idx="55">
                  <c:v>2.0622965059629664E-4</c:v>
                </c:pt>
                <c:pt idx="56">
                  <c:v>2.6404127477840453E-4</c:v>
                </c:pt>
                <c:pt idx="57">
                  <c:v>6.2525568159940757E-4</c:v>
                </c:pt>
                <c:pt idx="58">
                  <c:v>7.1874358281444578E-4</c:v>
                </c:pt>
                <c:pt idx="59">
                  <c:v>9.4778049315068485E-4</c:v>
                </c:pt>
                <c:pt idx="60">
                  <c:v>1.7230944189891356E-3</c:v>
                </c:pt>
                <c:pt idx="61">
                  <c:v>4.1112514162117614E-4</c:v>
                </c:pt>
                <c:pt idx="62">
                  <c:v>1.956998252173418E-4</c:v>
                </c:pt>
                <c:pt idx="63">
                  <c:v>1.2103374669275929E-3</c:v>
                </c:pt>
                <c:pt idx="64">
                  <c:v>1.4953775234850328E-4</c:v>
                </c:pt>
                <c:pt idx="65">
                  <c:v>9.2207360439631667E-5</c:v>
                </c:pt>
                <c:pt idx="66">
                  <c:v>2.7426636217766466E-4</c:v>
                </c:pt>
                <c:pt idx="67">
                  <c:v>1.4068678233365116E-3</c:v>
                </c:pt>
                <c:pt idx="68">
                  <c:v>1.4315856278866721E-3</c:v>
                </c:pt>
                <c:pt idx="69">
                  <c:v>6.2988109197651646E-4</c:v>
                </c:pt>
                <c:pt idx="70">
                  <c:v>1.9125231179847093E-4</c:v>
                </c:pt>
                <c:pt idx="71">
                  <c:v>3.2594748727984336E-4</c:v>
                </c:pt>
                <c:pt idx="72">
                  <c:v>2.808781305759792E-4</c:v>
                </c:pt>
                <c:pt idx="73">
                  <c:v>1.2522785563751315E-4</c:v>
                </c:pt>
                <c:pt idx="74">
                  <c:v>2.360762432578455E-4</c:v>
                </c:pt>
                <c:pt idx="75">
                  <c:v>2.2884790902041871E-4</c:v>
                </c:pt>
                <c:pt idx="76">
                  <c:v>2.510954877299794E-4</c:v>
                </c:pt>
                <c:pt idx="77">
                  <c:v>6.2246422831050232E-4</c:v>
                </c:pt>
                <c:pt idx="78">
                  <c:v>1.8795340572874515E-4</c:v>
                </c:pt>
                <c:pt idx="79">
                  <c:v>4.0746615197164533E-4</c:v>
                </c:pt>
                <c:pt idx="80">
                  <c:v>5.6788726458688462E-4</c:v>
                </c:pt>
                <c:pt idx="81">
                  <c:v>6.2889197546487665E-4</c:v>
                </c:pt>
                <c:pt idx="82">
                  <c:v>1.2808512638208536E-4</c:v>
                </c:pt>
                <c:pt idx="83">
                  <c:v>8.6984752186049957E-5</c:v>
                </c:pt>
                <c:pt idx="84">
                  <c:v>3.1768497448870787E-4</c:v>
                </c:pt>
                <c:pt idx="85">
                  <c:v>1.5873666301369864E-3</c:v>
                </c:pt>
                <c:pt idx="86">
                  <c:v>4.7877391492429707E-4</c:v>
                </c:pt>
                <c:pt idx="87">
                  <c:v>2.1641144153655427E-4</c:v>
                </c:pt>
                <c:pt idx="88">
                  <c:v>3.1980814523065581E-5</c:v>
                </c:pt>
                <c:pt idx="89">
                  <c:v>0</c:v>
                </c:pt>
                <c:pt idx="90">
                  <c:v>5.9807742386113654E-4</c:v>
                </c:pt>
                <c:pt idx="91">
                  <c:v>3.5479413043502066E-4</c:v>
                </c:pt>
                <c:pt idx="92">
                  <c:v>8.6161863013698648E-5</c:v>
                </c:pt>
                <c:pt idx="93">
                  <c:v>3.4349835361974636E-4</c:v>
                </c:pt>
                <c:pt idx="94">
                  <c:v>1.4524437156656947E-4</c:v>
                </c:pt>
                <c:pt idx="95">
                  <c:v>2.681130609733144E-4</c:v>
                </c:pt>
                <c:pt idx="96">
                  <c:v>1.8057690972068561E-4</c:v>
                </c:pt>
                <c:pt idx="97">
                  <c:v>1.7031863445219762E-4</c:v>
                </c:pt>
                <c:pt idx="98">
                  <c:v>1.5816206327996251E-4</c:v>
                </c:pt>
                <c:pt idx="99">
                  <c:v>4.7154453224366051E-4</c:v>
                </c:pt>
                <c:pt idx="100">
                  <c:v>4.2272466687019044E-5</c:v>
                </c:pt>
                <c:pt idx="101">
                  <c:v>1.8827195547945204E-4</c:v>
                </c:pt>
                <c:pt idx="102">
                  <c:v>4.1963714612036401E-4</c:v>
                </c:pt>
                <c:pt idx="103">
                  <c:v>0</c:v>
                </c:pt>
                <c:pt idx="104">
                  <c:v>3.0248705327245052E-4</c:v>
                </c:pt>
                <c:pt idx="105">
                  <c:v>5.9094260218052019E-4</c:v>
                </c:pt>
                <c:pt idx="106">
                  <c:v>1.5586807620602091E-4</c:v>
                </c:pt>
                <c:pt idx="107">
                  <c:v>1.0757690385542899E-4</c:v>
                </c:pt>
                <c:pt idx="108">
                  <c:v>2.6424951777271904E-6</c:v>
                </c:pt>
                <c:pt idx="109">
                  <c:v>3.4719341087789554E-4</c:v>
                </c:pt>
                <c:pt idx="110">
                  <c:v>4.2353213069233609E-4</c:v>
                </c:pt>
                <c:pt idx="111">
                  <c:v>2.9463741967621418E-4</c:v>
                </c:pt>
                <c:pt idx="112">
                  <c:v>2.9942968443822282E-4</c:v>
                </c:pt>
                <c:pt idx="113">
                  <c:v>5.501103561643835E-4</c:v>
                </c:pt>
                <c:pt idx="114">
                  <c:v>2.5608079047076903E-4</c:v>
                </c:pt>
                <c:pt idx="115">
                  <c:v>2.9747574095912864E-4</c:v>
                </c:pt>
                <c:pt idx="116">
                  <c:v>7.8034437007211996E-4</c:v>
                </c:pt>
                <c:pt idx="117">
                  <c:v>3.7130637027806365E-4</c:v>
                </c:pt>
                <c:pt idx="118">
                  <c:v>1.9032432503113326E-4</c:v>
                </c:pt>
                <c:pt idx="119">
                  <c:v>9.9803531968866072E-4</c:v>
                </c:pt>
                <c:pt idx="120">
                  <c:v>4.8625840631039379E-6</c:v>
                </c:pt>
                <c:pt idx="121">
                  <c:v>7.671652750238174E-4</c:v>
                </c:pt>
                <c:pt idx="122">
                  <c:v>4.0140397187840067E-4</c:v>
                </c:pt>
                <c:pt idx="123">
                  <c:v>5.2835600061976499E-4</c:v>
                </c:pt>
                <c:pt idx="124">
                  <c:v>1.4330183677457501E-4</c:v>
                </c:pt>
                <c:pt idx="125">
                  <c:v>5.5841804372625132E-6</c:v>
                </c:pt>
                <c:pt idx="126">
                  <c:v>1.464587172749488E-4</c:v>
                </c:pt>
                <c:pt idx="127">
                  <c:v>3.7795803967879076E-4</c:v>
                </c:pt>
                <c:pt idx="128">
                  <c:v>6.1701441749253592E-4</c:v>
                </c:pt>
                <c:pt idx="129">
                  <c:v>3.5299846952769047E-4</c:v>
                </c:pt>
                <c:pt idx="130">
                  <c:v>1.2070452107266707E-4</c:v>
                </c:pt>
                <c:pt idx="131">
                  <c:v>2.2942628283609363E-3</c:v>
                </c:pt>
                <c:pt idx="132">
                  <c:v>2.0782586729160761E-3</c:v>
                </c:pt>
                <c:pt idx="133">
                  <c:v>6.8969124138679671E-4</c:v>
                </c:pt>
                <c:pt idx="134">
                  <c:v>8.0614652769505659E-4</c:v>
                </c:pt>
                <c:pt idx="135">
                  <c:v>2.5084151623275074E-4</c:v>
                </c:pt>
                <c:pt idx="136">
                  <c:v>7.2549554918752363E-4</c:v>
                </c:pt>
                <c:pt idx="137">
                  <c:v>6.6638443391924288E-4</c:v>
                </c:pt>
                <c:pt idx="138">
                  <c:v>1.1111624714360468E-4</c:v>
                </c:pt>
                <c:pt idx="139">
                  <c:v>3.7429600338652889E-4</c:v>
                </c:pt>
              </c:numCache>
            </c:numRef>
          </c:yVal>
          <c:smooth val="0"/>
          <c:extLst>
            <c:ext xmlns:c16="http://schemas.microsoft.com/office/drawing/2014/chart" uri="{C3380CC4-5D6E-409C-BE32-E72D297353CC}">
              <c16:uniqueId val="{00000008-BE4D-4ACE-A43A-5EC36E2D06C8}"/>
            </c:ext>
          </c:extLst>
        </c:ser>
        <c:ser>
          <c:idx val="9"/>
          <c:order val="9"/>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Rates'!$AA$167:$AA$306</c:f>
              <c:numCache>
                <c:formatCode>0.00E+00</c:formatCode>
                <c:ptCount val="140"/>
                <c:pt idx="0">
                  <c:v>5.8915631121599393E-5</c:v>
                </c:pt>
                <c:pt idx="1">
                  <c:v>0</c:v>
                </c:pt>
                <c:pt idx="2">
                  <c:v>0</c:v>
                </c:pt>
                <c:pt idx="3">
                  <c:v>0</c:v>
                </c:pt>
                <c:pt idx="4">
                  <c:v>7.5212966816001089E-5</c:v>
                </c:pt>
                <c:pt idx="5">
                  <c:v>0</c:v>
                </c:pt>
                <c:pt idx="6">
                  <c:v>0</c:v>
                </c:pt>
                <c:pt idx="7">
                  <c:v>3.3864709289185878E-4</c:v>
                </c:pt>
                <c:pt idx="8">
                  <c:v>0</c:v>
                </c:pt>
                <c:pt idx="9">
                  <c:v>0</c:v>
                </c:pt>
                <c:pt idx="10">
                  <c:v>0</c:v>
                </c:pt>
                <c:pt idx="11">
                  <c:v>0</c:v>
                </c:pt>
                <c:pt idx="12">
                  <c:v>9.9246017291631483E-6</c:v>
                </c:pt>
                <c:pt idx="13">
                  <c:v>0</c:v>
                </c:pt>
                <c:pt idx="14">
                  <c:v>0</c:v>
                </c:pt>
                <c:pt idx="15">
                  <c:v>0</c:v>
                </c:pt>
                <c:pt idx="16">
                  <c:v>0</c:v>
                </c:pt>
                <c:pt idx="17">
                  <c:v>0</c:v>
                </c:pt>
                <c:pt idx="18">
                  <c:v>0</c:v>
                </c:pt>
                <c:pt idx="19">
                  <c:v>0</c:v>
                </c:pt>
                <c:pt idx="20">
                  <c:v>0</c:v>
                </c:pt>
                <c:pt idx="21">
                  <c:v>0</c:v>
                </c:pt>
                <c:pt idx="22">
                  <c:v>0</c:v>
                </c:pt>
                <c:pt idx="23">
                  <c:v>3.7510203213040401E-4</c:v>
                </c:pt>
                <c:pt idx="24">
                  <c:v>0</c:v>
                </c:pt>
                <c:pt idx="25">
                  <c:v>0</c:v>
                </c:pt>
                <c:pt idx="26">
                  <c:v>0</c:v>
                </c:pt>
                <c:pt idx="27">
                  <c:v>0</c:v>
                </c:pt>
                <c:pt idx="28">
                  <c:v>2.0797822821201647E-5</c:v>
                </c:pt>
                <c:pt idx="29">
                  <c:v>8.839141791791738E-8</c:v>
                </c:pt>
                <c:pt idx="30">
                  <c:v>1.1263418448255117E-3</c:v>
                </c:pt>
                <c:pt idx="31">
                  <c:v>2.352339732768032E-4</c:v>
                </c:pt>
                <c:pt idx="32">
                  <c:v>1.9787003890821202E-4</c:v>
                </c:pt>
                <c:pt idx="33">
                  <c:v>2.1671152543479192E-6</c:v>
                </c:pt>
                <c:pt idx="34">
                  <c:v>2.9690940135126929E-3</c:v>
                </c:pt>
                <c:pt idx="35">
                  <c:v>9.3900232452741929E-5</c:v>
                </c:pt>
                <c:pt idx="36">
                  <c:v>1.8803241704000272E-4</c:v>
                </c:pt>
                <c:pt idx="37">
                  <c:v>3.6261908324552159E-4</c:v>
                </c:pt>
                <c:pt idx="38">
                  <c:v>4.5673126878671098E-5</c:v>
                </c:pt>
                <c:pt idx="39">
                  <c:v>3.8468732130720625E-4</c:v>
                </c:pt>
                <c:pt idx="40">
                  <c:v>1.105933166974713E-4</c:v>
                </c:pt>
                <c:pt idx="41">
                  <c:v>8.5484717220154311E-4</c:v>
                </c:pt>
                <c:pt idx="42">
                  <c:v>1.5510976407914764E-4</c:v>
                </c:pt>
                <c:pt idx="43">
                  <c:v>8.1398106164383551E-4</c:v>
                </c:pt>
                <c:pt idx="44">
                  <c:v>2.758836575342466E-4</c:v>
                </c:pt>
                <c:pt idx="45">
                  <c:v>3.7723701605682676E-4</c:v>
                </c:pt>
                <c:pt idx="46">
                  <c:v>4.8388642054477749E-4</c:v>
                </c:pt>
                <c:pt idx="47">
                  <c:v>1.5919551317175972E-4</c:v>
                </c:pt>
                <c:pt idx="48">
                  <c:v>2.6217365885992044E-4</c:v>
                </c:pt>
                <c:pt idx="49">
                  <c:v>2.7836909589041095E-4</c:v>
                </c:pt>
                <c:pt idx="50">
                  <c:v>1.037734571388222E-4</c:v>
                </c:pt>
                <c:pt idx="51">
                  <c:v>1.3188834239152845E-3</c:v>
                </c:pt>
                <c:pt idx="52">
                  <c:v>4.3011766856627606E-4</c:v>
                </c:pt>
                <c:pt idx="53">
                  <c:v>8.5001991780821933E-5</c:v>
                </c:pt>
                <c:pt idx="54">
                  <c:v>2.2439287800465237E-4</c:v>
                </c:pt>
                <c:pt idx="55">
                  <c:v>6.3903918180703925E-4</c:v>
                </c:pt>
                <c:pt idx="56">
                  <c:v>4.1082834004834817E-4</c:v>
                </c:pt>
                <c:pt idx="57">
                  <c:v>6.4540788448722692E-4</c:v>
                </c:pt>
                <c:pt idx="58">
                  <c:v>1.1679300784557907E-3</c:v>
                </c:pt>
                <c:pt idx="59">
                  <c:v>7.1870592465753428E-4</c:v>
                </c:pt>
                <c:pt idx="60">
                  <c:v>2.5895696528105811E-3</c:v>
                </c:pt>
                <c:pt idx="61">
                  <c:v>4.7615766402307134E-4</c:v>
                </c:pt>
                <c:pt idx="62">
                  <c:v>2.7546166934824058E-4</c:v>
                </c:pt>
                <c:pt idx="63">
                  <c:v>9.2728154442270067E-4</c:v>
                </c:pt>
                <c:pt idx="64">
                  <c:v>2.6225627409715908E-4</c:v>
                </c:pt>
                <c:pt idx="65">
                  <c:v>9.6890908906406629E-5</c:v>
                </c:pt>
                <c:pt idx="66">
                  <c:v>4.7129413669315379E-4</c:v>
                </c:pt>
                <c:pt idx="67">
                  <c:v>1.0760386771170082E-3</c:v>
                </c:pt>
                <c:pt idx="68">
                  <c:v>2.1107337585223288E-3</c:v>
                </c:pt>
                <c:pt idx="69">
                  <c:v>6.4905447358121324E-4</c:v>
                </c:pt>
                <c:pt idx="70">
                  <c:v>1.7675641530518832E-4</c:v>
                </c:pt>
                <c:pt idx="71">
                  <c:v>6.8065504696673178E-4</c:v>
                </c:pt>
                <c:pt idx="72">
                  <c:v>3.517113170633048E-4</c:v>
                </c:pt>
                <c:pt idx="73">
                  <c:v>2.3484206006322439E-4</c:v>
                </c:pt>
                <c:pt idx="74">
                  <c:v>3.1736732885672439E-4</c:v>
                </c:pt>
                <c:pt idx="75">
                  <c:v>3.2076223313517701E-4</c:v>
                </c:pt>
                <c:pt idx="76">
                  <c:v>3.3320054687708612E-4</c:v>
                </c:pt>
                <c:pt idx="77">
                  <c:v>5.4237788127853889E-4</c:v>
                </c:pt>
                <c:pt idx="78">
                  <c:v>2.4345776968062404E-4</c:v>
                </c:pt>
                <c:pt idx="79">
                  <c:v>3.4160063945414036E-4</c:v>
                </c:pt>
                <c:pt idx="80">
                  <c:v>4.7286675771703181E-4</c:v>
                </c:pt>
                <c:pt idx="81">
                  <c:v>6.8451491098880533E-4</c:v>
                </c:pt>
                <c:pt idx="82">
                  <c:v>1.502368348830967E-4</c:v>
                </c:pt>
                <c:pt idx="83">
                  <c:v>1.644660288761947E-4</c:v>
                </c:pt>
                <c:pt idx="84">
                  <c:v>4.3113691400928301E-4</c:v>
                </c:pt>
                <c:pt idx="85">
                  <c:v>1.1209326986301369E-3</c:v>
                </c:pt>
                <c:pt idx="86">
                  <c:v>5.5987769286229279E-4</c:v>
                </c:pt>
                <c:pt idx="87">
                  <c:v>2.9931685051571536E-4</c:v>
                </c:pt>
                <c:pt idx="88">
                  <c:v>5.6854781374338823E-5</c:v>
                </c:pt>
                <c:pt idx="89">
                  <c:v>0</c:v>
                </c:pt>
                <c:pt idx="90">
                  <c:v>1.2155435690490877E-3</c:v>
                </c:pt>
                <c:pt idx="91">
                  <c:v>8.827433334591872E-4</c:v>
                </c:pt>
                <c:pt idx="92">
                  <c:v>1.8682211643835617E-4</c:v>
                </c:pt>
                <c:pt idx="93">
                  <c:v>6.5991081555621521E-4</c:v>
                </c:pt>
                <c:pt idx="94">
                  <c:v>2.3939853379356988E-4</c:v>
                </c:pt>
                <c:pt idx="95">
                  <c:v>1.7489921318372361E-4</c:v>
                </c:pt>
                <c:pt idx="96">
                  <c:v>2.8540896687660278E-4</c:v>
                </c:pt>
                <c:pt idx="97">
                  <c:v>2.2693315032078025E-4</c:v>
                </c:pt>
                <c:pt idx="98">
                  <c:v>2.9509431940825216E-4</c:v>
                </c:pt>
                <c:pt idx="99">
                  <c:v>4.6542952552415366E-4</c:v>
                </c:pt>
                <c:pt idx="100">
                  <c:v>5.5543033152174711E-5</c:v>
                </c:pt>
                <c:pt idx="101">
                  <c:v>3.0343059931506848E-4</c:v>
                </c:pt>
                <c:pt idx="102">
                  <c:v>8.7913926589968825E-4</c:v>
                </c:pt>
                <c:pt idx="103">
                  <c:v>0</c:v>
                </c:pt>
                <c:pt idx="104">
                  <c:v>4.2362915981735159E-4</c:v>
                </c:pt>
                <c:pt idx="105">
                  <c:v>7.4193376423830032E-4</c:v>
                </c:pt>
                <c:pt idx="106">
                  <c:v>2.7737153718551758E-4</c:v>
                </c:pt>
                <c:pt idx="107">
                  <c:v>1.5255645103011433E-4</c:v>
                </c:pt>
                <c:pt idx="108">
                  <c:v>1.9378297969999397E-6</c:v>
                </c:pt>
                <c:pt idx="109">
                  <c:v>5.6905035077540035E-4</c:v>
                </c:pt>
                <c:pt idx="110">
                  <c:v>7.6410435949648265E-4</c:v>
                </c:pt>
                <c:pt idx="111">
                  <c:v>3.5880691905354917E-4</c:v>
                </c:pt>
                <c:pt idx="112">
                  <c:v>4.7589323220558833E-4</c:v>
                </c:pt>
                <c:pt idx="113">
                  <c:v>8.983002720831365E-4</c:v>
                </c:pt>
                <c:pt idx="114">
                  <c:v>1.8148532042244558E-4</c:v>
                </c:pt>
                <c:pt idx="115">
                  <c:v>6.1673693415943307E-4</c:v>
                </c:pt>
                <c:pt idx="116">
                  <c:v>7.0130267607951562E-4</c:v>
                </c:pt>
                <c:pt idx="117">
                  <c:v>3.7707654820789049E-4</c:v>
                </c:pt>
                <c:pt idx="118">
                  <c:v>3.7364423287671234E-4</c:v>
                </c:pt>
                <c:pt idx="119">
                  <c:v>6.5725097125241341E-4</c:v>
                </c:pt>
                <c:pt idx="120">
                  <c:v>5.2073854784876718E-5</c:v>
                </c:pt>
                <c:pt idx="121">
                  <c:v>8.9342299466180425E-4</c:v>
                </c:pt>
                <c:pt idx="122">
                  <c:v>6.2516825351074273E-4</c:v>
                </c:pt>
                <c:pt idx="123">
                  <c:v>1.1352433873294014E-3</c:v>
                </c:pt>
                <c:pt idx="124">
                  <c:v>1.9467981847530683E-4</c:v>
                </c:pt>
                <c:pt idx="125">
                  <c:v>9.2943477786301497E-5</c:v>
                </c:pt>
                <c:pt idx="126">
                  <c:v>3.4228247705784122E-4</c:v>
                </c:pt>
                <c:pt idx="127">
                  <c:v>6.9078045347189425E-4</c:v>
                </c:pt>
                <c:pt idx="128">
                  <c:v>4.4241277960022616E-4</c:v>
                </c:pt>
                <c:pt idx="129">
                  <c:v>6.5493226635669299E-4</c:v>
                </c:pt>
                <c:pt idx="130">
                  <c:v>2.5538879064270929E-4</c:v>
                </c:pt>
                <c:pt idx="131">
                  <c:v>2.0383877712630066E-3</c:v>
                </c:pt>
                <c:pt idx="132">
                  <c:v>3.6810322307833242E-3</c:v>
                </c:pt>
                <c:pt idx="133">
                  <c:v>1.3794803529653611E-3</c:v>
                </c:pt>
                <c:pt idx="134">
                  <c:v>5.4247393686718281E-4</c:v>
                </c:pt>
                <c:pt idx="135">
                  <c:v>3.2969183199224139E-4</c:v>
                </c:pt>
                <c:pt idx="136">
                  <c:v>1.033245111063259E-3</c:v>
                </c:pt>
                <c:pt idx="137">
                  <c:v>2.9133509334442273E-4</c:v>
                </c:pt>
                <c:pt idx="138">
                  <c:v>1.9469290717187635E-4</c:v>
                </c:pt>
                <c:pt idx="139">
                  <c:v>5.9997655548509336E-4</c:v>
                </c:pt>
              </c:numCache>
            </c:numRef>
          </c:yVal>
          <c:smooth val="0"/>
          <c:extLst>
            <c:ext xmlns:c16="http://schemas.microsoft.com/office/drawing/2014/chart" uri="{C3380CC4-5D6E-409C-BE32-E72D297353CC}">
              <c16:uniqueId val="{00000009-BE4D-4ACE-A43A-5EC36E2D06C8}"/>
            </c:ext>
          </c:extLst>
        </c:ser>
        <c:ser>
          <c:idx val="10"/>
          <c:order val="10"/>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Rates'!$AB$167:$AB$306</c:f>
              <c:numCache>
                <c:formatCode>0.00E+00</c:formatCode>
                <c:ptCount val="140"/>
                <c:pt idx="0">
                  <c:v>6.1347589696803336E-13</c:v>
                </c:pt>
                <c:pt idx="1">
                  <c:v>0</c:v>
                </c:pt>
                <c:pt idx="2">
                  <c:v>0</c:v>
                </c:pt>
                <c:pt idx="3">
                  <c:v>0</c:v>
                </c:pt>
                <c:pt idx="4">
                  <c:v>0</c:v>
                </c:pt>
                <c:pt idx="5">
                  <c:v>0</c:v>
                </c:pt>
                <c:pt idx="6">
                  <c:v>0</c:v>
                </c:pt>
                <c:pt idx="7">
                  <c:v>4.0894626076516314E-8</c:v>
                </c:pt>
                <c:pt idx="8">
                  <c:v>0</c:v>
                </c:pt>
                <c:pt idx="9">
                  <c:v>0</c:v>
                </c:pt>
                <c:pt idx="10">
                  <c:v>0</c:v>
                </c:pt>
                <c:pt idx="11">
                  <c:v>0</c:v>
                </c:pt>
                <c:pt idx="12">
                  <c:v>5.1531301882255406E-11</c:v>
                </c:pt>
                <c:pt idx="13">
                  <c:v>0</c:v>
                </c:pt>
                <c:pt idx="14">
                  <c:v>0</c:v>
                </c:pt>
                <c:pt idx="15">
                  <c:v>0</c:v>
                </c:pt>
                <c:pt idx="16">
                  <c:v>0</c:v>
                </c:pt>
                <c:pt idx="17">
                  <c:v>0</c:v>
                </c:pt>
                <c:pt idx="18">
                  <c:v>0</c:v>
                </c:pt>
                <c:pt idx="19">
                  <c:v>0</c:v>
                </c:pt>
                <c:pt idx="20">
                  <c:v>0</c:v>
                </c:pt>
                <c:pt idx="21">
                  <c:v>0</c:v>
                </c:pt>
                <c:pt idx="22">
                  <c:v>0</c:v>
                </c:pt>
                <c:pt idx="23">
                  <c:v>2.1367683128349349E-7</c:v>
                </c:pt>
                <c:pt idx="24">
                  <c:v>0</c:v>
                </c:pt>
                <c:pt idx="25">
                  <c:v>0</c:v>
                </c:pt>
                <c:pt idx="26">
                  <c:v>0</c:v>
                </c:pt>
                <c:pt idx="27">
                  <c:v>0</c:v>
                </c:pt>
                <c:pt idx="28">
                  <c:v>8.3016062114348403E-14</c:v>
                </c:pt>
                <c:pt idx="29">
                  <c:v>1.0615795199878499E-10</c:v>
                </c:pt>
                <c:pt idx="30">
                  <c:v>7.4960465334530723E-13</c:v>
                </c:pt>
                <c:pt idx="31">
                  <c:v>0</c:v>
                </c:pt>
                <c:pt idx="32">
                  <c:v>3.4579501307865112E-12</c:v>
                </c:pt>
                <c:pt idx="33">
                  <c:v>0</c:v>
                </c:pt>
                <c:pt idx="34">
                  <c:v>9.0446527221194641E-8</c:v>
                </c:pt>
                <c:pt idx="35">
                  <c:v>5.7427368020935372E-8</c:v>
                </c:pt>
                <c:pt idx="36">
                  <c:v>2.6115469540138766E-8</c:v>
                </c:pt>
                <c:pt idx="37">
                  <c:v>2.4758653319283453E-13</c:v>
                </c:pt>
                <c:pt idx="38">
                  <c:v>3.7835517874680479E-9</c:v>
                </c:pt>
                <c:pt idx="39">
                  <c:v>2.9455222134907096E-8</c:v>
                </c:pt>
                <c:pt idx="40">
                  <c:v>4.0420166420852059E-13</c:v>
                </c:pt>
                <c:pt idx="41">
                  <c:v>5.8631170141588365E-8</c:v>
                </c:pt>
                <c:pt idx="42">
                  <c:v>7.6633926940639279E-8</c:v>
                </c:pt>
                <c:pt idx="43">
                  <c:v>6.8349178082191793E-7</c:v>
                </c:pt>
                <c:pt idx="44">
                  <c:v>6.9094805479452057E-7</c:v>
                </c:pt>
                <c:pt idx="45">
                  <c:v>0</c:v>
                </c:pt>
                <c:pt idx="46">
                  <c:v>2.0603322840919605E-8</c:v>
                </c:pt>
                <c:pt idx="47">
                  <c:v>3.30115377590446E-8</c:v>
                </c:pt>
                <c:pt idx="48">
                  <c:v>1.1090873471792606E-7</c:v>
                </c:pt>
                <c:pt idx="49">
                  <c:v>7.7545249315068491E-11</c:v>
                </c:pt>
                <c:pt idx="50">
                  <c:v>0</c:v>
                </c:pt>
                <c:pt idx="51">
                  <c:v>0</c:v>
                </c:pt>
                <c:pt idx="52">
                  <c:v>2.8746399310165982E-7</c:v>
                </c:pt>
                <c:pt idx="53">
                  <c:v>1.3545564383561645E-7</c:v>
                </c:pt>
                <c:pt idx="54">
                  <c:v>1.1442332385629362E-7</c:v>
                </c:pt>
                <c:pt idx="55">
                  <c:v>2.8322328975872212E-7</c:v>
                </c:pt>
                <c:pt idx="56">
                  <c:v>0</c:v>
                </c:pt>
                <c:pt idx="57">
                  <c:v>5.5754120696038508E-8</c:v>
                </c:pt>
                <c:pt idx="58">
                  <c:v>3.0126359485263594E-8</c:v>
                </c:pt>
                <c:pt idx="59">
                  <c:v>1.0666614155251142E-8</c:v>
                </c:pt>
                <c:pt idx="60">
                  <c:v>9.8559943316013218E-8</c:v>
                </c:pt>
                <c:pt idx="61">
                  <c:v>7.1012133072407043E-8</c:v>
                </c:pt>
                <c:pt idx="62">
                  <c:v>1.3729422089354991E-9</c:v>
                </c:pt>
                <c:pt idx="63">
                  <c:v>1.3492305283757339E-7</c:v>
                </c:pt>
                <c:pt idx="64">
                  <c:v>2.0993305249659668E-8</c:v>
                </c:pt>
                <c:pt idx="65">
                  <c:v>2.6588748395430727E-8</c:v>
                </c:pt>
                <c:pt idx="66">
                  <c:v>0</c:v>
                </c:pt>
                <c:pt idx="67">
                  <c:v>8.017498895271763E-8</c:v>
                </c:pt>
                <c:pt idx="68">
                  <c:v>6.7705041711119907E-13</c:v>
                </c:pt>
                <c:pt idx="69">
                  <c:v>9.0611481800391389E-7</c:v>
                </c:pt>
                <c:pt idx="70">
                  <c:v>1.1456371182568678E-7</c:v>
                </c:pt>
                <c:pt idx="71">
                  <c:v>0</c:v>
                </c:pt>
                <c:pt idx="72">
                  <c:v>2.1214773085260469E-8</c:v>
                </c:pt>
                <c:pt idx="73">
                  <c:v>2.5013568668774145E-8</c:v>
                </c:pt>
                <c:pt idx="74">
                  <c:v>4.0428736263597976E-8</c:v>
                </c:pt>
                <c:pt idx="75">
                  <c:v>0</c:v>
                </c:pt>
                <c:pt idx="76">
                  <c:v>7.8487094448449894E-9</c:v>
                </c:pt>
                <c:pt idx="77">
                  <c:v>1.1874806697108067E-7</c:v>
                </c:pt>
                <c:pt idx="78">
                  <c:v>4.0075132156336185E-8</c:v>
                </c:pt>
                <c:pt idx="79">
                  <c:v>0</c:v>
                </c:pt>
                <c:pt idx="80">
                  <c:v>6.8936066213468614E-9</c:v>
                </c:pt>
                <c:pt idx="81">
                  <c:v>2.2294090147980149E-12</c:v>
                </c:pt>
                <c:pt idx="82">
                  <c:v>4.3864527545845833E-8</c:v>
                </c:pt>
                <c:pt idx="83">
                  <c:v>2.7951244461698679E-8</c:v>
                </c:pt>
                <c:pt idx="84">
                  <c:v>3.1514253951103748E-8</c:v>
                </c:pt>
                <c:pt idx="85">
                  <c:v>2.6221230136986302E-7</c:v>
                </c:pt>
                <c:pt idx="86">
                  <c:v>0</c:v>
                </c:pt>
                <c:pt idx="87">
                  <c:v>1.0717168315606506E-9</c:v>
                </c:pt>
                <c:pt idx="88">
                  <c:v>0</c:v>
                </c:pt>
                <c:pt idx="89">
                  <c:v>0</c:v>
                </c:pt>
                <c:pt idx="90">
                  <c:v>9.1966661278086694E-8</c:v>
                </c:pt>
                <c:pt idx="91">
                  <c:v>2.2998628455120958E-7</c:v>
                </c:pt>
                <c:pt idx="92">
                  <c:v>1.5119666666666666E-7</c:v>
                </c:pt>
                <c:pt idx="93">
                  <c:v>3.4557405996861605E-7</c:v>
                </c:pt>
                <c:pt idx="94">
                  <c:v>2.3152535235530942E-9</c:v>
                </c:pt>
                <c:pt idx="95">
                  <c:v>2.8441822834523266E-9</c:v>
                </c:pt>
                <c:pt idx="96">
                  <c:v>1.0335497965885882E-9</c:v>
                </c:pt>
                <c:pt idx="97">
                  <c:v>3.5631317098677937E-8</c:v>
                </c:pt>
                <c:pt idx="98">
                  <c:v>6.5413982751342712E-11</c:v>
                </c:pt>
                <c:pt idx="99">
                  <c:v>1.5158242970010673E-7</c:v>
                </c:pt>
                <c:pt idx="100">
                  <c:v>1.9422377645943635E-12</c:v>
                </c:pt>
                <c:pt idx="101">
                  <c:v>2.537204337899544E-8</c:v>
                </c:pt>
                <c:pt idx="102">
                  <c:v>5.8675587694725936E-7</c:v>
                </c:pt>
                <c:pt idx="103">
                  <c:v>5.0176810044432972E-8</c:v>
                </c:pt>
                <c:pt idx="104">
                  <c:v>1.1046331811263319E-7</c:v>
                </c:pt>
                <c:pt idx="105">
                  <c:v>7.5548974741914513E-8</c:v>
                </c:pt>
                <c:pt idx="106">
                  <c:v>2.4546018445755915E-8</c:v>
                </c:pt>
                <c:pt idx="107">
                  <c:v>5.1278369624366216E-8</c:v>
                </c:pt>
                <c:pt idx="108">
                  <c:v>2.1844506404683244E-14</c:v>
                </c:pt>
                <c:pt idx="109">
                  <c:v>3.4077581183880403E-7</c:v>
                </c:pt>
                <c:pt idx="110">
                  <c:v>5.9902092928544979E-7</c:v>
                </c:pt>
                <c:pt idx="111">
                  <c:v>1.1071437110834372E-6</c:v>
                </c:pt>
                <c:pt idx="112">
                  <c:v>3.9213905595293534E-8</c:v>
                </c:pt>
                <c:pt idx="113">
                  <c:v>2.531133616753267E-7</c:v>
                </c:pt>
                <c:pt idx="114">
                  <c:v>1.131434201474588E-8</c:v>
                </c:pt>
                <c:pt idx="115">
                  <c:v>1.3854791984384771E-7</c:v>
                </c:pt>
                <c:pt idx="116">
                  <c:v>1.9991143041079067E-7</c:v>
                </c:pt>
                <c:pt idx="117">
                  <c:v>4.2634968606340964E-14</c:v>
                </c:pt>
                <c:pt idx="118">
                  <c:v>4.5189539227895397E-8</c:v>
                </c:pt>
                <c:pt idx="119">
                  <c:v>2.8856128271137244E-9</c:v>
                </c:pt>
                <c:pt idx="120">
                  <c:v>3.991717462020192E-8</c:v>
                </c:pt>
                <c:pt idx="121">
                  <c:v>7.0253626088578616E-7</c:v>
                </c:pt>
                <c:pt idx="122">
                  <c:v>6.2190791525966753E-7</c:v>
                </c:pt>
                <c:pt idx="123">
                  <c:v>1.2560996302263362E-7</c:v>
                </c:pt>
                <c:pt idx="124">
                  <c:v>4.5713232732986719E-8</c:v>
                </c:pt>
                <c:pt idx="125">
                  <c:v>6.6536562894928235E-8</c:v>
                </c:pt>
                <c:pt idx="126">
                  <c:v>8.1820061485853066E-8</c:v>
                </c:pt>
                <c:pt idx="127">
                  <c:v>8.7846905999055249E-8</c:v>
                </c:pt>
                <c:pt idx="128">
                  <c:v>1.4402339989563374E-8</c:v>
                </c:pt>
                <c:pt idx="129">
                  <c:v>1.4039526012548179E-6</c:v>
                </c:pt>
                <c:pt idx="130">
                  <c:v>4.7324179607329964E-8</c:v>
                </c:pt>
                <c:pt idx="131">
                  <c:v>5.1834175572260289E-7</c:v>
                </c:pt>
                <c:pt idx="132">
                  <c:v>8.0449866676980693E-8</c:v>
                </c:pt>
                <c:pt idx="133">
                  <c:v>1.3701751329102394E-8</c:v>
                </c:pt>
                <c:pt idx="134">
                  <c:v>4.198206432400239E-12</c:v>
                </c:pt>
                <c:pt idx="135">
                  <c:v>9.4149111846735027E-8</c:v>
                </c:pt>
                <c:pt idx="136">
                  <c:v>5.8619356644746639E-7</c:v>
                </c:pt>
                <c:pt idx="137">
                  <c:v>8.1335553282598819E-8</c:v>
                </c:pt>
                <c:pt idx="138">
                  <c:v>5.9868337672575395E-9</c:v>
                </c:pt>
                <c:pt idx="139">
                  <c:v>8.4841845205937873E-9</c:v>
                </c:pt>
              </c:numCache>
            </c:numRef>
          </c:yVal>
          <c:smooth val="0"/>
          <c:extLst>
            <c:ext xmlns:c16="http://schemas.microsoft.com/office/drawing/2014/chart" uri="{C3380CC4-5D6E-409C-BE32-E72D297353CC}">
              <c16:uniqueId val="{0000000A-BE4D-4ACE-A43A-5EC36E2D06C8}"/>
            </c:ext>
          </c:extLst>
        </c:ser>
        <c:ser>
          <c:idx val="11"/>
          <c:order val="11"/>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Rates'!$AC$167:$AC$306</c:f>
              <c:numCache>
                <c:formatCode>0.00E+00</c:formatCode>
                <c:ptCount val="140"/>
                <c:pt idx="0">
                  <c:v>0</c:v>
                </c:pt>
                <c:pt idx="1">
                  <c:v>0</c:v>
                </c:pt>
                <c:pt idx="2">
                  <c:v>0</c:v>
                </c:pt>
                <c:pt idx="3">
                  <c:v>0</c:v>
                </c:pt>
                <c:pt idx="4">
                  <c:v>0</c:v>
                </c:pt>
                <c:pt idx="5">
                  <c:v>0</c:v>
                </c:pt>
                <c:pt idx="6">
                  <c:v>0</c:v>
                </c:pt>
                <c:pt idx="7">
                  <c:v>1.7353381663311993E-8</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4.8562916200793974E-8</c:v>
                </c:pt>
                <c:pt idx="24">
                  <c:v>0</c:v>
                </c:pt>
                <c:pt idx="25">
                  <c:v>0</c:v>
                </c:pt>
                <c:pt idx="26">
                  <c:v>0</c:v>
                </c:pt>
                <c:pt idx="27">
                  <c:v>0</c:v>
                </c:pt>
                <c:pt idx="28">
                  <c:v>4.2076035692693437E-11</c:v>
                </c:pt>
                <c:pt idx="29">
                  <c:v>0</c:v>
                </c:pt>
                <c:pt idx="30">
                  <c:v>4.5001994626219134E-8</c:v>
                </c:pt>
                <c:pt idx="31">
                  <c:v>0</c:v>
                </c:pt>
                <c:pt idx="32">
                  <c:v>3.3057432474506542E-9</c:v>
                </c:pt>
                <c:pt idx="33">
                  <c:v>0</c:v>
                </c:pt>
                <c:pt idx="34">
                  <c:v>0</c:v>
                </c:pt>
                <c:pt idx="35">
                  <c:v>0</c:v>
                </c:pt>
                <c:pt idx="36">
                  <c:v>1.0824862124387519E-10</c:v>
                </c:pt>
                <c:pt idx="37">
                  <c:v>1.6250853530031612E-8</c:v>
                </c:pt>
                <c:pt idx="38">
                  <c:v>1.8917758937340239E-9</c:v>
                </c:pt>
                <c:pt idx="39">
                  <c:v>3.4560793971624332E-8</c:v>
                </c:pt>
                <c:pt idx="40">
                  <c:v>4.0811645030254983E-10</c:v>
                </c:pt>
                <c:pt idx="41">
                  <c:v>7.9738391392560184E-10</c:v>
                </c:pt>
                <c:pt idx="42">
                  <c:v>0</c:v>
                </c:pt>
                <c:pt idx="43">
                  <c:v>3.8524082191780821E-10</c:v>
                </c:pt>
                <c:pt idx="44">
                  <c:v>1.2750228493150684E-6</c:v>
                </c:pt>
                <c:pt idx="45">
                  <c:v>0</c:v>
                </c:pt>
                <c:pt idx="46">
                  <c:v>7.3583295860427156E-9</c:v>
                </c:pt>
                <c:pt idx="47">
                  <c:v>1.9501024236037938E-8</c:v>
                </c:pt>
                <c:pt idx="48">
                  <c:v>0</c:v>
                </c:pt>
                <c:pt idx="49">
                  <c:v>5.9650191780821923E-9</c:v>
                </c:pt>
                <c:pt idx="50">
                  <c:v>1.396449936449654E-9</c:v>
                </c:pt>
                <c:pt idx="51">
                  <c:v>0</c:v>
                </c:pt>
                <c:pt idx="52">
                  <c:v>0</c:v>
                </c:pt>
                <c:pt idx="53">
                  <c:v>5.5673512328767128E-10</c:v>
                </c:pt>
                <c:pt idx="54">
                  <c:v>4.5722434737658314E-9</c:v>
                </c:pt>
                <c:pt idx="55">
                  <c:v>0</c:v>
                </c:pt>
                <c:pt idx="56">
                  <c:v>0</c:v>
                </c:pt>
                <c:pt idx="57">
                  <c:v>0</c:v>
                </c:pt>
                <c:pt idx="58">
                  <c:v>3.7657949356579492E-9</c:v>
                </c:pt>
                <c:pt idx="59">
                  <c:v>1.201288584474886E-8</c:v>
                </c:pt>
                <c:pt idx="60">
                  <c:v>0</c:v>
                </c:pt>
                <c:pt idx="61">
                  <c:v>0</c:v>
                </c:pt>
                <c:pt idx="62">
                  <c:v>1.4819058763113326E-9</c:v>
                </c:pt>
                <c:pt idx="63">
                  <c:v>2.4996270841487282E-10</c:v>
                </c:pt>
                <c:pt idx="64">
                  <c:v>1.2709024024217044E-9</c:v>
                </c:pt>
                <c:pt idx="65">
                  <c:v>5.171389596175517E-11</c:v>
                </c:pt>
                <c:pt idx="66">
                  <c:v>4.5787892417891467E-10</c:v>
                </c:pt>
                <c:pt idx="67">
                  <c:v>0</c:v>
                </c:pt>
                <c:pt idx="68">
                  <c:v>0</c:v>
                </c:pt>
                <c:pt idx="69">
                  <c:v>2.929250489236791E-9</c:v>
                </c:pt>
                <c:pt idx="70">
                  <c:v>1.7652163760896635E-9</c:v>
                </c:pt>
                <c:pt idx="71">
                  <c:v>0</c:v>
                </c:pt>
                <c:pt idx="72">
                  <c:v>0</c:v>
                </c:pt>
                <c:pt idx="73">
                  <c:v>2.0552550052687038E-8</c:v>
                </c:pt>
                <c:pt idx="74">
                  <c:v>4.4255027374259933E-8</c:v>
                </c:pt>
                <c:pt idx="75">
                  <c:v>2.7245881623158443E-11</c:v>
                </c:pt>
                <c:pt idx="76">
                  <c:v>2.2286458917461085E-10</c:v>
                </c:pt>
                <c:pt idx="77">
                  <c:v>0</c:v>
                </c:pt>
                <c:pt idx="78">
                  <c:v>3.336254752014988E-8</c:v>
                </c:pt>
                <c:pt idx="79">
                  <c:v>0</c:v>
                </c:pt>
                <c:pt idx="80">
                  <c:v>1.1365135240598879E-9</c:v>
                </c:pt>
                <c:pt idx="81">
                  <c:v>1.6138819467393033E-9</c:v>
                </c:pt>
                <c:pt idx="82">
                  <c:v>1.5352584641046043E-9</c:v>
                </c:pt>
                <c:pt idx="83">
                  <c:v>1.4232773679896967E-7</c:v>
                </c:pt>
                <c:pt idx="84">
                  <c:v>1.1188781635353114E-8</c:v>
                </c:pt>
                <c:pt idx="85">
                  <c:v>0</c:v>
                </c:pt>
                <c:pt idx="86">
                  <c:v>0</c:v>
                </c:pt>
                <c:pt idx="87">
                  <c:v>2.3195014283062647E-10</c:v>
                </c:pt>
                <c:pt idx="88">
                  <c:v>0</c:v>
                </c:pt>
                <c:pt idx="89">
                  <c:v>0</c:v>
                </c:pt>
                <c:pt idx="90">
                  <c:v>1.5569057415243205E-7</c:v>
                </c:pt>
                <c:pt idx="91">
                  <c:v>3.4753482998849454E-10</c:v>
                </c:pt>
                <c:pt idx="92">
                  <c:v>0</c:v>
                </c:pt>
                <c:pt idx="93">
                  <c:v>4.0013028542347002E-9</c:v>
                </c:pt>
                <c:pt idx="94">
                  <c:v>3.1255922567966776E-9</c:v>
                </c:pt>
                <c:pt idx="95">
                  <c:v>0</c:v>
                </c:pt>
                <c:pt idx="96">
                  <c:v>2.2516620568537097E-10</c:v>
                </c:pt>
                <c:pt idx="97">
                  <c:v>2.7990379098628119E-8</c:v>
                </c:pt>
                <c:pt idx="98">
                  <c:v>7.9611338034088483E-9</c:v>
                </c:pt>
                <c:pt idx="99">
                  <c:v>1.3780220881827884E-10</c:v>
                </c:pt>
                <c:pt idx="100">
                  <c:v>3.4230842050203827E-10</c:v>
                </c:pt>
                <c:pt idx="101">
                  <c:v>2.5993399543378992E-8</c:v>
                </c:pt>
                <c:pt idx="102">
                  <c:v>3.4312559798770461E-12</c:v>
                </c:pt>
                <c:pt idx="103">
                  <c:v>2.7597245524438131E-8</c:v>
                </c:pt>
                <c:pt idx="104">
                  <c:v>2.7615829528158295E-9</c:v>
                </c:pt>
                <c:pt idx="105">
                  <c:v>7.9638520383214747E-9</c:v>
                </c:pt>
                <c:pt idx="106">
                  <c:v>4.5901054493563563E-8</c:v>
                </c:pt>
                <c:pt idx="107">
                  <c:v>4.1337649217339368E-9</c:v>
                </c:pt>
                <c:pt idx="108">
                  <c:v>2.5632061950656554E-10</c:v>
                </c:pt>
                <c:pt idx="109">
                  <c:v>3.2619271791831029E-7</c:v>
                </c:pt>
                <c:pt idx="110">
                  <c:v>7.6913817104776011E-8</c:v>
                </c:pt>
                <c:pt idx="111">
                  <c:v>0</c:v>
                </c:pt>
                <c:pt idx="112">
                  <c:v>3.8564668747689337E-10</c:v>
                </c:pt>
                <c:pt idx="113">
                  <c:v>0</c:v>
                </c:pt>
                <c:pt idx="114">
                  <c:v>3.0702234612878274E-9</c:v>
                </c:pt>
                <c:pt idx="115">
                  <c:v>0</c:v>
                </c:pt>
                <c:pt idx="116">
                  <c:v>2.0284924709282471E-9</c:v>
                </c:pt>
                <c:pt idx="117">
                  <c:v>0</c:v>
                </c:pt>
                <c:pt idx="118">
                  <c:v>4.4285748443337484E-8</c:v>
                </c:pt>
                <c:pt idx="119">
                  <c:v>2.6194640712148854E-10</c:v>
                </c:pt>
                <c:pt idx="120">
                  <c:v>1.5604388306679156E-10</c:v>
                </c:pt>
                <c:pt idx="121">
                  <c:v>1.3629987223747104E-6</c:v>
                </c:pt>
                <c:pt idx="122">
                  <c:v>1.3888740931647048E-8</c:v>
                </c:pt>
                <c:pt idx="123">
                  <c:v>3.0640918538907009E-7</c:v>
                </c:pt>
                <c:pt idx="124">
                  <c:v>0</c:v>
                </c:pt>
                <c:pt idx="125">
                  <c:v>6.577939005970855E-9</c:v>
                </c:pt>
                <c:pt idx="126">
                  <c:v>8.4547396868714837E-8</c:v>
                </c:pt>
                <c:pt idx="127">
                  <c:v>0</c:v>
                </c:pt>
                <c:pt idx="128">
                  <c:v>3.3236169206684712E-9</c:v>
                </c:pt>
                <c:pt idx="129">
                  <c:v>4.8519125645314098E-9</c:v>
                </c:pt>
                <c:pt idx="130">
                  <c:v>1.4741209969639565E-8</c:v>
                </c:pt>
                <c:pt idx="131">
                  <c:v>6.511389256792343E-8</c:v>
                </c:pt>
                <c:pt idx="132">
                  <c:v>1.4597427388891499E-8</c:v>
                </c:pt>
                <c:pt idx="133">
                  <c:v>3.8658512678538906E-9</c:v>
                </c:pt>
                <c:pt idx="134">
                  <c:v>1.5614950565812983E-9</c:v>
                </c:pt>
                <c:pt idx="135">
                  <c:v>1.861966810183197E-7</c:v>
                </c:pt>
                <c:pt idx="136">
                  <c:v>0</c:v>
                </c:pt>
                <c:pt idx="137">
                  <c:v>1.5220688333585746E-8</c:v>
                </c:pt>
                <c:pt idx="138">
                  <c:v>2.3947335069030158E-8</c:v>
                </c:pt>
                <c:pt idx="139">
                  <c:v>1.8382399794619876E-9</c:v>
                </c:pt>
              </c:numCache>
            </c:numRef>
          </c:yVal>
          <c:smooth val="0"/>
          <c:extLst>
            <c:ext xmlns:c16="http://schemas.microsoft.com/office/drawing/2014/chart" uri="{C3380CC4-5D6E-409C-BE32-E72D297353CC}">
              <c16:uniqueId val="{0000000B-BE4D-4ACE-A43A-5EC36E2D06C8}"/>
            </c:ext>
          </c:extLst>
        </c:ser>
        <c:ser>
          <c:idx val="12"/>
          <c:order val="12"/>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Rates'!$AD$167:$AD$306</c:f>
              <c:numCache>
                <c:formatCode>0.00E+00</c:formatCode>
                <c:ptCount val="140"/>
                <c:pt idx="0">
                  <c:v>0</c:v>
                </c:pt>
                <c:pt idx="1">
                  <c:v>0</c:v>
                </c:pt>
                <c:pt idx="2">
                  <c:v>0</c:v>
                </c:pt>
                <c:pt idx="3">
                  <c:v>0</c:v>
                </c:pt>
                <c:pt idx="4">
                  <c:v>0</c:v>
                </c:pt>
                <c:pt idx="5">
                  <c:v>0</c:v>
                </c:pt>
                <c:pt idx="6">
                  <c:v>0</c:v>
                </c:pt>
                <c:pt idx="7">
                  <c:v>1.529476161855453E-7</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6.2937539396229002E-8</c:v>
                </c:pt>
                <c:pt idx="24">
                  <c:v>0</c:v>
                </c:pt>
                <c:pt idx="25">
                  <c:v>0</c:v>
                </c:pt>
                <c:pt idx="26">
                  <c:v>0</c:v>
                </c:pt>
                <c:pt idx="27">
                  <c:v>0</c:v>
                </c:pt>
                <c:pt idx="28">
                  <c:v>1.5030276509124133E-10</c:v>
                </c:pt>
                <c:pt idx="29">
                  <c:v>0</c:v>
                </c:pt>
                <c:pt idx="30">
                  <c:v>1.620071806543889E-7</c:v>
                </c:pt>
                <c:pt idx="31">
                  <c:v>0</c:v>
                </c:pt>
                <c:pt idx="32">
                  <c:v>1.1891162760613862E-8</c:v>
                </c:pt>
                <c:pt idx="33">
                  <c:v>0</c:v>
                </c:pt>
                <c:pt idx="34">
                  <c:v>0</c:v>
                </c:pt>
                <c:pt idx="35">
                  <c:v>0</c:v>
                </c:pt>
                <c:pt idx="36">
                  <c:v>3.8650894919405375E-10</c:v>
                </c:pt>
                <c:pt idx="37">
                  <c:v>5.8311886195995777E-8</c:v>
                </c:pt>
                <c:pt idx="38">
                  <c:v>4.6078255697378709E-10</c:v>
                </c:pt>
                <c:pt idx="39">
                  <c:v>2.5527859183586156E-8</c:v>
                </c:pt>
                <c:pt idx="40">
                  <c:v>1.4582578200258975E-9</c:v>
                </c:pt>
                <c:pt idx="41">
                  <c:v>1.1921671262122967E-8</c:v>
                </c:pt>
                <c:pt idx="42">
                  <c:v>0</c:v>
                </c:pt>
                <c:pt idx="43">
                  <c:v>1.3773394977168952E-9</c:v>
                </c:pt>
                <c:pt idx="44">
                  <c:v>2.4866673698630139E-6</c:v>
                </c:pt>
                <c:pt idx="45">
                  <c:v>0</c:v>
                </c:pt>
                <c:pt idx="46">
                  <c:v>3.3112483137192223E-8</c:v>
                </c:pt>
                <c:pt idx="47">
                  <c:v>7.5327485774499474E-8</c:v>
                </c:pt>
                <c:pt idx="48">
                  <c:v>0</c:v>
                </c:pt>
                <c:pt idx="49">
                  <c:v>2.1871736986301367E-8</c:v>
                </c:pt>
                <c:pt idx="50">
                  <c:v>4.990066516028809E-9</c:v>
                </c:pt>
                <c:pt idx="51">
                  <c:v>0</c:v>
                </c:pt>
                <c:pt idx="52">
                  <c:v>0</c:v>
                </c:pt>
                <c:pt idx="53">
                  <c:v>1.9883397260273973E-9</c:v>
                </c:pt>
                <c:pt idx="54">
                  <c:v>9.027249935383821E-9</c:v>
                </c:pt>
                <c:pt idx="55">
                  <c:v>0</c:v>
                </c:pt>
                <c:pt idx="56">
                  <c:v>0</c:v>
                </c:pt>
                <c:pt idx="57">
                  <c:v>0</c:v>
                </c:pt>
                <c:pt idx="58">
                  <c:v>6.5524831880448313E-8</c:v>
                </c:pt>
                <c:pt idx="59">
                  <c:v>1.2427123287671233E-7</c:v>
                </c:pt>
                <c:pt idx="60">
                  <c:v>0</c:v>
                </c:pt>
                <c:pt idx="61">
                  <c:v>0</c:v>
                </c:pt>
                <c:pt idx="62">
                  <c:v>1.0678439402831659E-9</c:v>
                </c:pt>
                <c:pt idx="63">
                  <c:v>9.2315772994129154E-10</c:v>
                </c:pt>
                <c:pt idx="64">
                  <c:v>4.5216349768497741E-9</c:v>
                </c:pt>
                <c:pt idx="65">
                  <c:v>4.2981077681421046E-8</c:v>
                </c:pt>
                <c:pt idx="66">
                  <c:v>1.6372640319124825E-9</c:v>
                </c:pt>
                <c:pt idx="67">
                  <c:v>0</c:v>
                </c:pt>
                <c:pt idx="68">
                  <c:v>0</c:v>
                </c:pt>
                <c:pt idx="69">
                  <c:v>1.0296759295499021E-8</c:v>
                </c:pt>
                <c:pt idx="70">
                  <c:v>6.3126943250888646E-9</c:v>
                </c:pt>
                <c:pt idx="71">
                  <c:v>0</c:v>
                </c:pt>
                <c:pt idx="72">
                  <c:v>0</c:v>
                </c:pt>
                <c:pt idx="73">
                  <c:v>1.4498310502283104E-8</c:v>
                </c:pt>
                <c:pt idx="74">
                  <c:v>1.3139339285669342E-7</c:v>
                </c:pt>
                <c:pt idx="75">
                  <c:v>9.7072246058413037E-11</c:v>
                </c:pt>
                <c:pt idx="76">
                  <c:v>1.9379529493444415E-12</c:v>
                </c:pt>
                <c:pt idx="77">
                  <c:v>0</c:v>
                </c:pt>
                <c:pt idx="78">
                  <c:v>1.0619910021429091E-7</c:v>
                </c:pt>
                <c:pt idx="79">
                  <c:v>0</c:v>
                </c:pt>
                <c:pt idx="80">
                  <c:v>8.3841161610975335E-9</c:v>
                </c:pt>
                <c:pt idx="81">
                  <c:v>5.8174814359207454E-9</c:v>
                </c:pt>
                <c:pt idx="82">
                  <c:v>5.4830659432307291E-9</c:v>
                </c:pt>
                <c:pt idx="83">
                  <c:v>6.7082986708076832E-7</c:v>
                </c:pt>
                <c:pt idx="84">
                  <c:v>5.0960258714730547E-8</c:v>
                </c:pt>
                <c:pt idx="85">
                  <c:v>0</c:v>
                </c:pt>
                <c:pt idx="86">
                  <c:v>0</c:v>
                </c:pt>
                <c:pt idx="87">
                  <c:v>8.4206322479765392E-10</c:v>
                </c:pt>
                <c:pt idx="88">
                  <c:v>0</c:v>
                </c:pt>
                <c:pt idx="89">
                  <c:v>0</c:v>
                </c:pt>
                <c:pt idx="90">
                  <c:v>9.5715126741283492E-8</c:v>
                </c:pt>
                <c:pt idx="91">
                  <c:v>2.0085468850805638E-10</c:v>
                </c:pt>
                <c:pt idx="92">
                  <c:v>0</c:v>
                </c:pt>
                <c:pt idx="93">
                  <c:v>5.4410024004410705E-7</c:v>
                </c:pt>
                <c:pt idx="94">
                  <c:v>7.9606133651500564E-8</c:v>
                </c:pt>
                <c:pt idx="95">
                  <c:v>1.4372601139045758E-8</c:v>
                </c:pt>
                <c:pt idx="96">
                  <c:v>8.1207484017674784E-10</c:v>
                </c:pt>
                <c:pt idx="97">
                  <c:v>8.9474196270013504E-8</c:v>
                </c:pt>
                <c:pt idx="98">
                  <c:v>1.8310607747840348E-10</c:v>
                </c:pt>
                <c:pt idx="99">
                  <c:v>4.7369509281283354E-10</c:v>
                </c:pt>
                <c:pt idx="100">
                  <c:v>1.2303768644489183E-9</c:v>
                </c:pt>
                <c:pt idx="101">
                  <c:v>1.7708650684931508E-8</c:v>
                </c:pt>
                <c:pt idx="102">
                  <c:v>0</c:v>
                </c:pt>
                <c:pt idx="103">
                  <c:v>1.6725603348144325E-8</c:v>
                </c:pt>
                <c:pt idx="104">
                  <c:v>7.180115677321157E-9</c:v>
                </c:pt>
                <c:pt idx="105">
                  <c:v>3.4492088895703146E-8</c:v>
                </c:pt>
                <c:pt idx="106">
                  <c:v>8.3456462715570123E-8</c:v>
                </c:pt>
                <c:pt idx="107">
                  <c:v>0</c:v>
                </c:pt>
                <c:pt idx="108">
                  <c:v>1.0129509018300699E-10</c:v>
                </c:pt>
                <c:pt idx="109">
                  <c:v>2.0801710547250776E-7</c:v>
                </c:pt>
                <c:pt idx="110">
                  <c:v>4.7021547574972232E-8</c:v>
                </c:pt>
                <c:pt idx="111">
                  <c:v>0</c:v>
                </c:pt>
                <c:pt idx="112">
                  <c:v>0</c:v>
                </c:pt>
                <c:pt idx="113">
                  <c:v>0</c:v>
                </c:pt>
                <c:pt idx="114">
                  <c:v>1.2508317805246705E-8</c:v>
                </c:pt>
                <c:pt idx="115">
                  <c:v>0</c:v>
                </c:pt>
                <c:pt idx="116">
                  <c:v>1.3989603247781011E-9</c:v>
                </c:pt>
                <c:pt idx="117">
                  <c:v>0</c:v>
                </c:pt>
                <c:pt idx="118">
                  <c:v>3.0879518472395179E-8</c:v>
                </c:pt>
                <c:pt idx="119">
                  <c:v>6.8022018876040025E-8</c:v>
                </c:pt>
                <c:pt idx="120">
                  <c:v>2.7407140935243849E-8</c:v>
                </c:pt>
                <c:pt idx="121">
                  <c:v>2.2301607470309441E-7</c:v>
                </c:pt>
                <c:pt idx="122">
                  <c:v>1.2431280463511247E-8</c:v>
                </c:pt>
                <c:pt idx="123">
                  <c:v>2.3203226240243977E-7</c:v>
                </c:pt>
                <c:pt idx="124">
                  <c:v>0</c:v>
                </c:pt>
                <c:pt idx="125">
                  <c:v>3.0002973595579301E-8</c:v>
                </c:pt>
                <c:pt idx="126">
                  <c:v>2.1818683062894148E-7</c:v>
                </c:pt>
                <c:pt idx="127">
                  <c:v>0</c:v>
                </c:pt>
                <c:pt idx="128">
                  <c:v>3.6190495358390014E-9</c:v>
                </c:pt>
                <c:pt idx="129">
                  <c:v>2.211994892124893E-7</c:v>
                </c:pt>
                <c:pt idx="130">
                  <c:v>6.4186818317987781E-8</c:v>
                </c:pt>
                <c:pt idx="131">
                  <c:v>2.7067172493453969E-7</c:v>
                </c:pt>
                <c:pt idx="132">
                  <c:v>1.0415018417916969E-8</c:v>
                </c:pt>
                <c:pt idx="133">
                  <c:v>7.193419447778757E-9</c:v>
                </c:pt>
                <c:pt idx="134">
                  <c:v>5.4030970815961884E-9</c:v>
                </c:pt>
                <c:pt idx="135">
                  <c:v>2.2696660891623623E-7</c:v>
                </c:pt>
                <c:pt idx="136">
                  <c:v>0</c:v>
                </c:pt>
                <c:pt idx="137">
                  <c:v>1.2723544153856832E-7</c:v>
                </c:pt>
                <c:pt idx="138">
                  <c:v>4.7894670138060316E-8</c:v>
                </c:pt>
                <c:pt idx="139">
                  <c:v>6.6459445411318001E-9</c:v>
                </c:pt>
              </c:numCache>
            </c:numRef>
          </c:yVal>
          <c:smooth val="0"/>
          <c:extLst>
            <c:ext xmlns:c16="http://schemas.microsoft.com/office/drawing/2014/chart" uri="{C3380CC4-5D6E-409C-BE32-E72D297353CC}">
              <c16:uniqueId val="{0000000C-BE4D-4ACE-A43A-5EC36E2D06C8}"/>
            </c:ext>
          </c:extLst>
        </c:ser>
        <c:ser>
          <c:idx val="13"/>
          <c:order val="13"/>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Rates'!$AE$167:$AE$306</c:f>
              <c:numCache>
                <c:formatCode>0.00E+00</c:formatCode>
                <c:ptCount val="140"/>
                <c:pt idx="0">
                  <c:v>0</c:v>
                </c:pt>
                <c:pt idx="1">
                  <c:v>0</c:v>
                </c:pt>
                <c:pt idx="2">
                  <c:v>0</c:v>
                </c:pt>
                <c:pt idx="3">
                  <c:v>0</c:v>
                </c:pt>
                <c:pt idx="4">
                  <c:v>0</c:v>
                </c:pt>
                <c:pt idx="5">
                  <c:v>0</c:v>
                </c:pt>
                <c:pt idx="6">
                  <c:v>0</c:v>
                </c:pt>
                <c:pt idx="7">
                  <c:v>1.987298788084394E-5</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2.6806729742838272E-6</c:v>
                </c:pt>
                <c:pt idx="24">
                  <c:v>0</c:v>
                </c:pt>
                <c:pt idx="25">
                  <c:v>0</c:v>
                </c:pt>
                <c:pt idx="26">
                  <c:v>0</c:v>
                </c:pt>
                <c:pt idx="27">
                  <c:v>0</c:v>
                </c:pt>
                <c:pt idx="28">
                  <c:v>0</c:v>
                </c:pt>
                <c:pt idx="29">
                  <c:v>0</c:v>
                </c:pt>
                <c:pt idx="30">
                  <c:v>0</c:v>
                </c:pt>
                <c:pt idx="31">
                  <c:v>0</c:v>
                </c:pt>
                <c:pt idx="32">
                  <c:v>4.7612215693497904E-7</c:v>
                </c:pt>
                <c:pt idx="33">
                  <c:v>0</c:v>
                </c:pt>
                <c:pt idx="34">
                  <c:v>1.123673759774516E-7</c:v>
                </c:pt>
                <c:pt idx="35">
                  <c:v>0</c:v>
                </c:pt>
                <c:pt idx="36">
                  <c:v>2.9849981684378611E-7</c:v>
                </c:pt>
                <c:pt idx="37">
                  <c:v>0</c:v>
                </c:pt>
                <c:pt idx="38">
                  <c:v>5.3510232422762383E-7</c:v>
                </c:pt>
                <c:pt idx="39">
                  <c:v>7.6524667106488642E-6</c:v>
                </c:pt>
                <c:pt idx="40">
                  <c:v>1.9329256339269447E-7</c:v>
                </c:pt>
                <c:pt idx="41">
                  <c:v>0</c:v>
                </c:pt>
                <c:pt idx="42">
                  <c:v>0</c:v>
                </c:pt>
                <c:pt idx="43">
                  <c:v>4.0444072739726032E-6</c:v>
                </c:pt>
                <c:pt idx="44">
                  <c:v>1.3172750684931507E-7</c:v>
                </c:pt>
                <c:pt idx="45">
                  <c:v>0</c:v>
                </c:pt>
                <c:pt idx="46">
                  <c:v>1.1979360566077541E-6</c:v>
                </c:pt>
                <c:pt idx="47">
                  <c:v>1.4932941173164734E-6</c:v>
                </c:pt>
                <c:pt idx="48">
                  <c:v>0</c:v>
                </c:pt>
                <c:pt idx="49">
                  <c:v>0</c:v>
                </c:pt>
                <c:pt idx="50">
                  <c:v>0</c:v>
                </c:pt>
                <c:pt idx="51">
                  <c:v>0</c:v>
                </c:pt>
                <c:pt idx="52">
                  <c:v>0</c:v>
                </c:pt>
                <c:pt idx="53">
                  <c:v>3.6287200000000002E-6</c:v>
                </c:pt>
                <c:pt idx="54">
                  <c:v>3.9942650038769707E-7</c:v>
                </c:pt>
                <c:pt idx="55">
                  <c:v>4.4518505249482101E-7</c:v>
                </c:pt>
                <c:pt idx="56">
                  <c:v>4.412359774375504E-7</c:v>
                </c:pt>
                <c:pt idx="57">
                  <c:v>0</c:v>
                </c:pt>
                <c:pt idx="58">
                  <c:v>0</c:v>
                </c:pt>
                <c:pt idx="59">
                  <c:v>9.548173059360732E-6</c:v>
                </c:pt>
                <c:pt idx="60">
                  <c:v>4.2852149267831838E-6</c:v>
                </c:pt>
                <c:pt idx="61">
                  <c:v>0</c:v>
                </c:pt>
                <c:pt idx="62">
                  <c:v>6.7252375504364274E-7</c:v>
                </c:pt>
                <c:pt idx="63">
                  <c:v>1.3492305283757341E-9</c:v>
                </c:pt>
                <c:pt idx="64">
                  <c:v>0</c:v>
                </c:pt>
                <c:pt idx="65">
                  <c:v>0</c:v>
                </c:pt>
                <c:pt idx="66">
                  <c:v>0</c:v>
                </c:pt>
                <c:pt idx="67">
                  <c:v>0</c:v>
                </c:pt>
                <c:pt idx="68">
                  <c:v>0</c:v>
                </c:pt>
                <c:pt idx="69">
                  <c:v>0</c:v>
                </c:pt>
                <c:pt idx="70">
                  <c:v>0</c:v>
                </c:pt>
                <c:pt idx="71">
                  <c:v>0</c:v>
                </c:pt>
                <c:pt idx="72">
                  <c:v>0</c:v>
                </c:pt>
                <c:pt idx="73">
                  <c:v>2.5024721215314358E-6</c:v>
                </c:pt>
                <c:pt idx="74">
                  <c:v>1.6474710027416177E-6</c:v>
                </c:pt>
                <c:pt idx="75">
                  <c:v>0</c:v>
                </c:pt>
                <c:pt idx="76">
                  <c:v>1.2105746090238279E-7</c:v>
                </c:pt>
                <c:pt idx="77">
                  <c:v>0</c:v>
                </c:pt>
                <c:pt idx="78">
                  <c:v>1.824420391417205E-6</c:v>
                </c:pt>
                <c:pt idx="79">
                  <c:v>0</c:v>
                </c:pt>
                <c:pt idx="80">
                  <c:v>0</c:v>
                </c:pt>
                <c:pt idx="81">
                  <c:v>1.5140464588712442E-5</c:v>
                </c:pt>
                <c:pt idx="82">
                  <c:v>0</c:v>
                </c:pt>
                <c:pt idx="83">
                  <c:v>3.1137686330332323E-6</c:v>
                </c:pt>
                <c:pt idx="84">
                  <c:v>1.8419959286149008E-6</c:v>
                </c:pt>
                <c:pt idx="85">
                  <c:v>0</c:v>
                </c:pt>
                <c:pt idx="86">
                  <c:v>0</c:v>
                </c:pt>
                <c:pt idx="87">
                  <c:v>6.292508825306105E-8</c:v>
                </c:pt>
                <c:pt idx="88">
                  <c:v>0</c:v>
                </c:pt>
                <c:pt idx="89">
                  <c:v>0</c:v>
                </c:pt>
                <c:pt idx="90">
                  <c:v>2.1306794722529603E-6</c:v>
                </c:pt>
                <c:pt idx="91">
                  <c:v>0</c:v>
                </c:pt>
                <c:pt idx="92">
                  <c:v>0</c:v>
                </c:pt>
                <c:pt idx="93">
                  <c:v>1.5278051571313456E-6</c:v>
                </c:pt>
                <c:pt idx="94">
                  <c:v>1.2559092738513761E-6</c:v>
                </c:pt>
                <c:pt idx="95">
                  <c:v>0</c:v>
                </c:pt>
                <c:pt idx="96">
                  <c:v>1.0099258012379917E-7</c:v>
                </c:pt>
                <c:pt idx="97">
                  <c:v>1.4656348433256194E-6</c:v>
                </c:pt>
                <c:pt idx="98">
                  <c:v>0</c:v>
                </c:pt>
                <c:pt idx="99">
                  <c:v>2.7603504953911479E-6</c:v>
                </c:pt>
                <c:pt idx="100">
                  <c:v>0</c:v>
                </c:pt>
                <c:pt idx="101">
                  <c:v>0</c:v>
                </c:pt>
                <c:pt idx="102">
                  <c:v>1.3874933161347473E-7</c:v>
                </c:pt>
                <c:pt idx="103">
                  <c:v>1.4718530946367006E-6</c:v>
                </c:pt>
                <c:pt idx="104">
                  <c:v>5.8858538001014703E-6</c:v>
                </c:pt>
                <c:pt idx="105">
                  <c:v>2.7355293653523564E-6</c:v>
                </c:pt>
                <c:pt idx="106">
                  <c:v>9.2538489540499812E-7</c:v>
                </c:pt>
                <c:pt idx="107">
                  <c:v>3.0924498533542929E-7</c:v>
                </c:pt>
                <c:pt idx="108">
                  <c:v>0</c:v>
                </c:pt>
                <c:pt idx="109">
                  <c:v>5.6309135624536942E-6</c:v>
                </c:pt>
                <c:pt idx="110">
                  <c:v>8.3308747574972218E-6</c:v>
                </c:pt>
                <c:pt idx="111">
                  <c:v>8.6086072229140733E-8</c:v>
                </c:pt>
                <c:pt idx="112">
                  <c:v>0</c:v>
                </c:pt>
                <c:pt idx="113">
                  <c:v>0</c:v>
                </c:pt>
                <c:pt idx="114">
                  <c:v>6.3650280831698565E-7</c:v>
                </c:pt>
                <c:pt idx="115">
                  <c:v>7.2779506134047131E-9</c:v>
                </c:pt>
                <c:pt idx="116">
                  <c:v>1.9310548843074521E-6</c:v>
                </c:pt>
                <c:pt idx="117">
                  <c:v>0</c:v>
                </c:pt>
                <c:pt idx="118">
                  <c:v>0</c:v>
                </c:pt>
                <c:pt idx="119">
                  <c:v>1.2864790390394389E-7</c:v>
                </c:pt>
                <c:pt idx="120">
                  <c:v>2.4761467733672325E-6</c:v>
                </c:pt>
                <c:pt idx="121">
                  <c:v>4.8621779353799238E-6</c:v>
                </c:pt>
                <c:pt idx="122">
                  <c:v>1.1279886693683966E-6</c:v>
                </c:pt>
                <c:pt idx="123">
                  <c:v>6.4952714068038471E-6</c:v>
                </c:pt>
                <c:pt idx="124">
                  <c:v>0</c:v>
                </c:pt>
                <c:pt idx="125">
                  <c:v>3.8346071773656004E-6</c:v>
                </c:pt>
                <c:pt idx="126">
                  <c:v>5.3728507042376848E-6</c:v>
                </c:pt>
                <c:pt idx="127">
                  <c:v>0</c:v>
                </c:pt>
                <c:pt idx="128">
                  <c:v>1.5966655686891334E-6</c:v>
                </c:pt>
                <c:pt idx="129">
                  <c:v>1.1901184743943878E-5</c:v>
                </c:pt>
                <c:pt idx="130">
                  <c:v>1.904390262129451E-6</c:v>
                </c:pt>
                <c:pt idx="131">
                  <c:v>1.0544217875885003E-5</c:v>
                </c:pt>
                <c:pt idx="132">
                  <c:v>6.75573860039041E-6</c:v>
                </c:pt>
                <c:pt idx="133">
                  <c:v>7.7688930036010575E-7</c:v>
                </c:pt>
                <c:pt idx="134">
                  <c:v>0</c:v>
                </c:pt>
                <c:pt idx="135">
                  <c:v>2.7659664073258653E-5</c:v>
                </c:pt>
                <c:pt idx="136">
                  <c:v>1.0819260903413888E-5</c:v>
                </c:pt>
                <c:pt idx="137">
                  <c:v>3.4332997503837582E-5</c:v>
                </c:pt>
                <c:pt idx="138">
                  <c:v>2.0355234808675638E-9</c:v>
                </c:pt>
                <c:pt idx="139">
                  <c:v>1.4140307534322981E-6</c:v>
                </c:pt>
              </c:numCache>
            </c:numRef>
          </c:yVal>
          <c:smooth val="0"/>
          <c:extLst>
            <c:ext xmlns:c16="http://schemas.microsoft.com/office/drawing/2014/chart" uri="{C3380CC4-5D6E-409C-BE32-E72D297353CC}">
              <c16:uniqueId val="{0000000D-BE4D-4ACE-A43A-5EC36E2D06C8}"/>
            </c:ext>
          </c:extLst>
        </c:ser>
        <c:ser>
          <c:idx val="14"/>
          <c:order val="14"/>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Rates'!$AF$167:$AF$306</c:f>
              <c:numCache>
                <c:formatCode>0.00E+00</c:formatCode>
                <c:ptCount val="140"/>
                <c:pt idx="0">
                  <c:v>0</c:v>
                </c:pt>
                <c:pt idx="1">
                  <c:v>0</c:v>
                </c:pt>
                <c:pt idx="2">
                  <c:v>0</c:v>
                </c:pt>
                <c:pt idx="3">
                  <c:v>0</c:v>
                </c:pt>
                <c:pt idx="4">
                  <c:v>0</c:v>
                </c:pt>
                <c:pt idx="5">
                  <c:v>0</c:v>
                </c:pt>
                <c:pt idx="6">
                  <c:v>0</c:v>
                </c:pt>
                <c:pt idx="7">
                  <c:v>2.6433017447923178E-5</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2.1422073594494238E-4</c:v>
                </c:pt>
                <c:pt idx="24">
                  <c:v>0</c:v>
                </c:pt>
                <c:pt idx="25">
                  <c:v>0</c:v>
                </c:pt>
                <c:pt idx="26">
                  <c:v>0</c:v>
                </c:pt>
                <c:pt idx="27">
                  <c:v>0</c:v>
                </c:pt>
                <c:pt idx="28">
                  <c:v>5.1251495189542477E-8</c:v>
                </c:pt>
                <c:pt idx="29">
                  <c:v>0</c:v>
                </c:pt>
                <c:pt idx="30">
                  <c:v>1.331416155298569E-5</c:v>
                </c:pt>
                <c:pt idx="31">
                  <c:v>0</c:v>
                </c:pt>
                <c:pt idx="32">
                  <c:v>9.8420775937048802E-6</c:v>
                </c:pt>
                <c:pt idx="33">
                  <c:v>3.3035111435564905E-8</c:v>
                </c:pt>
                <c:pt idx="34">
                  <c:v>2.2105057569334743E-6</c:v>
                </c:pt>
                <c:pt idx="35">
                  <c:v>2.1220274557389515E-6</c:v>
                </c:pt>
                <c:pt idx="36">
                  <c:v>6.1026629221396266E-6</c:v>
                </c:pt>
                <c:pt idx="37">
                  <c:v>5.4312901650860549E-6</c:v>
                </c:pt>
                <c:pt idx="38">
                  <c:v>6.3416381763451049E-6</c:v>
                </c:pt>
                <c:pt idx="39">
                  <c:v>6.6213375677795497E-5</c:v>
                </c:pt>
                <c:pt idx="40">
                  <c:v>2.4467413087682848E-7</c:v>
                </c:pt>
                <c:pt idx="41">
                  <c:v>3.7680298677660788E-5</c:v>
                </c:pt>
                <c:pt idx="42">
                  <c:v>0</c:v>
                </c:pt>
                <c:pt idx="43">
                  <c:v>5.7645489675799083E-5</c:v>
                </c:pt>
                <c:pt idx="44">
                  <c:v>2.8818498904109592E-6</c:v>
                </c:pt>
                <c:pt idx="45">
                  <c:v>1.6191959790965517E-4</c:v>
                </c:pt>
                <c:pt idx="46">
                  <c:v>1.2055887193772387E-5</c:v>
                </c:pt>
                <c:pt idx="47">
                  <c:v>6.4702614007727434E-6</c:v>
                </c:pt>
                <c:pt idx="48">
                  <c:v>6.688665265871262E-5</c:v>
                </c:pt>
                <c:pt idx="49">
                  <c:v>7.9931256986301387E-6</c:v>
                </c:pt>
                <c:pt idx="50">
                  <c:v>2.3118292755260558E-6</c:v>
                </c:pt>
                <c:pt idx="51">
                  <c:v>0</c:v>
                </c:pt>
                <c:pt idx="52">
                  <c:v>0</c:v>
                </c:pt>
                <c:pt idx="53">
                  <c:v>1.09731498630137E-5</c:v>
                </c:pt>
                <c:pt idx="54">
                  <c:v>6.3095154487981394E-4</c:v>
                </c:pt>
                <c:pt idx="55">
                  <c:v>7.699477580848224E-6</c:v>
                </c:pt>
                <c:pt idx="56">
                  <c:v>0</c:v>
                </c:pt>
                <c:pt idx="57">
                  <c:v>0</c:v>
                </c:pt>
                <c:pt idx="58">
                  <c:v>8.6515372851805736E-6</c:v>
                </c:pt>
                <c:pt idx="59">
                  <c:v>2.9172671917808225E-5</c:v>
                </c:pt>
                <c:pt idx="60">
                  <c:v>1.285564478034955E-5</c:v>
                </c:pt>
                <c:pt idx="61">
                  <c:v>0</c:v>
                </c:pt>
                <c:pt idx="62">
                  <c:v>2.203724794475802E-5</c:v>
                </c:pt>
                <c:pt idx="63">
                  <c:v>4.3743473972602735E-8</c:v>
                </c:pt>
                <c:pt idx="64">
                  <c:v>2.6716403234643809E-5</c:v>
                </c:pt>
                <c:pt idx="65">
                  <c:v>3.9925079150247129E-5</c:v>
                </c:pt>
                <c:pt idx="66">
                  <c:v>1.0545090375029549E-5</c:v>
                </c:pt>
                <c:pt idx="67">
                  <c:v>0</c:v>
                </c:pt>
                <c:pt idx="68">
                  <c:v>0</c:v>
                </c:pt>
                <c:pt idx="69">
                  <c:v>3.4536750919765159E-6</c:v>
                </c:pt>
                <c:pt idx="70">
                  <c:v>1.8704279481744781E-6</c:v>
                </c:pt>
                <c:pt idx="71">
                  <c:v>2.5173801174168292E-5</c:v>
                </c:pt>
                <c:pt idx="72">
                  <c:v>8.5069486784862644E-5</c:v>
                </c:pt>
                <c:pt idx="73">
                  <c:v>6.3712905163329816E-6</c:v>
                </c:pt>
                <c:pt idx="74">
                  <c:v>1.1516414301373483E-5</c:v>
                </c:pt>
                <c:pt idx="75">
                  <c:v>5.580481778237271E-7</c:v>
                </c:pt>
                <c:pt idx="76">
                  <c:v>1.1654526045199248E-6</c:v>
                </c:pt>
                <c:pt idx="77">
                  <c:v>0</c:v>
                </c:pt>
                <c:pt idx="78">
                  <c:v>9.1852202902322542E-6</c:v>
                </c:pt>
                <c:pt idx="79">
                  <c:v>0</c:v>
                </c:pt>
                <c:pt idx="80">
                  <c:v>5.9993008974964582E-7</c:v>
                </c:pt>
                <c:pt idx="81">
                  <c:v>2.393424459152683E-5</c:v>
                </c:pt>
                <c:pt idx="82">
                  <c:v>2.9169910817987482E-6</c:v>
                </c:pt>
                <c:pt idx="83">
                  <c:v>1.2237054825331681E-5</c:v>
                </c:pt>
                <c:pt idx="84">
                  <c:v>4.1072600463436181E-6</c:v>
                </c:pt>
                <c:pt idx="85">
                  <c:v>0</c:v>
                </c:pt>
                <c:pt idx="86">
                  <c:v>0</c:v>
                </c:pt>
                <c:pt idx="87">
                  <c:v>2.962582051036143E-4</c:v>
                </c:pt>
                <c:pt idx="88">
                  <c:v>0</c:v>
                </c:pt>
                <c:pt idx="89">
                  <c:v>0</c:v>
                </c:pt>
                <c:pt idx="90">
                  <c:v>2.4558911655427223E-9</c:v>
                </c:pt>
                <c:pt idx="91">
                  <c:v>0</c:v>
                </c:pt>
                <c:pt idx="92">
                  <c:v>0</c:v>
                </c:pt>
                <c:pt idx="93">
                  <c:v>7.8215467543152796E-6</c:v>
                </c:pt>
                <c:pt idx="94">
                  <c:v>1.2495809142203309E-5</c:v>
                </c:pt>
                <c:pt idx="95">
                  <c:v>0</c:v>
                </c:pt>
                <c:pt idx="96">
                  <c:v>1.0990399411995694E-5</c:v>
                </c:pt>
                <c:pt idx="97">
                  <c:v>7.8127601291701169E-6</c:v>
                </c:pt>
                <c:pt idx="98">
                  <c:v>7.9876709160868774E-6</c:v>
                </c:pt>
                <c:pt idx="99">
                  <c:v>3.5880250121059351E-5</c:v>
                </c:pt>
                <c:pt idx="100">
                  <c:v>1.262893967295068E-6</c:v>
                </c:pt>
                <c:pt idx="101">
                  <c:v>5.4902202210045668E-5</c:v>
                </c:pt>
                <c:pt idx="102">
                  <c:v>2.8510516920175778E-7</c:v>
                </c:pt>
                <c:pt idx="103">
                  <c:v>1.0545492911004996E-5</c:v>
                </c:pt>
                <c:pt idx="104">
                  <c:v>5.852714804667681E-5</c:v>
                </c:pt>
                <c:pt idx="105">
                  <c:v>7.0831468605430448E-6</c:v>
                </c:pt>
                <c:pt idx="106">
                  <c:v>8.5420144191230599E-6</c:v>
                </c:pt>
                <c:pt idx="107">
                  <c:v>6.2028618995232625E-6</c:v>
                </c:pt>
                <c:pt idx="108">
                  <c:v>2.2461085214492852E-8</c:v>
                </c:pt>
                <c:pt idx="109">
                  <c:v>3.8619798905903249E-5</c:v>
                </c:pt>
                <c:pt idx="110">
                  <c:v>2.5474998176971487E-4</c:v>
                </c:pt>
                <c:pt idx="111">
                  <c:v>1.3556861768368616E-6</c:v>
                </c:pt>
                <c:pt idx="112">
                  <c:v>2.4307427574301156E-5</c:v>
                </c:pt>
                <c:pt idx="113">
                  <c:v>1.1427239804755156E-7</c:v>
                </c:pt>
                <c:pt idx="114">
                  <c:v>1.0761675637958662E-3</c:v>
                </c:pt>
                <c:pt idx="115">
                  <c:v>4.8519670756031413E-9</c:v>
                </c:pt>
                <c:pt idx="116">
                  <c:v>2.8526269930566507E-5</c:v>
                </c:pt>
                <c:pt idx="117">
                  <c:v>4.6893885985921758E-7</c:v>
                </c:pt>
                <c:pt idx="118">
                  <c:v>1.4198553225404733E-5</c:v>
                </c:pt>
                <c:pt idx="119">
                  <c:v>7.6328661625935334E-7</c:v>
                </c:pt>
                <c:pt idx="120">
                  <c:v>1.2961013768540915E-5</c:v>
                </c:pt>
                <c:pt idx="121">
                  <c:v>1.1100571679989965E-4</c:v>
                </c:pt>
                <c:pt idx="122">
                  <c:v>3.0618140902065755E-4</c:v>
                </c:pt>
                <c:pt idx="123">
                  <c:v>2.3202978976537239E-5</c:v>
                </c:pt>
                <c:pt idx="124">
                  <c:v>0</c:v>
                </c:pt>
                <c:pt idx="125">
                  <c:v>1.007233896381182E-5</c:v>
                </c:pt>
                <c:pt idx="126">
                  <c:v>1.8245873711345232E-5</c:v>
                </c:pt>
                <c:pt idx="127">
                  <c:v>0</c:v>
                </c:pt>
                <c:pt idx="128">
                  <c:v>7.5081244819438683E-5</c:v>
                </c:pt>
                <c:pt idx="129">
                  <c:v>1.1486075785205632E-4</c:v>
                </c:pt>
                <c:pt idx="130">
                  <c:v>9.9119678253421452E-6</c:v>
                </c:pt>
                <c:pt idx="131">
                  <c:v>7.2241242038791558E-5</c:v>
                </c:pt>
                <c:pt idx="132">
                  <c:v>2.9768443465345498E-4</c:v>
                </c:pt>
                <c:pt idx="133">
                  <c:v>7.0273346477395644E-6</c:v>
                </c:pt>
                <c:pt idx="134">
                  <c:v>5.305841334127457E-7</c:v>
                </c:pt>
                <c:pt idx="135">
                  <c:v>1.8622021829628138E-4</c:v>
                </c:pt>
                <c:pt idx="136">
                  <c:v>6.0557176433055605E-4</c:v>
                </c:pt>
                <c:pt idx="137">
                  <c:v>4.9405224670357069E-4</c:v>
                </c:pt>
                <c:pt idx="138">
                  <c:v>4.3907438849066798E-6</c:v>
                </c:pt>
                <c:pt idx="139">
                  <c:v>2.7391401829350056E-5</c:v>
                </c:pt>
              </c:numCache>
            </c:numRef>
          </c:yVal>
          <c:smooth val="0"/>
          <c:extLst>
            <c:ext xmlns:c16="http://schemas.microsoft.com/office/drawing/2014/chart" uri="{C3380CC4-5D6E-409C-BE32-E72D297353CC}">
              <c16:uniqueId val="{0000000E-BE4D-4ACE-A43A-5EC36E2D06C8}"/>
            </c:ext>
          </c:extLst>
        </c:ser>
        <c:ser>
          <c:idx val="15"/>
          <c:order val="15"/>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Rates'!$AG$167:$AG$306</c:f>
              <c:numCache>
                <c:formatCode>0.00E+00</c:formatCode>
                <c:ptCount val="140"/>
                <c:pt idx="0">
                  <c:v>1.6080095096739199E-6</c:v>
                </c:pt>
                <c:pt idx="1">
                  <c:v>0</c:v>
                </c:pt>
                <c:pt idx="2">
                  <c:v>0</c:v>
                </c:pt>
                <c:pt idx="3">
                  <c:v>0</c:v>
                </c:pt>
                <c:pt idx="4">
                  <c:v>0</c:v>
                </c:pt>
                <c:pt idx="5">
                  <c:v>0</c:v>
                </c:pt>
                <c:pt idx="6">
                  <c:v>0</c:v>
                </c:pt>
                <c:pt idx="7">
                  <c:v>9.0486861829054811E-6</c:v>
                </c:pt>
                <c:pt idx="8">
                  <c:v>0</c:v>
                </c:pt>
                <c:pt idx="9">
                  <c:v>0</c:v>
                </c:pt>
                <c:pt idx="10">
                  <c:v>0</c:v>
                </c:pt>
                <c:pt idx="11">
                  <c:v>0</c:v>
                </c:pt>
                <c:pt idx="12">
                  <c:v>5.38215819659112E-6</c:v>
                </c:pt>
                <c:pt idx="13">
                  <c:v>0</c:v>
                </c:pt>
                <c:pt idx="14">
                  <c:v>0</c:v>
                </c:pt>
                <c:pt idx="15">
                  <c:v>0</c:v>
                </c:pt>
                <c:pt idx="16">
                  <c:v>0</c:v>
                </c:pt>
                <c:pt idx="17">
                  <c:v>0</c:v>
                </c:pt>
                <c:pt idx="18">
                  <c:v>0</c:v>
                </c:pt>
                <c:pt idx="19">
                  <c:v>0</c:v>
                </c:pt>
                <c:pt idx="20">
                  <c:v>0</c:v>
                </c:pt>
                <c:pt idx="21">
                  <c:v>0</c:v>
                </c:pt>
                <c:pt idx="22">
                  <c:v>0</c:v>
                </c:pt>
                <c:pt idx="23">
                  <c:v>3.3492872045363589E-4</c:v>
                </c:pt>
                <c:pt idx="24">
                  <c:v>0</c:v>
                </c:pt>
                <c:pt idx="25">
                  <c:v>0</c:v>
                </c:pt>
                <c:pt idx="26">
                  <c:v>0</c:v>
                </c:pt>
                <c:pt idx="27">
                  <c:v>0</c:v>
                </c:pt>
                <c:pt idx="28">
                  <c:v>8.4020993392574724E-6</c:v>
                </c:pt>
                <c:pt idx="29">
                  <c:v>7.3066874911297624E-6</c:v>
                </c:pt>
                <c:pt idx="30">
                  <c:v>1.4272061152886641E-4</c:v>
                </c:pt>
                <c:pt idx="31">
                  <c:v>2.7624498259161141E-4</c:v>
                </c:pt>
                <c:pt idx="32">
                  <c:v>5.232111614670099E-6</c:v>
                </c:pt>
                <c:pt idx="33">
                  <c:v>0</c:v>
                </c:pt>
                <c:pt idx="34">
                  <c:v>3.3807843464166706E-5</c:v>
                </c:pt>
                <c:pt idx="35">
                  <c:v>1.0477510562711071E-5</c:v>
                </c:pt>
                <c:pt idx="36">
                  <c:v>1.4755240290178404E-5</c:v>
                </c:pt>
                <c:pt idx="37">
                  <c:v>9.0399355813136631E-5</c:v>
                </c:pt>
                <c:pt idx="38">
                  <c:v>1.0008845746348507E-6</c:v>
                </c:pt>
                <c:pt idx="39">
                  <c:v>2.7738964525179846E-5</c:v>
                </c:pt>
                <c:pt idx="40">
                  <c:v>1.2184771717666058E-7</c:v>
                </c:pt>
                <c:pt idx="41">
                  <c:v>1.849969767754157E-5</c:v>
                </c:pt>
                <c:pt idx="42">
                  <c:v>9.4354084221207507E-5</c:v>
                </c:pt>
                <c:pt idx="43">
                  <c:v>1.408407305936073E-5</c:v>
                </c:pt>
                <c:pt idx="44">
                  <c:v>9.6633310684931511E-5</c:v>
                </c:pt>
                <c:pt idx="45">
                  <c:v>7.2952192374684856E-5</c:v>
                </c:pt>
                <c:pt idx="46">
                  <c:v>5.2415441973666357E-5</c:v>
                </c:pt>
                <c:pt idx="47">
                  <c:v>2.9038554579557423E-5</c:v>
                </c:pt>
                <c:pt idx="48">
                  <c:v>3.3058820444837232E-5</c:v>
                </c:pt>
                <c:pt idx="49">
                  <c:v>1.3228424197260276E-5</c:v>
                </c:pt>
                <c:pt idx="50">
                  <c:v>6.7907182460104511E-6</c:v>
                </c:pt>
                <c:pt idx="51">
                  <c:v>1.2079971860490051E-5</c:v>
                </c:pt>
                <c:pt idx="52">
                  <c:v>1.0904557529298244E-4</c:v>
                </c:pt>
                <c:pt idx="53">
                  <c:v>5.878029315068493E-5</c:v>
                </c:pt>
                <c:pt idx="54">
                  <c:v>4.8665083742569136E-5</c:v>
                </c:pt>
                <c:pt idx="55">
                  <c:v>1.082017864393044E-4</c:v>
                </c:pt>
                <c:pt idx="56">
                  <c:v>1.5317233560032235E-5</c:v>
                </c:pt>
                <c:pt idx="57">
                  <c:v>1.9614702702702701E-6</c:v>
                </c:pt>
                <c:pt idx="58">
                  <c:v>1.8661773383146535E-5</c:v>
                </c:pt>
                <c:pt idx="59">
                  <c:v>1.9790193835616441E-5</c:v>
                </c:pt>
                <c:pt idx="60">
                  <c:v>6.4278223901747752E-5</c:v>
                </c:pt>
                <c:pt idx="61">
                  <c:v>1.2298553952003294E-4</c:v>
                </c:pt>
                <c:pt idx="62">
                  <c:v>1.6633085897586195E-5</c:v>
                </c:pt>
                <c:pt idx="63">
                  <c:v>7.2432375733855188E-6</c:v>
                </c:pt>
                <c:pt idx="64">
                  <c:v>1.7728038848520291E-5</c:v>
                </c:pt>
                <c:pt idx="65">
                  <c:v>2.9608644772820007E-5</c:v>
                </c:pt>
                <c:pt idx="66">
                  <c:v>1.3662367091156705E-4</c:v>
                </c:pt>
                <c:pt idx="67">
                  <c:v>0</c:v>
                </c:pt>
                <c:pt idx="68">
                  <c:v>2.5802461195119868E-4</c:v>
                </c:pt>
                <c:pt idx="69">
                  <c:v>7.1012133072407034E-5</c:v>
                </c:pt>
                <c:pt idx="70">
                  <c:v>4.0588286475386177E-5</c:v>
                </c:pt>
                <c:pt idx="71">
                  <c:v>5.8016912720156556E-5</c:v>
                </c:pt>
                <c:pt idx="72">
                  <c:v>1.2100135121538563E-4</c:v>
                </c:pt>
                <c:pt idx="73">
                  <c:v>2.7403400070249385E-10</c:v>
                </c:pt>
                <c:pt idx="74">
                  <c:v>8.4423864619020509E-6</c:v>
                </c:pt>
                <c:pt idx="75">
                  <c:v>6.051305619023003E-6</c:v>
                </c:pt>
                <c:pt idx="76">
                  <c:v>8.3803545372818138E-6</c:v>
                </c:pt>
                <c:pt idx="77">
                  <c:v>4.8327701674277024E-5</c:v>
                </c:pt>
                <c:pt idx="78">
                  <c:v>1.6249464211090418E-5</c:v>
                </c:pt>
                <c:pt idx="79">
                  <c:v>5.3551230242490834E-5</c:v>
                </c:pt>
                <c:pt idx="80">
                  <c:v>1.1178821548130046E-5</c:v>
                </c:pt>
                <c:pt idx="81">
                  <c:v>3.4161752277258459E-5</c:v>
                </c:pt>
                <c:pt idx="82">
                  <c:v>1.7308942569590769E-4</c:v>
                </c:pt>
                <c:pt idx="83">
                  <c:v>1.9660905354358846E-5</c:v>
                </c:pt>
                <c:pt idx="84">
                  <c:v>7.6413515452447596E-6</c:v>
                </c:pt>
                <c:pt idx="85">
                  <c:v>9.2374949771689508E-6</c:v>
                </c:pt>
                <c:pt idx="86">
                  <c:v>4.0028418168709445E-4</c:v>
                </c:pt>
                <c:pt idx="87">
                  <c:v>4.0593035673011483E-5</c:v>
                </c:pt>
                <c:pt idx="88">
                  <c:v>1.8572089405645176E-6</c:v>
                </c:pt>
                <c:pt idx="89">
                  <c:v>0</c:v>
                </c:pt>
                <c:pt idx="90">
                  <c:v>8.0457708989204658E-5</c:v>
                </c:pt>
                <c:pt idx="91">
                  <c:v>2.1627194686310477E-5</c:v>
                </c:pt>
                <c:pt idx="92">
                  <c:v>7.6426808219178096E-5</c:v>
                </c:pt>
                <c:pt idx="93">
                  <c:v>1.0080205267398955E-11</c:v>
                </c:pt>
                <c:pt idx="94">
                  <c:v>2.7959117313103345E-5</c:v>
                </c:pt>
                <c:pt idx="95">
                  <c:v>1.441052356949179E-5</c:v>
                </c:pt>
                <c:pt idx="96">
                  <c:v>3.3501778406564376E-6</c:v>
                </c:pt>
                <c:pt idx="97">
                  <c:v>6.8784278141381176E-6</c:v>
                </c:pt>
                <c:pt idx="98">
                  <c:v>2.7333226058370378E-5</c:v>
                </c:pt>
                <c:pt idx="99">
                  <c:v>1.3287577985302536E-5</c:v>
                </c:pt>
                <c:pt idx="100">
                  <c:v>8.8059829869844005E-6</c:v>
                </c:pt>
                <c:pt idx="101">
                  <c:v>6.9011957990867588E-6</c:v>
                </c:pt>
                <c:pt idx="102">
                  <c:v>2.246989625929094E-5</c:v>
                </c:pt>
                <c:pt idx="103">
                  <c:v>4.2984800604730913E-6</c:v>
                </c:pt>
                <c:pt idx="104">
                  <c:v>1.0149774700355151E-4</c:v>
                </c:pt>
                <c:pt idx="105">
                  <c:v>2.5866160941979591E-5</c:v>
                </c:pt>
                <c:pt idx="106">
                  <c:v>1.1455626808634288E-5</c:v>
                </c:pt>
                <c:pt idx="107">
                  <c:v>8.309408819044013E-6</c:v>
                </c:pt>
                <c:pt idx="108">
                  <c:v>4.4922170428985709E-7</c:v>
                </c:pt>
                <c:pt idx="109">
                  <c:v>3.3252957584712546E-5</c:v>
                </c:pt>
                <c:pt idx="110">
                  <c:v>6.9127552628656057E-5</c:v>
                </c:pt>
                <c:pt idx="111">
                  <c:v>3.120337683686177E-5</c:v>
                </c:pt>
                <c:pt idx="112">
                  <c:v>1.2408214631411425E-4</c:v>
                </c:pt>
                <c:pt idx="113">
                  <c:v>0</c:v>
                </c:pt>
                <c:pt idx="114">
                  <c:v>4.5783513390664221E-5</c:v>
                </c:pt>
                <c:pt idx="115">
                  <c:v>4.796654650941265E-5</c:v>
                </c:pt>
                <c:pt idx="116">
                  <c:v>1.0380285609853512E-7</c:v>
                </c:pt>
                <c:pt idx="117">
                  <c:v>8.5645454659053571E-6</c:v>
                </c:pt>
                <c:pt idx="118">
                  <c:v>4.270185509339975E-5</c:v>
                </c:pt>
                <c:pt idx="119">
                  <c:v>2.0825551820255293E-5</c:v>
                </c:pt>
                <c:pt idx="120">
                  <c:v>5.909377431232794E-6</c:v>
                </c:pt>
                <c:pt idx="121">
                  <c:v>2.9024152725337221E-5</c:v>
                </c:pt>
                <c:pt idx="122">
                  <c:v>5.3403066211870049E-7</c:v>
                </c:pt>
                <c:pt idx="123">
                  <c:v>2.1554818012907974E-5</c:v>
                </c:pt>
                <c:pt idx="124">
                  <c:v>1.0386841489677767E-5</c:v>
                </c:pt>
                <c:pt idx="125">
                  <c:v>1.4988141626568903E-5</c:v>
                </c:pt>
                <c:pt idx="126">
                  <c:v>3.3437131793885286E-5</c:v>
                </c:pt>
                <c:pt idx="127">
                  <c:v>4.3923452999527639E-5</c:v>
                </c:pt>
                <c:pt idx="128">
                  <c:v>2.038485044676662E-7</c:v>
                </c:pt>
                <c:pt idx="129">
                  <c:v>1.6599267818314572E-5</c:v>
                </c:pt>
                <c:pt idx="130">
                  <c:v>3.0098178230261857E-5</c:v>
                </c:pt>
                <c:pt idx="131">
                  <c:v>1.3601547790621454E-4</c:v>
                </c:pt>
                <c:pt idx="132">
                  <c:v>3.3344460541142048E-6</c:v>
                </c:pt>
                <c:pt idx="133">
                  <c:v>4.0960896250089849E-6</c:v>
                </c:pt>
                <c:pt idx="134">
                  <c:v>1.7711352233472306E-5</c:v>
                </c:pt>
                <c:pt idx="135">
                  <c:v>8.9075147211852053E-5</c:v>
                </c:pt>
                <c:pt idx="136">
                  <c:v>8.7374097043282366E-5</c:v>
                </c:pt>
                <c:pt idx="137">
                  <c:v>9.9678860957121785E-6</c:v>
                </c:pt>
                <c:pt idx="138">
                  <c:v>1.7469580932857502E-5</c:v>
                </c:pt>
                <c:pt idx="139">
                  <c:v>6.1170970393481206E-6</c:v>
                </c:pt>
              </c:numCache>
            </c:numRef>
          </c:yVal>
          <c:smooth val="0"/>
          <c:extLst>
            <c:ext xmlns:c16="http://schemas.microsoft.com/office/drawing/2014/chart" uri="{C3380CC4-5D6E-409C-BE32-E72D297353CC}">
              <c16:uniqueId val="{0000000F-BE4D-4ACE-A43A-5EC36E2D06C8}"/>
            </c:ext>
          </c:extLst>
        </c:ser>
        <c:ser>
          <c:idx val="16"/>
          <c:order val="16"/>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Rates'!$AH$167:$AH$306</c:f>
              <c:numCache>
                <c:formatCode>0.00E+00</c:formatCode>
                <c:ptCount val="140"/>
                <c:pt idx="0">
                  <c:v>0</c:v>
                </c:pt>
                <c:pt idx="1">
                  <c:v>0</c:v>
                </c:pt>
                <c:pt idx="2">
                  <c:v>0</c:v>
                </c:pt>
                <c:pt idx="3">
                  <c:v>0</c:v>
                </c:pt>
                <c:pt idx="4">
                  <c:v>0</c:v>
                </c:pt>
                <c:pt idx="5">
                  <c:v>0</c:v>
                </c:pt>
                <c:pt idx="6">
                  <c:v>0</c:v>
                </c:pt>
                <c:pt idx="7">
                  <c:v>1.1534256411858017E-5</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7.770066592127036E-8</c:v>
                </c:pt>
                <c:pt idx="24">
                  <c:v>0</c:v>
                </c:pt>
                <c:pt idx="25">
                  <c:v>0</c:v>
                </c:pt>
                <c:pt idx="26">
                  <c:v>0</c:v>
                </c:pt>
                <c:pt idx="27">
                  <c:v>0</c:v>
                </c:pt>
                <c:pt idx="28">
                  <c:v>0</c:v>
                </c:pt>
                <c:pt idx="29">
                  <c:v>0</c:v>
                </c:pt>
                <c:pt idx="30">
                  <c:v>0</c:v>
                </c:pt>
                <c:pt idx="31">
                  <c:v>0</c:v>
                </c:pt>
                <c:pt idx="32">
                  <c:v>7.6103441667928719E-8</c:v>
                </c:pt>
                <c:pt idx="33">
                  <c:v>0</c:v>
                </c:pt>
                <c:pt idx="34">
                  <c:v>1.8052463681623371E-8</c:v>
                </c:pt>
                <c:pt idx="35">
                  <c:v>0</c:v>
                </c:pt>
                <c:pt idx="36">
                  <c:v>4.7791309258453949E-8</c:v>
                </c:pt>
                <c:pt idx="37">
                  <c:v>0</c:v>
                </c:pt>
                <c:pt idx="38">
                  <c:v>5.8239672157097439E-8</c:v>
                </c:pt>
                <c:pt idx="39">
                  <c:v>7.6721035254054693E-6</c:v>
                </c:pt>
                <c:pt idx="40">
                  <c:v>1.8742038425165061E-7</c:v>
                </c:pt>
                <c:pt idx="41">
                  <c:v>0</c:v>
                </c:pt>
                <c:pt idx="42">
                  <c:v>0</c:v>
                </c:pt>
                <c:pt idx="43">
                  <c:v>2.0606241598173519E-6</c:v>
                </c:pt>
                <c:pt idx="44">
                  <c:v>8.0776301369863026E-8</c:v>
                </c:pt>
                <c:pt idx="45">
                  <c:v>0</c:v>
                </c:pt>
                <c:pt idx="46">
                  <c:v>9.6246950985438719E-8</c:v>
                </c:pt>
                <c:pt idx="47">
                  <c:v>1.2000140077274322E-7</c:v>
                </c:pt>
                <c:pt idx="48">
                  <c:v>0</c:v>
                </c:pt>
                <c:pt idx="49">
                  <c:v>0</c:v>
                </c:pt>
                <c:pt idx="50">
                  <c:v>0</c:v>
                </c:pt>
                <c:pt idx="51">
                  <c:v>0</c:v>
                </c:pt>
                <c:pt idx="52">
                  <c:v>0</c:v>
                </c:pt>
                <c:pt idx="53">
                  <c:v>2.0380482191780822E-6</c:v>
                </c:pt>
                <c:pt idx="54">
                  <c:v>1.5240811579219433E-11</c:v>
                </c:pt>
                <c:pt idx="55">
                  <c:v>4.4371648728866467E-7</c:v>
                </c:pt>
                <c:pt idx="56">
                  <c:v>6.2515740209508466E-7</c:v>
                </c:pt>
                <c:pt idx="57">
                  <c:v>0</c:v>
                </c:pt>
                <c:pt idx="58">
                  <c:v>0</c:v>
                </c:pt>
                <c:pt idx="59">
                  <c:v>1.5637463470319635E-6</c:v>
                </c:pt>
                <c:pt idx="60">
                  <c:v>0</c:v>
                </c:pt>
                <c:pt idx="61">
                  <c:v>0</c:v>
                </c:pt>
                <c:pt idx="62">
                  <c:v>1.0765610336732327E-7</c:v>
                </c:pt>
                <c:pt idx="63">
                  <c:v>4.267829197651664E-10</c:v>
                </c:pt>
                <c:pt idx="64">
                  <c:v>0</c:v>
                </c:pt>
                <c:pt idx="65">
                  <c:v>1.7563209949275341E-6</c:v>
                </c:pt>
                <c:pt idx="66">
                  <c:v>0</c:v>
                </c:pt>
                <c:pt idx="67">
                  <c:v>0</c:v>
                </c:pt>
                <c:pt idx="68">
                  <c:v>0</c:v>
                </c:pt>
                <c:pt idx="69">
                  <c:v>0</c:v>
                </c:pt>
                <c:pt idx="70">
                  <c:v>0</c:v>
                </c:pt>
                <c:pt idx="71">
                  <c:v>0</c:v>
                </c:pt>
                <c:pt idx="72">
                  <c:v>0</c:v>
                </c:pt>
                <c:pt idx="73">
                  <c:v>2.0651329750614681E-6</c:v>
                </c:pt>
                <c:pt idx="74">
                  <c:v>1.3283727629467907E-7</c:v>
                </c:pt>
                <c:pt idx="75">
                  <c:v>0</c:v>
                </c:pt>
                <c:pt idx="76">
                  <c:v>0</c:v>
                </c:pt>
                <c:pt idx="77">
                  <c:v>0</c:v>
                </c:pt>
                <c:pt idx="78">
                  <c:v>1.462742323706271E-7</c:v>
                </c:pt>
                <c:pt idx="79">
                  <c:v>0</c:v>
                </c:pt>
                <c:pt idx="80">
                  <c:v>0</c:v>
                </c:pt>
                <c:pt idx="81">
                  <c:v>3.5993320626116093E-8</c:v>
                </c:pt>
                <c:pt idx="82">
                  <c:v>0</c:v>
                </c:pt>
                <c:pt idx="83">
                  <c:v>3.0578661441098356E-6</c:v>
                </c:pt>
                <c:pt idx="84">
                  <c:v>1.4794598599060796E-7</c:v>
                </c:pt>
                <c:pt idx="85">
                  <c:v>0</c:v>
                </c:pt>
                <c:pt idx="86">
                  <c:v>0</c:v>
                </c:pt>
                <c:pt idx="87">
                  <c:v>7.4522595394592375E-8</c:v>
                </c:pt>
                <c:pt idx="88">
                  <c:v>0</c:v>
                </c:pt>
                <c:pt idx="89">
                  <c:v>0</c:v>
                </c:pt>
                <c:pt idx="90">
                  <c:v>1.1781814723116798E-7</c:v>
                </c:pt>
                <c:pt idx="91">
                  <c:v>0</c:v>
                </c:pt>
                <c:pt idx="92">
                  <c:v>0</c:v>
                </c:pt>
                <c:pt idx="93">
                  <c:v>2.3615381653165951E-7</c:v>
                </c:pt>
                <c:pt idx="94">
                  <c:v>1.9171240711452533E-4</c:v>
                </c:pt>
                <c:pt idx="95">
                  <c:v>0</c:v>
                </c:pt>
                <c:pt idx="96">
                  <c:v>7.7147109816791033E-8</c:v>
                </c:pt>
                <c:pt idx="97">
                  <c:v>1.1797924994895586E-7</c:v>
                </c:pt>
                <c:pt idx="98">
                  <c:v>0</c:v>
                </c:pt>
                <c:pt idx="99">
                  <c:v>1.3780220881827884E-7</c:v>
                </c:pt>
                <c:pt idx="100">
                  <c:v>0</c:v>
                </c:pt>
                <c:pt idx="101">
                  <c:v>0</c:v>
                </c:pt>
                <c:pt idx="102">
                  <c:v>2.5540093054100993E-9</c:v>
                </c:pt>
                <c:pt idx="103">
                  <c:v>1.6725603348144325E-8</c:v>
                </c:pt>
                <c:pt idx="104">
                  <c:v>3.1487568828006095E-6</c:v>
                </c:pt>
                <c:pt idx="105">
                  <c:v>2.3192028571057809E-7</c:v>
                </c:pt>
                <c:pt idx="106">
                  <c:v>7.3638055337267756E-8</c:v>
                </c:pt>
                <c:pt idx="107">
                  <c:v>4.9457544599316758E-8</c:v>
                </c:pt>
                <c:pt idx="108">
                  <c:v>0</c:v>
                </c:pt>
                <c:pt idx="109">
                  <c:v>2.7710943964176571E-5</c:v>
                </c:pt>
                <c:pt idx="110">
                  <c:v>2.2619043724546463E-6</c:v>
                </c:pt>
                <c:pt idx="111">
                  <c:v>1.3782809464508094E-8</c:v>
                </c:pt>
                <c:pt idx="112">
                  <c:v>0</c:v>
                </c:pt>
                <c:pt idx="113">
                  <c:v>0</c:v>
                </c:pt>
                <c:pt idx="114">
                  <c:v>7.5379671573618549E-7</c:v>
                </c:pt>
                <c:pt idx="115">
                  <c:v>1.6739286410830839E-7</c:v>
                </c:pt>
                <c:pt idx="116">
                  <c:v>1.1856188752494409E-7</c:v>
                </c:pt>
                <c:pt idx="117">
                  <c:v>0</c:v>
                </c:pt>
                <c:pt idx="118">
                  <c:v>0</c:v>
                </c:pt>
                <c:pt idx="119">
                  <c:v>4.6449961818976251E-8</c:v>
                </c:pt>
                <c:pt idx="120">
                  <c:v>3.0001978310887101E-6</c:v>
                </c:pt>
                <c:pt idx="121">
                  <c:v>3.0502613923448792E-6</c:v>
                </c:pt>
                <c:pt idx="122">
                  <c:v>1.8561187726553002E-7</c:v>
                </c:pt>
                <c:pt idx="123">
                  <c:v>5.1431840056220259E-6</c:v>
                </c:pt>
                <c:pt idx="124">
                  <c:v>0</c:v>
                </c:pt>
                <c:pt idx="125">
                  <c:v>3.5459350339381024E-7</c:v>
                </c:pt>
                <c:pt idx="126">
                  <c:v>4.3637366125788297E-7</c:v>
                </c:pt>
                <c:pt idx="127">
                  <c:v>0</c:v>
                </c:pt>
                <c:pt idx="128">
                  <c:v>3.1906722438417318E-8</c:v>
                </c:pt>
                <c:pt idx="129">
                  <c:v>4.9582569431999089E-6</c:v>
                </c:pt>
                <c:pt idx="130">
                  <c:v>1.3870880229734647E-7</c:v>
                </c:pt>
                <c:pt idx="131">
                  <c:v>5.0211679838160357E-6</c:v>
                </c:pt>
                <c:pt idx="132">
                  <c:v>9.8409622846459557E-7</c:v>
                </c:pt>
                <c:pt idx="133">
                  <c:v>1.5849990198200948E-7</c:v>
                </c:pt>
                <c:pt idx="134">
                  <c:v>0</c:v>
                </c:pt>
                <c:pt idx="135">
                  <c:v>1.0559831634095407E-5</c:v>
                </c:pt>
                <c:pt idx="136">
                  <c:v>1.0819260903413888E-5</c:v>
                </c:pt>
                <c:pt idx="137">
                  <c:v>6.0169283568706135E-8</c:v>
                </c:pt>
                <c:pt idx="138">
                  <c:v>2.0355234808675638E-9</c:v>
                </c:pt>
                <c:pt idx="139">
                  <c:v>1.4140307534322981E-7</c:v>
                </c:pt>
              </c:numCache>
            </c:numRef>
          </c:yVal>
          <c:smooth val="0"/>
          <c:extLst>
            <c:ext xmlns:c16="http://schemas.microsoft.com/office/drawing/2014/chart" uri="{C3380CC4-5D6E-409C-BE32-E72D297353CC}">
              <c16:uniqueId val="{00000010-BE4D-4ACE-A43A-5EC36E2D06C8}"/>
            </c:ext>
          </c:extLst>
        </c:ser>
        <c:ser>
          <c:idx val="17"/>
          <c:order val="17"/>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Rates'!$AI$167:$AI$306</c:f>
              <c:numCache>
                <c:formatCode>0.00E+00</c:formatCode>
                <c:ptCount val="140"/>
                <c:pt idx="0">
                  <c:v>0</c:v>
                </c:pt>
                <c:pt idx="1">
                  <c:v>0</c:v>
                </c:pt>
                <c:pt idx="2">
                  <c:v>0</c:v>
                </c:pt>
                <c:pt idx="3">
                  <c:v>0</c:v>
                </c:pt>
                <c:pt idx="4">
                  <c:v>0</c:v>
                </c:pt>
                <c:pt idx="5">
                  <c:v>0</c:v>
                </c:pt>
                <c:pt idx="6">
                  <c:v>0</c:v>
                </c:pt>
                <c:pt idx="7">
                  <c:v>1.0766603409994021E-5</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5.8275499440952768E-7</c:v>
                </c:pt>
                <c:pt idx="24">
                  <c:v>0</c:v>
                </c:pt>
                <c:pt idx="25">
                  <c:v>0</c:v>
                </c:pt>
                <c:pt idx="26">
                  <c:v>0</c:v>
                </c:pt>
                <c:pt idx="27">
                  <c:v>0</c:v>
                </c:pt>
                <c:pt idx="28">
                  <c:v>0</c:v>
                </c:pt>
                <c:pt idx="29">
                  <c:v>0</c:v>
                </c:pt>
                <c:pt idx="30">
                  <c:v>0</c:v>
                </c:pt>
                <c:pt idx="31">
                  <c:v>0</c:v>
                </c:pt>
                <c:pt idx="32">
                  <c:v>0</c:v>
                </c:pt>
                <c:pt idx="33">
                  <c:v>0</c:v>
                </c:pt>
                <c:pt idx="34">
                  <c:v>2.2105057569334743E-7</c:v>
                </c:pt>
                <c:pt idx="35">
                  <c:v>0</c:v>
                </c:pt>
                <c:pt idx="36">
                  <c:v>0</c:v>
                </c:pt>
                <c:pt idx="37">
                  <c:v>0</c:v>
                </c:pt>
                <c:pt idx="38">
                  <c:v>6.6212156280690831E-8</c:v>
                </c:pt>
                <c:pt idx="39">
                  <c:v>1.2685382332766656E-6</c:v>
                </c:pt>
                <c:pt idx="40">
                  <c:v>0</c:v>
                </c:pt>
                <c:pt idx="41">
                  <c:v>4.3641134308722266E-7</c:v>
                </c:pt>
                <c:pt idx="42">
                  <c:v>9.4584216133942162E-6</c:v>
                </c:pt>
                <c:pt idx="43">
                  <c:v>8.9061050228310494E-6</c:v>
                </c:pt>
                <c:pt idx="44">
                  <c:v>4.2127947945205482E-9</c:v>
                </c:pt>
                <c:pt idx="45">
                  <c:v>0</c:v>
                </c:pt>
                <c:pt idx="46">
                  <c:v>1.4966842378010885E-6</c:v>
                </c:pt>
                <c:pt idx="47">
                  <c:v>4.6675000491745694E-7</c:v>
                </c:pt>
                <c:pt idx="48">
                  <c:v>0</c:v>
                </c:pt>
                <c:pt idx="49">
                  <c:v>0</c:v>
                </c:pt>
                <c:pt idx="50">
                  <c:v>0</c:v>
                </c:pt>
                <c:pt idx="51">
                  <c:v>0</c:v>
                </c:pt>
                <c:pt idx="52">
                  <c:v>2.7017292584742461E-7</c:v>
                </c:pt>
                <c:pt idx="53">
                  <c:v>2.2368821917808218E-7</c:v>
                </c:pt>
                <c:pt idx="54">
                  <c:v>4.4784538640475576E-5</c:v>
                </c:pt>
                <c:pt idx="55">
                  <c:v>4.901021683002598E-5</c:v>
                </c:pt>
                <c:pt idx="56">
                  <c:v>5.848058017727639E-7</c:v>
                </c:pt>
                <c:pt idx="57">
                  <c:v>3.8020279896334684E-7</c:v>
                </c:pt>
                <c:pt idx="58">
                  <c:v>1.1802001328352014E-6</c:v>
                </c:pt>
                <c:pt idx="59">
                  <c:v>5.2815273972602747E-7</c:v>
                </c:pt>
                <c:pt idx="60">
                  <c:v>2.2068856872933396E-6</c:v>
                </c:pt>
                <c:pt idx="61">
                  <c:v>0</c:v>
                </c:pt>
                <c:pt idx="62">
                  <c:v>1.6744446765644297E-5</c:v>
                </c:pt>
                <c:pt idx="63">
                  <c:v>9.9416986301369861E-8</c:v>
                </c:pt>
                <c:pt idx="64">
                  <c:v>6.5240733237403875E-7</c:v>
                </c:pt>
                <c:pt idx="65">
                  <c:v>3.2394365017552299E-7</c:v>
                </c:pt>
                <c:pt idx="66">
                  <c:v>4.2087860707354778E-6</c:v>
                </c:pt>
                <c:pt idx="67">
                  <c:v>0</c:v>
                </c:pt>
                <c:pt idx="68">
                  <c:v>7.5557430569368333E-7</c:v>
                </c:pt>
                <c:pt idx="69">
                  <c:v>0</c:v>
                </c:pt>
                <c:pt idx="70">
                  <c:v>1.8704279481744784E-7</c:v>
                </c:pt>
                <c:pt idx="71">
                  <c:v>1.9670360861056751E-5</c:v>
                </c:pt>
                <c:pt idx="72">
                  <c:v>0</c:v>
                </c:pt>
                <c:pt idx="73">
                  <c:v>2.4376280295047415E-10</c:v>
                </c:pt>
                <c:pt idx="74">
                  <c:v>8.2305687615495568E-5</c:v>
                </c:pt>
                <c:pt idx="75">
                  <c:v>4.2205324373223061E-7</c:v>
                </c:pt>
                <c:pt idx="76">
                  <c:v>1.0914389514628784E-5</c:v>
                </c:pt>
                <c:pt idx="77">
                  <c:v>0</c:v>
                </c:pt>
                <c:pt idx="78">
                  <c:v>4.8190346417994269E-6</c:v>
                </c:pt>
                <c:pt idx="79">
                  <c:v>0</c:v>
                </c:pt>
                <c:pt idx="80">
                  <c:v>0</c:v>
                </c:pt>
                <c:pt idx="81">
                  <c:v>2.2813084556340871E-4</c:v>
                </c:pt>
                <c:pt idx="82">
                  <c:v>0</c:v>
                </c:pt>
                <c:pt idx="83">
                  <c:v>1.5820404365321451E-6</c:v>
                </c:pt>
                <c:pt idx="84">
                  <c:v>1.792745745695967E-6</c:v>
                </c:pt>
                <c:pt idx="85">
                  <c:v>0</c:v>
                </c:pt>
                <c:pt idx="86">
                  <c:v>0</c:v>
                </c:pt>
                <c:pt idx="87">
                  <c:v>0</c:v>
                </c:pt>
                <c:pt idx="88">
                  <c:v>0</c:v>
                </c:pt>
                <c:pt idx="89">
                  <c:v>0</c:v>
                </c:pt>
                <c:pt idx="90">
                  <c:v>1.0451109483681939E-6</c:v>
                </c:pt>
                <c:pt idx="91">
                  <c:v>3.5542080414543921E-6</c:v>
                </c:pt>
                <c:pt idx="92">
                  <c:v>1.1598648401826485E-5</c:v>
                </c:pt>
                <c:pt idx="93">
                  <c:v>8.8490351584036631E-12</c:v>
                </c:pt>
                <c:pt idx="94">
                  <c:v>5.4022582216238865E-9</c:v>
                </c:pt>
                <c:pt idx="95">
                  <c:v>3.4130187401427918E-8</c:v>
                </c:pt>
                <c:pt idx="96">
                  <c:v>2.0670995931771764E-9</c:v>
                </c:pt>
                <c:pt idx="97">
                  <c:v>3.3730980186748452E-7</c:v>
                </c:pt>
                <c:pt idx="98">
                  <c:v>1.5922267606817695E-7</c:v>
                </c:pt>
                <c:pt idx="99">
                  <c:v>1.8947803712513341E-8</c:v>
                </c:pt>
                <c:pt idx="100">
                  <c:v>2.241043574531958E-7</c:v>
                </c:pt>
                <c:pt idx="101">
                  <c:v>0</c:v>
                </c:pt>
                <c:pt idx="102">
                  <c:v>3.3110731854750745E-5</c:v>
                </c:pt>
                <c:pt idx="103">
                  <c:v>1.8398163682958758E-7</c:v>
                </c:pt>
                <c:pt idx="104">
                  <c:v>9.961950238457636E-7</c:v>
                </c:pt>
                <c:pt idx="105">
                  <c:v>1.4878412760783024E-7</c:v>
                </c:pt>
                <c:pt idx="106">
                  <c:v>3.3628045270685602E-7</c:v>
                </c:pt>
                <c:pt idx="107">
                  <c:v>4.9546125276211049E-7</c:v>
                </c:pt>
                <c:pt idx="108">
                  <c:v>3.7875555459733049E-12</c:v>
                </c:pt>
                <c:pt idx="109">
                  <c:v>1.4115821811990195E-5</c:v>
                </c:pt>
                <c:pt idx="110">
                  <c:v>3.8047149352091814E-6</c:v>
                </c:pt>
                <c:pt idx="111">
                  <c:v>6.0757335491905349E-5</c:v>
                </c:pt>
                <c:pt idx="112">
                  <c:v>2.7787337077459656E-6</c:v>
                </c:pt>
                <c:pt idx="113">
                  <c:v>0</c:v>
                </c:pt>
                <c:pt idx="114">
                  <c:v>5.9698789525041091E-9</c:v>
                </c:pt>
                <c:pt idx="115">
                  <c:v>8.7092809007076382E-7</c:v>
                </c:pt>
                <c:pt idx="116">
                  <c:v>9.4429821922521844E-7</c:v>
                </c:pt>
                <c:pt idx="117">
                  <c:v>1.185444465460518E-5</c:v>
                </c:pt>
                <c:pt idx="118">
                  <c:v>3.4336518223329184E-6</c:v>
                </c:pt>
                <c:pt idx="119">
                  <c:v>4.3802482089245701E-7</c:v>
                </c:pt>
                <c:pt idx="120">
                  <c:v>7.9348093514133405E-8</c:v>
                </c:pt>
                <c:pt idx="121">
                  <c:v>3.220551621910501E-6</c:v>
                </c:pt>
                <c:pt idx="122">
                  <c:v>2.5034026864450236E-7</c:v>
                </c:pt>
                <c:pt idx="123">
                  <c:v>2.118159817395844E-6</c:v>
                </c:pt>
                <c:pt idx="124">
                  <c:v>1.9574207503079121E-5</c:v>
                </c:pt>
                <c:pt idx="125">
                  <c:v>1.4674956012601169E-7</c:v>
                </c:pt>
                <c:pt idx="126">
                  <c:v>1.6064005405055815E-5</c:v>
                </c:pt>
                <c:pt idx="127">
                  <c:v>1.1570080302314596E-6</c:v>
                </c:pt>
                <c:pt idx="128">
                  <c:v>5.4655033806548183E-7</c:v>
                </c:pt>
                <c:pt idx="129">
                  <c:v>1.0771245893259726E-6</c:v>
                </c:pt>
                <c:pt idx="130">
                  <c:v>1.1137500890345758E-5</c:v>
                </c:pt>
                <c:pt idx="131">
                  <c:v>3.2336541046562024E-6</c:v>
                </c:pt>
                <c:pt idx="132">
                  <c:v>8.9798780847394344E-8</c:v>
                </c:pt>
                <c:pt idx="133">
                  <c:v>2.1188779733933345E-7</c:v>
                </c:pt>
                <c:pt idx="134">
                  <c:v>0</c:v>
                </c:pt>
                <c:pt idx="135">
                  <c:v>3.3490184071195748E-6</c:v>
                </c:pt>
                <c:pt idx="136">
                  <c:v>7.0625730897285128E-7</c:v>
                </c:pt>
                <c:pt idx="137">
                  <c:v>3.6565325488887624E-6</c:v>
                </c:pt>
                <c:pt idx="138">
                  <c:v>2.3947335069030165E-9</c:v>
                </c:pt>
                <c:pt idx="139">
                  <c:v>2.9836048897421489E-7</c:v>
                </c:pt>
              </c:numCache>
            </c:numRef>
          </c:yVal>
          <c:smooth val="0"/>
          <c:extLst>
            <c:ext xmlns:c16="http://schemas.microsoft.com/office/drawing/2014/chart" uri="{C3380CC4-5D6E-409C-BE32-E72D297353CC}">
              <c16:uniqueId val="{00000011-BE4D-4ACE-A43A-5EC36E2D06C8}"/>
            </c:ext>
          </c:extLst>
        </c:ser>
        <c:ser>
          <c:idx val="18"/>
          <c:order val="18"/>
          <c:spPr>
            <a:ln w="28575">
              <a:noFill/>
            </a:ln>
          </c:spPr>
          <c:xVal>
            <c:numRef>
              <c:f>'Emission Rates'!$M$167:$M$306</c:f>
              <c:numCache>
                <c:formatCode>General</c:formatCode>
                <c:ptCount val="140"/>
                <c:pt idx="0">
                  <c:v>2</c:v>
                </c:pt>
                <c:pt idx="1">
                  <c:v>5</c:v>
                </c:pt>
                <c:pt idx="2">
                  <c:v>3</c:v>
                </c:pt>
                <c:pt idx="3">
                  <c:v>0</c:v>
                </c:pt>
                <c:pt idx="4">
                  <c:v>1</c:v>
                </c:pt>
                <c:pt idx="5">
                  <c:v>0</c:v>
                </c:pt>
                <c:pt idx="6">
                  <c:v>0</c:v>
                </c:pt>
                <c:pt idx="7">
                  <c:v>5</c:v>
                </c:pt>
                <c:pt idx="8">
                  <c:v>0</c:v>
                </c:pt>
                <c:pt idx="9">
                  <c:v>0</c:v>
                </c:pt>
                <c:pt idx="10">
                  <c:v>0</c:v>
                </c:pt>
                <c:pt idx="11">
                  <c:v>0</c:v>
                </c:pt>
                <c:pt idx="12">
                  <c:v>0</c:v>
                </c:pt>
                <c:pt idx="13">
                  <c:v>0</c:v>
                </c:pt>
                <c:pt idx="14">
                  <c:v>0</c:v>
                </c:pt>
                <c:pt idx="15">
                  <c:v>0</c:v>
                </c:pt>
                <c:pt idx="16">
                  <c:v>0</c:v>
                </c:pt>
                <c:pt idx="17">
                  <c:v>0</c:v>
                </c:pt>
                <c:pt idx="18">
                  <c:v>0</c:v>
                </c:pt>
                <c:pt idx="19">
                  <c:v>0</c:v>
                </c:pt>
                <c:pt idx="20">
                  <c:v>0</c:v>
                </c:pt>
                <c:pt idx="21">
                  <c:v>5</c:v>
                </c:pt>
                <c:pt idx="22">
                  <c:v>0</c:v>
                </c:pt>
                <c:pt idx="23">
                  <c:v>1</c:v>
                </c:pt>
                <c:pt idx="24">
                  <c:v>0</c:v>
                </c:pt>
                <c:pt idx="25">
                  <c:v>0</c:v>
                </c:pt>
                <c:pt idx="26">
                  <c:v>0</c:v>
                </c:pt>
                <c:pt idx="27">
                  <c:v>0</c:v>
                </c:pt>
                <c:pt idx="28">
                  <c:v>3</c:v>
                </c:pt>
                <c:pt idx="29">
                  <c:v>2</c:v>
                </c:pt>
                <c:pt idx="30">
                  <c:v>1</c:v>
                </c:pt>
                <c:pt idx="31">
                  <c:v>1</c:v>
                </c:pt>
                <c:pt idx="32">
                  <c:v>1</c:v>
                </c:pt>
                <c:pt idx="33">
                  <c:v>1</c:v>
                </c:pt>
                <c:pt idx="34">
                  <c:v>2</c:v>
                </c:pt>
                <c:pt idx="35">
                  <c:v>3</c:v>
                </c:pt>
                <c:pt idx="36">
                  <c:v>3</c:v>
                </c:pt>
                <c:pt idx="37">
                  <c:v>2</c:v>
                </c:pt>
                <c:pt idx="38">
                  <c:v>0</c:v>
                </c:pt>
                <c:pt idx="39">
                  <c:v>2</c:v>
                </c:pt>
                <c:pt idx="40">
                  <c:v>2</c:v>
                </c:pt>
                <c:pt idx="41">
                  <c:v>2</c:v>
                </c:pt>
                <c:pt idx="42">
                  <c:v>2</c:v>
                </c:pt>
                <c:pt idx="43">
                  <c:v>1</c:v>
                </c:pt>
                <c:pt idx="44">
                  <c:v>1</c:v>
                </c:pt>
                <c:pt idx="45">
                  <c:v>1</c:v>
                </c:pt>
                <c:pt idx="46">
                  <c:v>2</c:v>
                </c:pt>
                <c:pt idx="47">
                  <c:v>1</c:v>
                </c:pt>
                <c:pt idx="48">
                  <c:v>2</c:v>
                </c:pt>
                <c:pt idx="49">
                  <c:v>2</c:v>
                </c:pt>
                <c:pt idx="50">
                  <c:v>2</c:v>
                </c:pt>
                <c:pt idx="51">
                  <c:v>2</c:v>
                </c:pt>
                <c:pt idx="52">
                  <c:v>2</c:v>
                </c:pt>
                <c:pt idx="53">
                  <c:v>2</c:v>
                </c:pt>
                <c:pt idx="54">
                  <c:v>2</c:v>
                </c:pt>
                <c:pt idx="55">
                  <c:v>4</c:v>
                </c:pt>
                <c:pt idx="56">
                  <c:v>3</c:v>
                </c:pt>
                <c:pt idx="57">
                  <c:v>3</c:v>
                </c:pt>
                <c:pt idx="58">
                  <c:v>2</c:v>
                </c:pt>
                <c:pt idx="59">
                  <c:v>2</c:v>
                </c:pt>
                <c:pt idx="60">
                  <c:v>1</c:v>
                </c:pt>
                <c:pt idx="61">
                  <c:v>2</c:v>
                </c:pt>
                <c:pt idx="62">
                  <c:v>2</c:v>
                </c:pt>
                <c:pt idx="63">
                  <c:v>2</c:v>
                </c:pt>
                <c:pt idx="64">
                  <c:v>1</c:v>
                </c:pt>
                <c:pt idx="65">
                  <c:v>4</c:v>
                </c:pt>
                <c:pt idx="66">
                  <c:v>3</c:v>
                </c:pt>
                <c:pt idx="67">
                  <c:v>1</c:v>
                </c:pt>
                <c:pt idx="68">
                  <c:v>3</c:v>
                </c:pt>
                <c:pt idx="69">
                  <c:v>5</c:v>
                </c:pt>
                <c:pt idx="70">
                  <c:v>4</c:v>
                </c:pt>
                <c:pt idx="71">
                  <c:v>2</c:v>
                </c:pt>
                <c:pt idx="72">
                  <c:v>2</c:v>
                </c:pt>
                <c:pt idx="73">
                  <c:v>2</c:v>
                </c:pt>
                <c:pt idx="74">
                  <c:v>3</c:v>
                </c:pt>
                <c:pt idx="75">
                  <c:v>2</c:v>
                </c:pt>
                <c:pt idx="76">
                  <c:v>4</c:v>
                </c:pt>
                <c:pt idx="77">
                  <c:v>4</c:v>
                </c:pt>
                <c:pt idx="78">
                  <c:v>4</c:v>
                </c:pt>
                <c:pt idx="79">
                  <c:v>4</c:v>
                </c:pt>
                <c:pt idx="80">
                  <c:v>2</c:v>
                </c:pt>
                <c:pt idx="81">
                  <c:v>5</c:v>
                </c:pt>
                <c:pt idx="82">
                  <c:v>2</c:v>
                </c:pt>
                <c:pt idx="83">
                  <c:v>5</c:v>
                </c:pt>
                <c:pt idx="84">
                  <c:v>4</c:v>
                </c:pt>
                <c:pt idx="85">
                  <c:v>2</c:v>
                </c:pt>
                <c:pt idx="86">
                  <c:v>2</c:v>
                </c:pt>
                <c:pt idx="87">
                  <c:v>5</c:v>
                </c:pt>
                <c:pt idx="88">
                  <c:v>1</c:v>
                </c:pt>
                <c:pt idx="89">
                  <c:v>3</c:v>
                </c:pt>
                <c:pt idx="90">
                  <c:v>4</c:v>
                </c:pt>
                <c:pt idx="91">
                  <c:v>5</c:v>
                </c:pt>
                <c:pt idx="92">
                  <c:v>5</c:v>
                </c:pt>
                <c:pt idx="93">
                  <c:v>5</c:v>
                </c:pt>
                <c:pt idx="94">
                  <c:v>5</c:v>
                </c:pt>
                <c:pt idx="95">
                  <c:v>2</c:v>
                </c:pt>
                <c:pt idx="96">
                  <c:v>4</c:v>
                </c:pt>
                <c:pt idx="97">
                  <c:v>5</c:v>
                </c:pt>
                <c:pt idx="98">
                  <c:v>3</c:v>
                </c:pt>
                <c:pt idx="99">
                  <c:v>5</c:v>
                </c:pt>
                <c:pt idx="100">
                  <c:v>5</c:v>
                </c:pt>
                <c:pt idx="101">
                  <c:v>4</c:v>
                </c:pt>
                <c:pt idx="102">
                  <c:v>5</c:v>
                </c:pt>
                <c:pt idx="103">
                  <c:v>4</c:v>
                </c:pt>
                <c:pt idx="104">
                  <c:v>4</c:v>
                </c:pt>
                <c:pt idx="105">
                  <c:v>3</c:v>
                </c:pt>
                <c:pt idx="106">
                  <c:v>2</c:v>
                </c:pt>
                <c:pt idx="107">
                  <c:v>4</c:v>
                </c:pt>
                <c:pt idx="108">
                  <c:v>4</c:v>
                </c:pt>
                <c:pt idx="109">
                  <c:v>5</c:v>
                </c:pt>
                <c:pt idx="110">
                  <c:v>2</c:v>
                </c:pt>
                <c:pt idx="111">
                  <c:v>4</c:v>
                </c:pt>
                <c:pt idx="112">
                  <c:v>4</c:v>
                </c:pt>
                <c:pt idx="113">
                  <c:v>2</c:v>
                </c:pt>
                <c:pt idx="114">
                  <c:v>5</c:v>
                </c:pt>
                <c:pt idx="115">
                  <c:v>5</c:v>
                </c:pt>
                <c:pt idx="116">
                  <c:v>5</c:v>
                </c:pt>
                <c:pt idx="117">
                  <c:v>4</c:v>
                </c:pt>
                <c:pt idx="118">
                  <c:v>5</c:v>
                </c:pt>
                <c:pt idx="119">
                  <c:v>5</c:v>
                </c:pt>
                <c:pt idx="120">
                  <c:v>5</c:v>
                </c:pt>
                <c:pt idx="121">
                  <c:v>5</c:v>
                </c:pt>
                <c:pt idx="122">
                  <c:v>5</c:v>
                </c:pt>
                <c:pt idx="123">
                  <c:v>4</c:v>
                </c:pt>
                <c:pt idx="124">
                  <c:v>4</c:v>
                </c:pt>
                <c:pt idx="125">
                  <c:v>5</c:v>
                </c:pt>
                <c:pt idx="126">
                  <c:v>3</c:v>
                </c:pt>
                <c:pt idx="127">
                  <c:v>4</c:v>
                </c:pt>
                <c:pt idx="128">
                  <c:v>5</c:v>
                </c:pt>
                <c:pt idx="129">
                  <c:v>5</c:v>
                </c:pt>
                <c:pt idx="130">
                  <c:v>5</c:v>
                </c:pt>
                <c:pt idx="131">
                  <c:v>4</c:v>
                </c:pt>
                <c:pt idx="132">
                  <c:v>5</c:v>
                </c:pt>
                <c:pt idx="133">
                  <c:v>3</c:v>
                </c:pt>
                <c:pt idx="134">
                  <c:v>0</c:v>
                </c:pt>
                <c:pt idx="135">
                  <c:v>4</c:v>
                </c:pt>
                <c:pt idx="136">
                  <c:v>5</c:v>
                </c:pt>
                <c:pt idx="137">
                  <c:v>5</c:v>
                </c:pt>
                <c:pt idx="138">
                  <c:v>5</c:v>
                </c:pt>
                <c:pt idx="139">
                  <c:v>4</c:v>
                </c:pt>
              </c:numCache>
            </c:numRef>
          </c:xVal>
          <c:yVal>
            <c:numRef>
              <c:f>'Emission Rates'!$AJ$167:$AJ$306</c:f>
              <c:numCache>
                <c:formatCode>0.00E+00</c:formatCode>
                <c:ptCount val="140"/>
                <c:pt idx="0">
                  <c:v>0</c:v>
                </c:pt>
                <c:pt idx="1">
                  <c:v>0</c:v>
                </c:pt>
                <c:pt idx="2">
                  <c:v>0</c:v>
                </c:pt>
                <c:pt idx="3">
                  <c:v>0</c:v>
                </c:pt>
                <c:pt idx="4">
                  <c:v>0</c:v>
                </c:pt>
                <c:pt idx="5">
                  <c:v>0</c:v>
                </c:pt>
                <c:pt idx="6">
                  <c:v>0</c:v>
                </c:pt>
                <c:pt idx="7">
                  <c:v>1.7337778263006065E-6</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2.3892954770790635E-6</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5.6481360569730127E-6</c:v>
                </c:pt>
                <c:pt idx="42">
                  <c:v>0</c:v>
                </c:pt>
                <c:pt idx="43">
                  <c:v>0</c:v>
                </c:pt>
                <c:pt idx="44">
                  <c:v>3.9145438356164383E-11</c:v>
                </c:pt>
                <c:pt idx="45">
                  <c:v>0</c:v>
                </c:pt>
                <c:pt idx="46">
                  <c:v>5.4201455730790646E-7</c:v>
                </c:pt>
                <c:pt idx="47">
                  <c:v>4.0149167544783978E-9</c:v>
                </c:pt>
                <c:pt idx="48">
                  <c:v>0</c:v>
                </c:pt>
                <c:pt idx="49">
                  <c:v>0</c:v>
                </c:pt>
                <c:pt idx="50">
                  <c:v>0</c:v>
                </c:pt>
                <c:pt idx="51">
                  <c:v>0</c:v>
                </c:pt>
                <c:pt idx="52">
                  <c:v>0</c:v>
                </c:pt>
                <c:pt idx="53">
                  <c:v>1.4912547945205481E-7</c:v>
                </c:pt>
                <c:pt idx="54">
                  <c:v>0</c:v>
                </c:pt>
                <c:pt idx="55">
                  <c:v>0</c:v>
                </c:pt>
                <c:pt idx="56">
                  <c:v>0</c:v>
                </c:pt>
                <c:pt idx="57">
                  <c:v>0</c:v>
                </c:pt>
                <c:pt idx="58">
                  <c:v>0</c:v>
                </c:pt>
                <c:pt idx="59">
                  <c:v>0</c:v>
                </c:pt>
                <c:pt idx="60">
                  <c:v>8.5704298535663676E-6</c:v>
                </c:pt>
                <c:pt idx="61">
                  <c:v>0</c:v>
                </c:pt>
                <c:pt idx="62">
                  <c:v>7.4287069870148084E-6</c:v>
                </c:pt>
                <c:pt idx="63">
                  <c:v>0</c:v>
                </c:pt>
                <c:pt idx="64">
                  <c:v>0</c:v>
                </c:pt>
                <c:pt idx="65">
                  <c:v>0</c:v>
                </c:pt>
                <c:pt idx="66">
                  <c:v>9.3888304654868352E-6</c:v>
                </c:pt>
                <c:pt idx="67">
                  <c:v>0</c:v>
                </c:pt>
                <c:pt idx="68">
                  <c:v>0</c:v>
                </c:pt>
                <c:pt idx="69">
                  <c:v>2.1303639921722114E-5</c:v>
                </c:pt>
                <c:pt idx="70">
                  <c:v>1.1690174676090488E-7</c:v>
                </c:pt>
                <c:pt idx="71">
                  <c:v>8.4859499021526407E-6</c:v>
                </c:pt>
                <c:pt idx="72">
                  <c:v>0</c:v>
                </c:pt>
                <c:pt idx="73">
                  <c:v>0</c:v>
                </c:pt>
                <c:pt idx="74">
                  <c:v>0</c:v>
                </c:pt>
                <c:pt idx="75">
                  <c:v>1.0316857069010083E-6</c:v>
                </c:pt>
                <c:pt idx="76">
                  <c:v>1.1304725537842576E-7</c:v>
                </c:pt>
                <c:pt idx="77">
                  <c:v>2.7615829528158294E-7</c:v>
                </c:pt>
                <c:pt idx="78">
                  <c:v>3.1058227421160553E-8</c:v>
                </c:pt>
                <c:pt idx="79">
                  <c:v>0</c:v>
                </c:pt>
                <c:pt idx="80">
                  <c:v>0</c:v>
                </c:pt>
                <c:pt idx="81">
                  <c:v>2.5521854041458751E-7</c:v>
                </c:pt>
                <c:pt idx="82">
                  <c:v>1.9739037395630626E-7</c:v>
                </c:pt>
                <c:pt idx="83">
                  <c:v>3.3541493354038416E-7</c:v>
                </c:pt>
                <c:pt idx="84">
                  <c:v>1.3680606366370615E-6</c:v>
                </c:pt>
                <c:pt idx="85">
                  <c:v>7.78766392694064E-6</c:v>
                </c:pt>
                <c:pt idx="86">
                  <c:v>0</c:v>
                </c:pt>
                <c:pt idx="87">
                  <c:v>5.9327181747107424E-7</c:v>
                </c:pt>
                <c:pt idx="88">
                  <c:v>0</c:v>
                </c:pt>
                <c:pt idx="89">
                  <c:v>0</c:v>
                </c:pt>
                <c:pt idx="90">
                  <c:v>1.2657533809777427E-6</c:v>
                </c:pt>
                <c:pt idx="91">
                  <c:v>4.3566046342219468E-6</c:v>
                </c:pt>
                <c:pt idx="92">
                  <c:v>0</c:v>
                </c:pt>
                <c:pt idx="93">
                  <c:v>3.9356660977988882E-5</c:v>
                </c:pt>
                <c:pt idx="94">
                  <c:v>4.3546060022161113E-6</c:v>
                </c:pt>
                <c:pt idx="95">
                  <c:v>4.780501582026671E-7</c:v>
                </c:pt>
                <c:pt idx="96">
                  <c:v>0</c:v>
                </c:pt>
                <c:pt idx="97">
                  <c:v>1.9795176165932189E-8</c:v>
                </c:pt>
                <c:pt idx="98">
                  <c:v>6.1698786976418571E-6</c:v>
                </c:pt>
                <c:pt idx="99">
                  <c:v>0</c:v>
                </c:pt>
                <c:pt idx="100">
                  <c:v>0</c:v>
                </c:pt>
                <c:pt idx="101">
                  <c:v>0</c:v>
                </c:pt>
                <c:pt idx="102">
                  <c:v>1.5124176843341541E-7</c:v>
                </c:pt>
                <c:pt idx="103">
                  <c:v>2.1743284352587622E-6</c:v>
                </c:pt>
                <c:pt idx="104">
                  <c:v>0</c:v>
                </c:pt>
                <c:pt idx="105">
                  <c:v>0</c:v>
                </c:pt>
                <c:pt idx="106">
                  <c:v>3.1909823979482691E-6</c:v>
                </c:pt>
                <c:pt idx="107">
                  <c:v>3.0019007169734548E-7</c:v>
                </c:pt>
                <c:pt idx="108">
                  <c:v>0</c:v>
                </c:pt>
                <c:pt idx="109">
                  <c:v>0</c:v>
                </c:pt>
                <c:pt idx="110">
                  <c:v>9.935988870788596E-6</c:v>
                </c:pt>
                <c:pt idx="111">
                  <c:v>3.5021892901618931E-5</c:v>
                </c:pt>
                <c:pt idx="112">
                  <c:v>0</c:v>
                </c:pt>
                <c:pt idx="113">
                  <c:v>0</c:v>
                </c:pt>
                <c:pt idx="114">
                  <c:v>1.8193916807631568E-7</c:v>
                </c:pt>
                <c:pt idx="115">
                  <c:v>3.5661958005683087E-7</c:v>
                </c:pt>
                <c:pt idx="116">
                  <c:v>2.6552266964288361E-7</c:v>
                </c:pt>
                <c:pt idx="117">
                  <c:v>0</c:v>
                </c:pt>
                <c:pt idx="118">
                  <c:v>5.3474288086342885E-8</c:v>
                </c:pt>
                <c:pt idx="119">
                  <c:v>1.4066662140716514E-5</c:v>
                </c:pt>
                <c:pt idx="120">
                  <c:v>3.0125752495755942E-7</c:v>
                </c:pt>
                <c:pt idx="121">
                  <c:v>1.7399528895366023E-6</c:v>
                </c:pt>
                <c:pt idx="122">
                  <c:v>0</c:v>
                </c:pt>
                <c:pt idx="123">
                  <c:v>0</c:v>
                </c:pt>
                <c:pt idx="124">
                  <c:v>4.968829644889862E-8</c:v>
                </c:pt>
                <c:pt idx="125">
                  <c:v>8.1777032368834087E-6</c:v>
                </c:pt>
                <c:pt idx="126">
                  <c:v>0</c:v>
                </c:pt>
                <c:pt idx="127">
                  <c:v>7.7133868682097307E-8</c:v>
                </c:pt>
                <c:pt idx="128">
                  <c:v>5.7609359958253499E-9</c:v>
                </c:pt>
                <c:pt idx="129">
                  <c:v>1.7339621951931918E-7</c:v>
                </c:pt>
                <c:pt idx="130">
                  <c:v>0</c:v>
                </c:pt>
                <c:pt idx="131">
                  <c:v>8.0254127294736242E-5</c:v>
                </c:pt>
                <c:pt idx="132">
                  <c:v>4.4899390423697173E-7</c:v>
                </c:pt>
                <c:pt idx="133">
                  <c:v>1.1220755642011352E-7</c:v>
                </c:pt>
                <c:pt idx="134">
                  <c:v>0</c:v>
                </c:pt>
                <c:pt idx="135">
                  <c:v>2.1015426751503352E-7</c:v>
                </c:pt>
                <c:pt idx="136">
                  <c:v>7.979204916267744E-6</c:v>
                </c:pt>
                <c:pt idx="137">
                  <c:v>4.993099243181761E-7</c:v>
                </c:pt>
                <c:pt idx="138">
                  <c:v>0</c:v>
                </c:pt>
                <c:pt idx="139">
                  <c:v>0</c:v>
                </c:pt>
              </c:numCache>
            </c:numRef>
          </c:yVal>
          <c:smooth val="0"/>
          <c:extLst>
            <c:ext xmlns:c16="http://schemas.microsoft.com/office/drawing/2014/chart" uri="{C3380CC4-5D6E-409C-BE32-E72D297353CC}">
              <c16:uniqueId val="{00000012-BE4D-4ACE-A43A-5EC36E2D06C8}"/>
            </c:ext>
          </c:extLst>
        </c:ser>
        <c:dLbls>
          <c:showLegendKey val="0"/>
          <c:showVal val="0"/>
          <c:showCatName val="0"/>
          <c:showSerName val="0"/>
          <c:showPercent val="0"/>
          <c:showBubbleSize val="0"/>
        </c:dLbls>
        <c:axId val="589800728"/>
        <c:axId val="475979752"/>
      </c:scatterChart>
      <c:valAx>
        <c:axId val="589800728"/>
        <c:scaling>
          <c:orientation val="minMax"/>
        </c:scaling>
        <c:delete val="0"/>
        <c:axPos val="b"/>
        <c:title>
          <c:tx>
            <c:rich>
              <a:bodyPr/>
              <a:lstStyle/>
              <a:p>
                <a:pPr>
                  <a:defRPr/>
                </a:pPr>
                <a:r>
                  <a:rPr lang="en-US"/>
                  <a:t>Unit Index</a:t>
                </a:r>
              </a:p>
            </c:rich>
          </c:tx>
          <c:overlay val="0"/>
        </c:title>
        <c:numFmt formatCode="General" sourceLinked="1"/>
        <c:majorTickMark val="out"/>
        <c:minorTickMark val="none"/>
        <c:tickLblPos val="nextTo"/>
        <c:crossAx val="475979752"/>
        <c:crosses val="autoZero"/>
        <c:crossBetween val="midCat"/>
      </c:valAx>
      <c:valAx>
        <c:axId val="475979752"/>
        <c:scaling>
          <c:orientation val="minMax"/>
          <c:max val="0.1"/>
        </c:scaling>
        <c:delete val="0"/>
        <c:axPos val="l"/>
        <c:majorGridlines/>
        <c:title>
          <c:tx>
            <c:rich>
              <a:bodyPr rot="-5400000" vert="horz"/>
              <a:lstStyle/>
              <a:p>
                <a:pPr>
                  <a:defRPr/>
                </a:pPr>
                <a:r>
                  <a:rPr lang="en-US"/>
                  <a:t>Emission rate  (kg/bbl)</a:t>
                </a:r>
              </a:p>
            </c:rich>
          </c:tx>
          <c:overlay val="0"/>
        </c:title>
        <c:numFmt formatCode="0.00E+00" sourceLinked="1"/>
        <c:majorTickMark val="out"/>
        <c:minorTickMark val="none"/>
        <c:tickLblPos val="nextTo"/>
        <c:crossAx val="589800728"/>
        <c:crosses val="autoZero"/>
        <c:crossBetween val="midCat"/>
      </c:valAx>
    </c:plotArea>
    <c:legend>
      <c:legendPos val="r"/>
      <c:overlay val="0"/>
    </c:legend>
    <c:plotVisOnly val="1"/>
    <c:dispBlanksAs val="gap"/>
    <c:showDLblsOverMax val="0"/>
  </c:chart>
  <c:printSettings>
    <c:headerFooter/>
    <c:pageMargins b="0.75" l="0.7" r="0.7" t="0.75" header="0.3" footer="0.3"/>
    <c:pageSetup/>
  </c:printSettings>
</c:chartSpace>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2</xdr:col>
      <xdr:colOff>9525</xdr:colOff>
      <xdr:row>37</xdr:row>
      <xdr:rowOff>38100</xdr:rowOff>
    </xdr:from>
    <xdr:to>
      <xdr:col>13</xdr:col>
      <xdr:colOff>0</xdr:colOff>
      <xdr:row>51</xdr:row>
      <xdr:rowOff>28575</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52475" y="7829550"/>
          <a:ext cx="7648575" cy="2257425"/>
        </a:xfrm>
        <a:prstGeom prst="rect">
          <a:avLst/>
        </a:prstGeom>
        <a:solidFill>
          <a:schemeClr val="bg1">
            <a:lumMod val="65000"/>
          </a:schemeClr>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solidFill>
                <a:schemeClr val="dk1"/>
              </a:solidFill>
              <a:latin typeface="+mn-lt"/>
              <a:ea typeface="+mn-ea"/>
              <a:cs typeface="+mn-cs"/>
            </a:rPr>
            <a:t>Neither the U.S. Department of Energy (DOE) National Energy Technology Laboratory (NETL) nor any person acting on behalf of these organizations:</a:t>
          </a:r>
        </a:p>
        <a:p>
          <a:endParaRPr lang="en-US" sz="1100">
            <a:solidFill>
              <a:schemeClr val="dk1"/>
            </a:solidFill>
            <a:latin typeface="+mn-lt"/>
            <a:ea typeface="+mn-ea"/>
            <a:cs typeface="+mn-cs"/>
          </a:endParaRPr>
        </a:p>
        <a:p>
          <a:pPr lvl="0"/>
          <a:r>
            <a:rPr lang="en-US" sz="1100">
              <a:solidFill>
                <a:schemeClr val="dk1"/>
              </a:solidFill>
              <a:latin typeface="+mn-lt"/>
              <a:ea typeface="+mn-ea"/>
              <a:cs typeface="+mn-cs"/>
            </a:rPr>
            <a:t>	A.  Makes any warranty or representation, express or implied, with respect to the accuracy, completeness, or 	 	      usefulness of the information contained in this document, or that the use of any information, apparatus, 		     </a:t>
          </a:r>
          <a:r>
            <a:rPr lang="en-US" sz="1100" baseline="0">
              <a:solidFill>
                <a:schemeClr val="dk1"/>
              </a:solidFill>
              <a:latin typeface="+mn-lt"/>
              <a:ea typeface="+mn-ea"/>
              <a:cs typeface="+mn-cs"/>
            </a:rPr>
            <a:t> </a:t>
          </a:r>
          <a:r>
            <a:rPr lang="en-US" sz="1100">
              <a:solidFill>
                <a:schemeClr val="dk1"/>
              </a:solidFill>
              <a:latin typeface="+mn-lt"/>
              <a:ea typeface="+mn-ea"/>
              <a:cs typeface="+mn-cs"/>
            </a:rPr>
            <a:t>method, or process disclosed in this document may not infringe on privately owned rights; or</a:t>
          </a:r>
        </a:p>
        <a:p>
          <a:pPr lvl="0"/>
          <a:r>
            <a:rPr lang="en-US" sz="1100">
              <a:solidFill>
                <a:schemeClr val="dk1"/>
              </a:solidFill>
              <a:latin typeface="+mn-lt"/>
              <a:ea typeface="+mn-ea"/>
              <a:cs typeface="+mn-cs"/>
            </a:rPr>
            <a:t>	B.  Assumes any liability with this report as to its use, or damages resulting from the use of any information,</a:t>
          </a:r>
          <a:r>
            <a:rPr lang="en-US" sz="1100" baseline="0">
              <a:solidFill>
                <a:schemeClr val="dk1"/>
              </a:solidFill>
              <a:latin typeface="+mn-lt"/>
              <a:ea typeface="+mn-ea"/>
              <a:cs typeface="+mn-cs"/>
            </a:rPr>
            <a:t> 		      a</a:t>
          </a:r>
          <a:r>
            <a:rPr lang="en-US" sz="1100">
              <a:solidFill>
                <a:schemeClr val="dk1"/>
              </a:solidFill>
              <a:latin typeface="+mn-lt"/>
              <a:ea typeface="+mn-ea"/>
              <a:cs typeface="+mn-cs"/>
            </a:rPr>
            <a:t>pparatus, method, or process disclosed in this document.</a:t>
          </a:r>
        </a:p>
        <a:p>
          <a:pPr lvl="0">
            <a:lnSpc>
              <a:spcPts val="1200"/>
            </a:lnSpc>
          </a:pPr>
          <a:endParaRPr lang="en-US" sz="1100">
            <a:solidFill>
              <a:schemeClr val="dk1"/>
            </a:solidFill>
            <a:latin typeface="+mn-lt"/>
            <a:ea typeface="+mn-ea"/>
            <a:cs typeface="+mn-cs"/>
          </a:endParaRPr>
        </a:p>
        <a:p>
          <a:pPr>
            <a:lnSpc>
              <a:spcPts val="1200"/>
            </a:lnSpc>
          </a:pPr>
          <a:r>
            <a:rPr lang="en-US" sz="1100">
              <a:solidFill>
                <a:schemeClr val="dk1"/>
              </a:solidFill>
              <a:latin typeface="+mn-lt"/>
              <a:ea typeface="+mn-ea"/>
              <a:cs typeface="+mn-cs"/>
            </a:rPr>
            <a:t>Reference herein to any specific commercial product, process, or service by trade name, trademark, manufacturer, or otherwise, does not necessarily constitute or imply its endorsement, recommendation, or favoring by NETL.  The views and opinions of the authors expressed herein do not necessarily state or reflect those of NETL.</a:t>
          </a:r>
        </a:p>
        <a:p>
          <a:r>
            <a:rPr lang="en-US" sz="1100">
              <a:solidFill>
                <a:schemeClr val="dk1"/>
              </a:solidFill>
              <a:latin typeface="+mn-lt"/>
              <a:ea typeface="+mn-ea"/>
              <a:cs typeface="+mn-cs"/>
            </a:rPr>
            <a:t> </a:t>
          </a:r>
        </a:p>
        <a:p>
          <a:pPr>
            <a:lnSpc>
              <a:spcPts val="1200"/>
            </a:lnSpc>
          </a:pPr>
          <a:endParaRPr 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57150</xdr:colOff>
          <xdr:row>16</xdr:row>
          <xdr:rowOff>47625</xdr:rowOff>
        </xdr:from>
        <xdr:to>
          <xdr:col>3</xdr:col>
          <xdr:colOff>781050</xdr:colOff>
          <xdr:row>16</xdr:row>
          <xdr:rowOff>257175</xdr:rowOff>
        </xdr:to>
        <xdr:sp macro="" textlink="">
          <xdr:nvSpPr>
            <xdr:cNvPr id="2049" name="Process"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942975</xdr:colOff>
          <xdr:row>16</xdr:row>
          <xdr:rowOff>47625</xdr:rowOff>
        </xdr:from>
        <xdr:to>
          <xdr:col>3</xdr:col>
          <xdr:colOff>1819275</xdr:colOff>
          <xdr:row>16</xdr:row>
          <xdr:rowOff>257175</xdr:rowOff>
        </xdr:to>
        <xdr:sp macro="" textlink="">
          <xdr:nvSpPr>
            <xdr:cNvPr id="2050" name="CheckBox1"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1981200</xdr:colOff>
          <xdr:row>16</xdr:row>
          <xdr:rowOff>47625</xdr:rowOff>
        </xdr:from>
        <xdr:to>
          <xdr:col>3</xdr:col>
          <xdr:colOff>2933700</xdr:colOff>
          <xdr:row>16</xdr:row>
          <xdr:rowOff>257175</xdr:rowOff>
        </xdr:to>
        <xdr:sp macro="" textlink="">
          <xdr:nvSpPr>
            <xdr:cNvPr id="2051" name="CheckBox2"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3095625</xdr:colOff>
          <xdr:row>16</xdr:row>
          <xdr:rowOff>47625</xdr:rowOff>
        </xdr:from>
        <xdr:to>
          <xdr:col>4</xdr:col>
          <xdr:colOff>66675</xdr:colOff>
          <xdr:row>16</xdr:row>
          <xdr:rowOff>247650</xdr:rowOff>
        </xdr:to>
        <xdr:sp macro="" textlink="">
          <xdr:nvSpPr>
            <xdr:cNvPr id="2052" name="CheckBox3"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476249</xdr:colOff>
      <xdr:row>149</xdr:row>
      <xdr:rowOff>85724</xdr:rowOff>
    </xdr:from>
    <xdr:to>
      <xdr:col>7</xdr:col>
      <xdr:colOff>85725</xdr:colOff>
      <xdr:row>305</xdr:row>
      <xdr:rowOff>142875</xdr:rowOff>
    </xdr:to>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390525</xdr:colOff>
      <xdr:row>75</xdr:row>
      <xdr:rowOff>85725</xdr:rowOff>
    </xdr:from>
    <xdr:to>
      <xdr:col>16</xdr:col>
      <xdr:colOff>200025</xdr:colOff>
      <xdr:row>80</xdr:row>
      <xdr:rowOff>133350</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10525125" y="23898225"/>
          <a:ext cx="4076700" cy="1000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t>Although it is possible to do a weighted average or a</a:t>
          </a:r>
          <a:r>
            <a:rPr lang="en-US" sz="1100" baseline="0"/>
            <a:t> straight average by refinery class, the variation of individual refineries within each class is so wide that we are just doing an average of all refineries.</a:t>
          </a:r>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122465</xdr:colOff>
      <xdr:row>1</xdr:row>
      <xdr:rowOff>114300</xdr:rowOff>
    </xdr:from>
    <xdr:to>
      <xdr:col>11</xdr:col>
      <xdr:colOff>510785</xdr:colOff>
      <xdr:row>21</xdr:row>
      <xdr:rowOff>137887</xdr:rowOff>
    </xdr:to>
    <xdr:grpSp>
      <xdr:nvGrpSpPr>
        <xdr:cNvPr id="20" name="Group 19">
          <a:extLst>
            <a:ext uri="{FF2B5EF4-FFF2-40B4-BE49-F238E27FC236}">
              <a16:creationId xmlns:a16="http://schemas.microsoft.com/office/drawing/2014/main" id="{00000000-0008-0000-0D00-000014000000}"/>
            </a:ext>
          </a:extLst>
        </xdr:cNvPr>
        <xdr:cNvGrpSpPr/>
      </xdr:nvGrpSpPr>
      <xdr:grpSpPr>
        <a:xfrm>
          <a:off x="1951265" y="304800"/>
          <a:ext cx="5265120" cy="3833587"/>
          <a:chOff x="1951265" y="304800"/>
          <a:chExt cx="5265120" cy="3833587"/>
        </a:xfrm>
      </xdr:grpSpPr>
      <xdr:grpSp>
        <xdr:nvGrpSpPr>
          <xdr:cNvPr id="2" name="Legend">
            <a:extLst>
              <a:ext uri="{FF2B5EF4-FFF2-40B4-BE49-F238E27FC236}">
                <a16:creationId xmlns:a16="http://schemas.microsoft.com/office/drawing/2014/main" id="{00000000-0008-0000-0D00-000002000000}"/>
              </a:ext>
            </a:extLst>
          </xdr:cNvPr>
          <xdr:cNvGrpSpPr/>
        </xdr:nvGrpSpPr>
        <xdr:grpSpPr>
          <a:xfrm>
            <a:off x="1951265" y="3352800"/>
            <a:ext cx="1945747" cy="785587"/>
            <a:chOff x="7457181" y="3134295"/>
            <a:chExt cx="1953912" cy="753022"/>
          </a:xfrm>
        </xdr:grpSpPr>
        <xdr:sp macro="" textlink="">
          <xdr:nvSpPr>
            <xdr:cNvPr id="3" name="LegendBox">
              <a:extLst>
                <a:ext uri="{FF2B5EF4-FFF2-40B4-BE49-F238E27FC236}">
                  <a16:creationId xmlns:a16="http://schemas.microsoft.com/office/drawing/2014/main" id="{00000000-0008-0000-0D00-000003000000}"/>
                </a:ext>
              </a:extLst>
            </xdr:cNvPr>
            <xdr:cNvSpPr/>
          </xdr:nvSpPr>
          <xdr:spPr>
            <a:xfrm>
              <a:off x="7534215" y="3386802"/>
              <a:ext cx="274320" cy="182880"/>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baseline="0">
                <a:solidFill>
                  <a:schemeClr val="tx1"/>
                </a:solidFill>
                <a:latin typeface="Arial" pitchFamily="34" charset="0"/>
                <a:cs typeface="Arial" pitchFamily="34" charset="0"/>
              </a:endParaRPr>
            </a:p>
          </xdr:txBody>
        </xdr:sp>
        <xdr:sp macro="" textlink="">
          <xdr:nvSpPr>
            <xdr:cNvPr id="4" name="Upstream Emssion Data">
              <a:extLst>
                <a:ext uri="{FF2B5EF4-FFF2-40B4-BE49-F238E27FC236}">
                  <a16:creationId xmlns:a16="http://schemas.microsoft.com/office/drawing/2014/main" id="{00000000-0008-0000-0D00-000004000000}"/>
                </a:ext>
              </a:extLst>
            </xdr:cNvPr>
            <xdr:cNvSpPr/>
          </xdr:nvSpPr>
          <xdr:spPr>
            <a:xfrm>
              <a:off x="7534215" y="3663597"/>
              <a:ext cx="274320" cy="182880"/>
            </a:xfrm>
            <a:prstGeom prst="parallelogram">
              <a:avLst>
                <a:gd name="adj" fmla="val 51761"/>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800">
                <a:solidFill>
                  <a:schemeClr val="tx1"/>
                </a:solidFill>
                <a:latin typeface="Arial" pitchFamily="34" charset="0"/>
                <a:cs typeface="Arial" pitchFamily="34" charset="0"/>
              </a:endParaRPr>
            </a:p>
          </xdr:txBody>
        </xdr:sp>
        <xdr:sp macro="" textlink="">
          <xdr:nvSpPr>
            <xdr:cNvPr id="5" name="TextBox 4">
              <a:extLst>
                <a:ext uri="{FF2B5EF4-FFF2-40B4-BE49-F238E27FC236}">
                  <a16:creationId xmlns:a16="http://schemas.microsoft.com/office/drawing/2014/main" id="{00000000-0008-0000-0D00-000005000000}"/>
                </a:ext>
              </a:extLst>
            </xdr:cNvPr>
            <xdr:cNvSpPr txBox="1"/>
          </xdr:nvSpPr>
          <xdr:spPr>
            <a:xfrm>
              <a:off x="7766540" y="3345962"/>
              <a:ext cx="62126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Process</a:t>
              </a:r>
            </a:p>
          </xdr:txBody>
        </xdr:sp>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7766540" y="3622757"/>
              <a:ext cx="1644553"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a:t>Upstream Emissions</a:t>
              </a:r>
              <a:r>
                <a:rPr lang="en-US" sz="1100" baseline="0"/>
                <a:t> Data</a:t>
              </a:r>
              <a:endParaRPr lang="en-US" sz="1100"/>
            </a:p>
          </xdr:txBody>
        </xdr:sp>
        <xdr:sp macro="" textlink="">
          <xdr:nvSpPr>
            <xdr:cNvPr id="7" name="TextBox 6">
              <a:extLst>
                <a:ext uri="{FF2B5EF4-FFF2-40B4-BE49-F238E27FC236}">
                  <a16:creationId xmlns:a16="http://schemas.microsoft.com/office/drawing/2014/main" id="{00000000-0008-0000-0D00-000007000000}"/>
                </a:ext>
              </a:extLst>
            </xdr:cNvPr>
            <xdr:cNvSpPr txBox="1"/>
          </xdr:nvSpPr>
          <xdr:spPr>
            <a:xfrm>
              <a:off x="7457181" y="3134295"/>
              <a:ext cx="39966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100" b="1"/>
                <a:t>Key</a:t>
              </a:r>
            </a:p>
          </xdr:txBody>
        </xdr:sp>
      </xdr:grpSp>
      <xdr:grpSp>
        <xdr:nvGrpSpPr>
          <xdr:cNvPr id="19" name="Group 18">
            <a:extLst>
              <a:ext uri="{FF2B5EF4-FFF2-40B4-BE49-F238E27FC236}">
                <a16:creationId xmlns:a16="http://schemas.microsoft.com/office/drawing/2014/main" id="{00000000-0008-0000-0D00-000013000000}"/>
              </a:ext>
            </a:extLst>
          </xdr:cNvPr>
          <xdr:cNvGrpSpPr/>
        </xdr:nvGrpSpPr>
        <xdr:grpSpPr>
          <a:xfrm>
            <a:off x="3556000" y="304800"/>
            <a:ext cx="3660385" cy="3829539"/>
            <a:chOff x="3556000" y="304800"/>
            <a:chExt cx="3660385" cy="3829539"/>
          </a:xfrm>
        </xdr:grpSpPr>
        <xdr:sp macro="" textlink="">
          <xdr:nvSpPr>
            <xdr:cNvPr id="10" name="Reference Flow">
              <a:extLst>
                <a:ext uri="{FF2B5EF4-FFF2-40B4-BE49-F238E27FC236}">
                  <a16:creationId xmlns:a16="http://schemas.microsoft.com/office/drawing/2014/main" id="{00000000-0008-0000-0D00-00000A000000}"/>
                </a:ext>
              </a:extLst>
            </xdr:cNvPr>
            <xdr:cNvSpPr/>
          </xdr:nvSpPr>
          <xdr:spPr>
            <a:xfrm>
              <a:off x="4318000" y="3352800"/>
              <a:ext cx="2296124" cy="781539"/>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a:solidFill>
                    <a:schemeClr val="tx1"/>
                  </a:solidFill>
                  <a:latin typeface="Arial" pitchFamily="34" charset="0"/>
                  <a:cs typeface="Arial" pitchFamily="34" charset="0"/>
                </a:rPr>
                <a:t>Petroleum Refining</a:t>
              </a:r>
              <a:endParaRPr lang="en-US" sz="1000" baseline="0">
                <a:solidFill>
                  <a:schemeClr val="tx1"/>
                </a:solidFill>
                <a:latin typeface="Arial" pitchFamily="34" charset="0"/>
                <a:cs typeface="Arial" pitchFamily="34" charset="0"/>
              </a:endParaRPr>
            </a:p>
          </xdr:txBody>
        </xdr:sp>
        <xdr:cxnSp macro="">
          <xdr:nvCxnSpPr>
            <xdr:cNvPr id="11" name="Straight Arrow Connector Process">
              <a:extLst>
                <a:ext uri="{FF2B5EF4-FFF2-40B4-BE49-F238E27FC236}">
                  <a16:creationId xmlns:a16="http://schemas.microsoft.com/office/drawing/2014/main" id="{00000000-0008-0000-0D00-00000B000000}"/>
                </a:ext>
              </a:extLst>
            </xdr:cNvPr>
            <xdr:cNvCxnSpPr>
              <a:stCxn id="9" idx="2"/>
              <a:endCxn id="10" idx="0"/>
            </xdr:cNvCxnSpPr>
          </xdr:nvCxnSpPr>
          <xdr:spPr>
            <a:xfrm>
              <a:off x="5462601" y="2748094"/>
              <a:ext cx="3461" cy="604706"/>
            </a:xfrm>
            <a:prstGeom prst="straightConnector1">
              <a:avLst/>
            </a:prstGeom>
            <a:ln w="19050">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sp macro="" textlink="">
          <xdr:nvSpPr>
            <xdr:cNvPr id="8" name="Boundary Box">
              <a:extLst>
                <a:ext uri="{FF2B5EF4-FFF2-40B4-BE49-F238E27FC236}">
                  <a16:creationId xmlns:a16="http://schemas.microsoft.com/office/drawing/2014/main" id="{00000000-0008-0000-0D00-000008000000}"/>
                </a:ext>
              </a:extLst>
            </xdr:cNvPr>
            <xdr:cNvSpPr/>
          </xdr:nvSpPr>
          <xdr:spPr>
            <a:xfrm>
              <a:off x="3556000" y="304800"/>
              <a:ext cx="3660385" cy="2940708"/>
            </a:xfrm>
            <a:prstGeom prst="rect">
              <a:avLst/>
            </a:prstGeom>
            <a:solidFill>
              <a:srgbClr val="FFFFCC"/>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nchorCtr="0"/>
            <a:lstStyle/>
            <a:p>
              <a:pPr marL="0" marR="0" indent="0" algn="ctr" defTabSz="914400" eaLnBrk="1" fontAlgn="auto" latinLnBrk="0" hangingPunct="1">
                <a:lnSpc>
                  <a:spcPct val="100000"/>
                </a:lnSpc>
                <a:spcBef>
                  <a:spcPts val="0"/>
                </a:spcBef>
                <a:spcAft>
                  <a:spcPts val="0"/>
                </a:spcAft>
                <a:buClrTx/>
                <a:buSzTx/>
                <a:buFontTx/>
                <a:buNone/>
                <a:tabLst/>
                <a:defRPr/>
              </a:pPr>
              <a:r>
                <a:rPr lang="en-US" sz="1000" baseline="0">
                  <a:solidFill>
                    <a:sysClr val="windowText" lastClr="000000"/>
                  </a:solidFill>
                  <a:effectLst/>
                  <a:latin typeface="Arial" pitchFamily="34" charset="0"/>
                  <a:ea typeface="+mn-ea"/>
                  <a:cs typeface="Arial" pitchFamily="34" charset="0"/>
                </a:rPr>
                <a:t>Petroleum Refinery Emissions: System Boundary</a:t>
              </a:r>
            </a:p>
          </xdr:txBody>
        </xdr:sp>
        <xdr:sp macro="" textlink="">
          <xdr:nvSpPr>
            <xdr:cNvPr id="9" name="Process">
              <a:extLst>
                <a:ext uri="{FF2B5EF4-FFF2-40B4-BE49-F238E27FC236}">
                  <a16:creationId xmlns:a16="http://schemas.microsoft.com/office/drawing/2014/main" id="{00000000-0008-0000-0D00-000009000000}"/>
                </a:ext>
              </a:extLst>
            </xdr:cNvPr>
            <xdr:cNvSpPr/>
          </xdr:nvSpPr>
          <xdr:spPr>
            <a:xfrm>
              <a:off x="4315956" y="1066800"/>
              <a:ext cx="2291250" cy="1681294"/>
            </a:xfrm>
            <a:prstGeom prst="rect">
              <a:avLst/>
            </a:prstGeom>
            <a:solidFill>
              <a:schemeClr val="bg1"/>
            </a:solidFill>
            <a:ln w="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000">
                  <a:solidFill>
                    <a:sysClr val="windowText" lastClr="000000"/>
                  </a:solidFill>
                  <a:latin typeface="Arial" pitchFamily="34" charset="0"/>
                  <a:cs typeface="Arial" pitchFamily="34" charset="0"/>
                </a:rPr>
                <a:t>Flared</a:t>
              </a:r>
              <a:r>
                <a:rPr lang="en-US" sz="1000" baseline="0">
                  <a:solidFill>
                    <a:sysClr val="windowText" lastClr="000000"/>
                  </a:solidFill>
                  <a:latin typeface="Arial" pitchFamily="34" charset="0"/>
                  <a:cs typeface="Arial" pitchFamily="34" charset="0"/>
                </a:rPr>
                <a:t> and fugitive total emissions and combustion non-GHG emissions</a:t>
              </a:r>
              <a:endParaRPr lang="en-US" sz="1000">
                <a:solidFill>
                  <a:sysClr val="windowText" lastClr="000000"/>
                </a:solidFill>
                <a:latin typeface="Arial" pitchFamily="34" charset="0"/>
                <a:cs typeface="Arial" pitchFamily="34" charset="0"/>
              </a:endParaRPr>
            </a:p>
          </xdr:txBody>
        </xdr:sp>
        <xdr:sp macro="" textlink="">
          <xdr:nvSpPr>
            <xdr:cNvPr id="12" name="Link 1">
              <a:extLst>
                <a:ext uri="{FF2B5EF4-FFF2-40B4-BE49-F238E27FC236}">
                  <a16:creationId xmlns:a16="http://schemas.microsoft.com/office/drawing/2014/main" id="{00000000-0008-0000-0D00-00000C000000}"/>
                </a:ext>
              </a:extLst>
            </xdr:cNvPr>
            <xdr:cNvSpPr/>
          </xdr:nvSpPr>
          <xdr:spPr>
            <a:xfrm>
              <a:off x="3556000" y="304800"/>
              <a:ext cx="12757" cy="2816352"/>
            </a:xfrm>
            <a:prstGeom prst="rect">
              <a:avLst/>
            </a:prstGeom>
            <a:noFill/>
            <a:ln w="25400" cap="flat" cmpd="sng" algn="ctr">
              <a:noFill/>
              <a:prstDash val="solid"/>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25400" cap="flat" cmpd="sng" algn="ctr">
                  <a:solidFill>
                    <a:schemeClr val="accent1">
                      <a:shade val="50000"/>
                    </a:schemeClr>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grp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atthew B. Jamieson" refreshedDate="41789.461024652781" createdVersion="4" refreshedVersion="4" minRefreshableVersion="3" recordCount="2139">
  <cacheSource type="worksheet">
    <worksheetSource ref="A2:K2141" sheet="Water_emissions_raw"/>
  </cacheSource>
  <cacheFields count="11">
    <cacheField name="FRS ID" numFmtId="0">
      <sharedItems/>
    </cacheField>
    <cacheField name="Facility" numFmtId="0">
      <sharedItems/>
    </cacheField>
    <cacheField name="Parameter Description" numFmtId="0">
      <sharedItems/>
    </cacheField>
    <cacheField name="CAS Number" numFmtId="0">
      <sharedItems/>
    </cacheField>
    <cacheField name="Sum Of Pollutant Load (kg/yr)" numFmtId="0">
      <sharedItems containsString="0" containsBlank="1" containsNumber="1" minValue="-203223.61439999999" maxValue="41036938.371200003"/>
    </cacheField>
    <cacheField name="Unit Index" numFmtId="0">
      <sharedItems count="6">
        <s v="2"/>
        <s v="1"/>
        <s v="5"/>
        <s v="4"/>
        <s v="3"/>
        <s v="0"/>
      </sharedItems>
    </cacheField>
    <cacheField name="1/Utilized(day/bbl)" numFmtId="0">
      <sharedItems containsSemiMixedTypes="0" containsString="0" containsNumber="1" minValue="1.7619956695755924E-6" maxValue="1.7722048066875652E-4"/>
    </cacheField>
    <cacheField name="Direct release (lbs)" numFmtId="0">
      <sharedItems/>
    </cacheField>
    <cacheField name="kg/barrel" numFmtId="0">
      <sharedItems containsSemiMixedTypes="0" containsString="0" containsNumber="1" minValue="-1.0123218650062266E-2" maxValue="1313.5964493594604"/>
    </cacheField>
    <cacheField name="Substance Name" numFmtId="0">
      <sharedItems count="149">
        <s v="1,2,4-TRIMETHYLBENZENE"/>
        <s v="BENZENE"/>
        <s v="BOD, 5-day, 20 deg. C"/>
        <s v="Carbon, tot organic (TOC)"/>
        <s v="Chromium, hexavalent (as Cr)"/>
        <s v="Chromium, total (as Cr)"/>
        <s v="ISOPROPYLBENZENE"/>
        <s v="CYANIDE COMPOUNDS"/>
        <s v="CYCLOHEXANE"/>
        <s v="DIETHANOLAMINE"/>
        <s v="ETHYLBENZENE"/>
        <s v="LEAD AND LEAD COMPOUNDS"/>
        <s v="MERCURY AND MERCURY COMPOUNDS"/>
        <s v="NAPHTHALENE"/>
        <s v="N-HEXANE"/>
        <s v="NITRATE"/>
        <s v="AMMONIA"/>
        <s v="Oil and grease"/>
        <s v="Chemical Oxygen Demand (COD)"/>
        <s v="PHENOL"/>
        <s v="Phenolics, total recoverable"/>
        <s v="POLYCYCLIC AROMATIC COMPOUNDS"/>
        <s v="Solids, total suspended"/>
        <s v="Sulfide, total (as S)"/>
        <s v="TOLUENE"/>
        <s v="XYLENES"/>
        <s v="Arsenic, total (as As)"/>
        <s v="N-METHYLPYRROLIDONE"/>
        <s v="Oil &amp; grease"/>
        <s v="ZINC AND ZINC COMPOUNDS"/>
        <s v="1,3-BUTADIENE"/>
        <s v="ANTHRACENE"/>
        <s v="BENZO(G,H,I)PERYLENE"/>
        <s v="BOD, carbonaceous, 05 day, 20 C"/>
        <s v="CARBON DISULFIDE"/>
        <s v="CARBONYL SULFIDE"/>
        <s v="DICYCLOPENTADIENE"/>
        <s v="DIOXIN AND DIOXIN-LIKE COMPOUNDS"/>
        <s v="ETHENE"/>
        <s v="ETHYLENE GLYCOL"/>
        <s v="FORMALDEHYDE"/>
        <s v="HYDROGEN CYANIDE"/>
        <s v="METHANOL"/>
        <s v="METHYL ISOBUTYL KETONE"/>
        <s v="MOLYBDENUM TRIOXIDE"/>
        <s v="NICKEL AND NICKEL COMPOUNDS"/>
        <s v="PHENANTHRENE"/>
        <s v="Phenolic compounds, total"/>
        <s v="STYRENE"/>
        <s v="TERT-BUTYL ALCOHOL"/>
        <s v="PERCHLOROETHYLENE"/>
        <s v="TRICHLOROETHYLENE"/>
        <s v="BIPHENYL"/>
        <s v="CHLORINE"/>
        <s v="PROPYLENE"/>
        <s v="Selenium, total (as Se)"/>
        <s v="Barium, total (as Ba)"/>
        <s v="Lead, total (as Pb)"/>
        <s v="Silver, total (as Ag)"/>
        <s v="CHROMIUM AND CHROMIUM COMPOUNDS"/>
        <s v="COPPER AND COPPER COMPOUNDS"/>
        <s v="CRESOL(S)"/>
        <s v="MANGANESE AND MANGANESE COMPOUNDS"/>
        <s v="Chromium, hexavalent dissolved (as Cr)"/>
        <s v="Mercury, total (as Hg)"/>
        <s v="Oil and grease, hexane extr method"/>
        <s v="PHOSPHORUS"/>
        <s v="Vanadium, total recoverable"/>
        <s v="Copper, total (as Cu)"/>
        <s v="Chloride (as Cl)"/>
        <s v="Hardness, total (as CaCO3)"/>
        <s v="Nickel, total (as Ni)"/>
        <s v="Oxygen, dissolved (DO)"/>
        <s v="Phenols"/>
        <s v="Zinc, total (as Cr)"/>
        <s v="BTEX"/>
        <s v="COBALT AND COBALT COMPOUNDS"/>
        <s v="HYDROFLUORIC ACID"/>
        <s v="VANADIUM AND VANADIUM COMPOUNDS"/>
        <s v="NITROGEN"/>
        <s v="AMMONIUM"/>
        <s v="2,4-DIMETHYLPHENOL"/>
        <s v="Oil and grease (soxhlet extr.) tot."/>
        <s v="Sulfide, total"/>
        <s v="Suspended solids"/>
        <s v="Cyanide, total (as CN)"/>
        <s v="ETHYLENE DIBROMIDE"/>
        <s v="M-XYLENE"/>
        <s v="O-XYLENE"/>
        <s v="P-XYLENE"/>
        <s v="SEC-BUTYL ALCOHOL"/>
        <s v="Aluminum, total (as Al)"/>
        <s v="ANTIMONY AND ANTIMONY COMPOUNDS"/>
        <s v="Cyanide, free (amen. to chlorination)"/>
        <s v="Fluoride, total (as F)"/>
        <s v="SELENIUM AND SELENIUM COMPOUNDS"/>
        <s v="Solids, total dissolved"/>
        <s v="Sulfate (as S)"/>
        <s v="Zinc, total (as Zn)"/>
        <s v="Sulfate, total (as SO4)"/>
        <s v="1-BUTANOL"/>
        <s v="FORMIC ACID"/>
        <s v="1,2-DICHLOROETHANE"/>
        <s v="2-METHYLNAPHTHALENE"/>
        <s v="BENZ[A]ANTHRACENE"/>
        <s v="BENZO[A]PYRENE"/>
        <s v="Chrysene"/>
        <s v="DIBENZ(A,H)ANTHRACENE"/>
        <s v="FLUORANTHENE"/>
        <s v="PYRENE"/>
        <s v="Iron, total (as Fe)"/>
        <s v="ACETONITRILE"/>
        <s v="BARIUM AND BARIUM COMPOUNDS"/>
        <s v="Bromide (as Br)"/>
        <s v="Organics, total toxic (TTO)"/>
        <s v="HEXACHLOROBENZENE"/>
        <s v="ACETALDEHYDE"/>
        <s v="CERTAIN GLYCOL ETHERS"/>
        <s v="METHYL T-BUTYL ETHER"/>
        <s v="N,N'-DIMETHYLFORMAMIDE"/>
        <s v="Manganese, dissolved (as Mn)"/>
        <s v="Nickel, dissolved (as Ni)"/>
        <s v="Zinc, dissolved (as Zn)"/>
        <s v="Cadmium, total (as Cd)"/>
        <s v="Indeno(1,2,3-cd)pyrene"/>
        <s v="Polynuc aromatic HC per Method 610"/>
        <s v="2,3,7,8-TETRACDD"/>
        <s v="Hydrocarbon, aqueous"/>
        <s v="Phenolic compounds, unchlorinated"/>
        <s v="Benzene, ethylbenzene, toluene, xylene combination"/>
        <s v="METIRAM"/>
        <s v="Residue, tot fltrble (dried at 105 C)"/>
        <s v="BOD, carbonaceous, 20 day, 20 C"/>
        <s v="Cyanide, free available"/>
        <s v="Magnesium, total (as Mg)"/>
        <s v="Alkalinity, phenolphthaline method"/>
        <s v="Chlorine produced oxidants"/>
        <s v="Sodium chloride (salt)"/>
        <s v="SILVER AND SILVER COMPOUNDS"/>
        <s v="Copper, potentially dissolved"/>
        <s v="Lead, potentially dissolvd"/>
        <s v="Manganese, potentially dissolvd"/>
        <s v="Selenium, dissolved (as Se)"/>
        <s v="Silver, potentially dissolved"/>
        <s v="Zinc, potentially dissolved"/>
        <s v="Oxidants, total residual"/>
        <s v="Total petroleum hydrocarbon - diesel"/>
        <s v="Total petroleum hydrocarbon - gasoline"/>
        <s v="Aluminum, acid soluble"/>
      </sharedItems>
    </cacheField>
    <cacheField name="Discharge Sourc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139">
  <r>
    <s v="110041023807"/>
    <s v="Alon Refining Krotz Springs Inc"/>
    <s v="1,2,4-TRIMETHYLBENZENE"/>
    <s v="95636"/>
    <m/>
    <x v="0"/>
    <n v="1.1842369976875995E-5"/>
    <s v="8"/>
    <n v="1.5685258247517875E-2"/>
    <x v="0"/>
    <s v="TRI"/>
  </r>
  <r>
    <s v="110041023807"/>
    <s v="Alon Refining Krotz Springs Inc"/>
    <s v="BENZENE"/>
    <s v="71432"/>
    <m/>
    <x v="0"/>
    <n v="1.1842369976875995E-5"/>
    <s v="7"/>
    <n v="1.372460096657814E-2"/>
    <x v="1"/>
    <s v="TRI"/>
  </r>
  <r>
    <s v="110041023807"/>
    <s v="Alon Refining Krotz Springs Inc"/>
    <s v="BOD, 5-day, 20 deg. C"/>
    <s v=""/>
    <n v="1488.8888888900001"/>
    <x v="0"/>
    <n v="1.1842369976875995E-5"/>
    <s v=""/>
    <n v="4.8306775552589578E-5"/>
    <x v="2"/>
    <s v="DMR"/>
  </r>
  <r>
    <s v="110041023807"/>
    <s v="Alon Refining Krotz Springs Inc"/>
    <s v="Carbon, tot organic (TOC)"/>
    <s v="7440440"/>
    <n v="6739.5842474999999"/>
    <x v="0"/>
    <n v="1.1842369976875995E-5"/>
    <s v=""/>
    <n v="2.1866479492937095E-4"/>
    <x v="3"/>
    <s v="DMR"/>
  </r>
  <r>
    <s v="110041023807"/>
    <s v="Alon Refining Krotz Springs Inc"/>
    <s v="Chromium, hexavalent (as Cr)"/>
    <s v="18540299"/>
    <n v="0.50793650793699996"/>
    <x v="0"/>
    <n v="1.1842369976875995E-5"/>
    <s v=""/>
    <n v="1.647992342945853E-8"/>
    <x v="4"/>
    <s v="DMR"/>
  </r>
  <r>
    <s v="110041023807"/>
    <s v="Alon Refining Krotz Springs Inc"/>
    <s v="Chromium, total (as Cr)"/>
    <s v="7440473"/>
    <n v="0.816326530612"/>
    <x v="0"/>
    <n v="1.1842369976875995E-5"/>
    <s v=""/>
    <n v="2.6485591225881897E-8"/>
    <x v="5"/>
    <s v="DMR"/>
  </r>
  <r>
    <s v="110041023807"/>
    <s v="Alon Refining Krotz Springs Inc"/>
    <s v="CUMENE"/>
    <s v="98828"/>
    <m/>
    <x v="0"/>
    <n v="1.1842369976875995E-5"/>
    <s v="0"/>
    <n v="0"/>
    <x v="6"/>
    <s v="TRI"/>
  </r>
  <r>
    <s v="110041023807"/>
    <s v="Alon Refining Krotz Springs Inc"/>
    <s v="CYANIDE COMPOUNDS"/>
    <s v="N106"/>
    <m/>
    <x v="0"/>
    <n v="1.1842369976875995E-5"/>
    <s v="22"/>
    <n v="4.3134460180674149E-2"/>
    <x v="7"/>
    <s v="TRI"/>
  </r>
  <r>
    <s v="110041023807"/>
    <s v="Alon Refining Krotz Springs Inc"/>
    <s v="CYCLOHEXANE"/>
    <s v="110827"/>
    <m/>
    <x v="0"/>
    <n v="1.1842369976875995E-5"/>
    <s v="22"/>
    <n v="4.3134460180674149E-2"/>
    <x v="8"/>
    <s v="TRI"/>
  </r>
  <r>
    <s v="110041023807"/>
    <s v="Alon Refining Krotz Springs Inc"/>
    <s v="DIETHANOLAMINE"/>
    <s v="111422"/>
    <m/>
    <x v="0"/>
    <n v="1.1842369976875995E-5"/>
    <s v="0"/>
    <n v="0"/>
    <x v="9"/>
    <s v="TRI"/>
  </r>
  <r>
    <s v="110041023807"/>
    <s v="Alon Refining Krotz Springs Inc"/>
    <s v="ETHYLBENZENE"/>
    <s v="100414"/>
    <m/>
    <x v="0"/>
    <n v="1.1842369976875995E-5"/>
    <s v="0"/>
    <n v="0"/>
    <x v="10"/>
    <s v="TRI"/>
  </r>
  <r>
    <s v="110041023807"/>
    <s v="Alon Refining Krotz Springs Inc"/>
    <s v="LEAD AND LEAD COMPOUNDS"/>
    <s v="7439921"/>
    <m/>
    <x v="0"/>
    <n v="1.1842369976875995E-5"/>
    <s v="0.1"/>
    <n v="1.9606572809397345E-4"/>
    <x v="11"/>
    <s v="TRI"/>
  </r>
  <r>
    <s v="110041023807"/>
    <s v="Alon Refining Krotz Springs Inc"/>
    <s v="MERCURY AND MERCURY COMPOUNDS"/>
    <s v="N458"/>
    <m/>
    <x v="0"/>
    <n v="1.1842369976875995E-5"/>
    <s v="1.6"/>
    <n v="3.1370516495035751E-3"/>
    <x v="12"/>
    <s v="TRI"/>
  </r>
  <r>
    <s v="110041023807"/>
    <s v="Alon Refining Krotz Springs Inc"/>
    <s v="NAPHTHALENE"/>
    <s v="91203"/>
    <m/>
    <x v="0"/>
    <n v="1.1842369976875995E-5"/>
    <s v="22"/>
    <n v="4.3134460180674149E-2"/>
    <x v="13"/>
    <s v="TRI"/>
  </r>
  <r>
    <s v="110041023807"/>
    <s v="Alon Refining Krotz Springs Inc"/>
    <s v="N-HEXANE"/>
    <s v="110543"/>
    <m/>
    <x v="0"/>
    <n v="1.1842369976875995E-5"/>
    <s v="0"/>
    <n v="0"/>
    <x v="14"/>
    <s v="TRI"/>
  </r>
  <r>
    <s v="110041023807"/>
    <s v="Alon Refining Krotz Springs Inc"/>
    <s v="NITRATE COMPOUNDS"/>
    <s v="14797558"/>
    <m/>
    <x v="0"/>
    <n v="1.1842369976875995E-5"/>
    <s v="215605"/>
    <n v="422.72751305701138"/>
    <x v="15"/>
    <s v="TRI"/>
  </r>
  <r>
    <s v="110041023807"/>
    <s v="Alon Refining Krotz Springs Inc"/>
    <s v="Nitrogen, ammonia total (as N)"/>
    <s v="7664417"/>
    <n v="268.66213151900001"/>
    <x v="0"/>
    <n v="1.1842369976875995E-5"/>
    <s v=""/>
    <n v="8.7167023567784E-6"/>
    <x v="16"/>
    <s v="DMR"/>
  </r>
  <r>
    <s v="110041023807"/>
    <s v="Alon Refining Krotz Springs Inc"/>
    <s v="Oil and grease"/>
    <s v=""/>
    <n v="0"/>
    <x v="0"/>
    <n v="1.1842369976875995E-5"/>
    <s v=""/>
    <n v="0"/>
    <x v="17"/>
    <s v="DMR"/>
  </r>
  <r>
    <s v="110041023807"/>
    <s v="Alon Refining Krotz Springs Inc"/>
    <s v="Chemical Oxygen Demand (COD)"/>
    <s v=""/>
    <n v="57158.730158699997"/>
    <x v="0"/>
    <n v="1.1842369976875995E-5"/>
    <s v=""/>
    <n v="1.8545063834184805E-3"/>
    <x v="18"/>
    <s v="DMR"/>
  </r>
  <r>
    <s v="110041023807"/>
    <s v="Alon Refining Krotz Springs Inc"/>
    <s v="PHENOL"/>
    <s v="108952"/>
    <m/>
    <x v="0"/>
    <n v="1.1842369976875995E-5"/>
    <s v="9"/>
    <n v="1.7645915528457606E-2"/>
    <x v="19"/>
    <s v="TRI"/>
  </r>
  <r>
    <s v="110041023807"/>
    <s v="Alon Refining Krotz Springs Inc"/>
    <s v="Phenolics, total recoverable"/>
    <s v=""/>
    <n v="2.6394557823100002"/>
    <x v="0"/>
    <n v="1.1842369976875995E-5"/>
    <s v=""/>
    <n v="8.5636744963615583E-8"/>
    <x v="20"/>
    <s v="DMR"/>
  </r>
  <r>
    <s v="110041023807"/>
    <s v="Alon Refining Krotz Springs Inc"/>
    <s v="POLYCYCLIC AROMATIC COMPOUNDS"/>
    <s v="N590"/>
    <m/>
    <x v="0"/>
    <n v="1.1842369976875995E-5"/>
    <s v="23.2"/>
    <n v="4.5487248917801835E-2"/>
    <x v="21"/>
    <s v="TRI"/>
  </r>
  <r>
    <s v="110041023807"/>
    <s v="Alon Refining Krotz Springs Inc"/>
    <s v="Solids, total suspended"/>
    <s v=""/>
    <n v="8972.7891156500009"/>
    <x v="0"/>
    <n v="1.1842369976875995E-5"/>
    <s v=""/>
    <n v="2.9112079022469391E-4"/>
    <x v="22"/>
    <s v="DMR"/>
  </r>
  <r>
    <s v="110041023807"/>
    <s v="Alon Refining Krotz Springs Inc"/>
    <s v="Sulfide, total (as S)"/>
    <s v="18496258"/>
    <n v="8.1405895691599994"/>
    <x v="0"/>
    <n v="1.1842369976875995E-5"/>
    <s v=""/>
    <n v="2.6412020139148021E-7"/>
    <x v="23"/>
    <s v="DMR"/>
  </r>
  <r>
    <s v="110041023807"/>
    <s v="Alon Refining Krotz Springs Inc"/>
    <s v="TOLUENE"/>
    <s v="108883"/>
    <m/>
    <x v="0"/>
    <n v="1.1842369976875995E-5"/>
    <s v="7"/>
    <n v="1.372460096657814E-2"/>
    <x v="24"/>
    <s v="TRI"/>
  </r>
  <r>
    <s v="110041023807"/>
    <s v="Alon Refining Krotz Springs Inc"/>
    <s v="XYLENE (MIXED ISOMERS)"/>
    <s v="1330207"/>
    <m/>
    <x v="0"/>
    <n v="1.1842369976875995E-5"/>
    <s v="8"/>
    <n v="1.5685258247517875E-2"/>
    <x v="25"/>
    <s v="TRI"/>
  </r>
  <r>
    <s v="110000332220"/>
    <s v="AMER REF GROUP/BRADFORD"/>
    <s v="Arsenic, total (as As)"/>
    <s v="7440382"/>
    <n v="73.966258503399999"/>
    <x v="1"/>
    <n v="1E-4"/>
    <s v=""/>
    <n v="2.026472835709589E-5"/>
    <x v="26"/>
    <s v="DMR"/>
  </r>
  <r>
    <s v="110000332220"/>
    <s v="AMER REF GROUP/BRADFORD"/>
    <s v="BENZENE"/>
    <s v="71432"/>
    <m/>
    <x v="1"/>
    <n v="1E-4"/>
    <s v="1.1"/>
    <n v="1.8211920529801327E-2"/>
    <x v="1"/>
    <s v="TRI"/>
  </r>
  <r>
    <s v="110000332220"/>
    <s v="AMER REF GROUP/BRADFORD"/>
    <s v="BOD, 5-day, 20 deg. C"/>
    <s v=""/>
    <n v="33968.707482999998"/>
    <x v="1"/>
    <n v="1E-4"/>
    <s v=""/>
    <n v="9.3064952008219178E-3"/>
    <x v="2"/>
    <s v="DMR"/>
  </r>
  <r>
    <s v="110000332220"/>
    <s v="AMER REF GROUP/BRADFORD"/>
    <s v="Carbon, tot organic (TOC)"/>
    <s v="7440440"/>
    <n v="12139.544508403402"/>
    <x v="1"/>
    <n v="1E-4"/>
    <s v=""/>
    <n v="3.3259026050420277E-3"/>
    <x v="3"/>
    <s v="DMR"/>
  </r>
  <r>
    <s v="110000332220"/>
    <s v="AMER REF GROUP/BRADFORD"/>
    <s v="ETHYLBENZENE"/>
    <s v="100414"/>
    <m/>
    <x v="1"/>
    <n v="1E-4"/>
    <s v="1.1"/>
    <n v="1.8211920529801327E-2"/>
    <x v="10"/>
    <s v="TRI"/>
  </r>
  <r>
    <s v="110000332220"/>
    <s v="AMER REF GROUP/BRADFORD"/>
    <s v="LEAD AND LEAD COMPOUNDS"/>
    <s v="7439921"/>
    <m/>
    <x v="1"/>
    <n v="1E-4"/>
    <s v="2.22"/>
    <n v="3.6754966887417223E-2"/>
    <x v="11"/>
    <s v="TRI"/>
  </r>
  <r>
    <s v="110000332220"/>
    <s v="AMER REF GROUP/BRADFORD"/>
    <s v="MERCURY AND MERCURY COMPOUNDS"/>
    <s v="N458"/>
    <m/>
    <x v="1"/>
    <n v="1E-4"/>
    <s v="0.07"/>
    <n v="1.1589403973509935E-3"/>
    <x v="12"/>
    <s v="TRI"/>
  </r>
  <r>
    <s v="110000332220"/>
    <s v="AMER REF GROUP/BRADFORD"/>
    <s v="Nitrogen, ammonia total (as N)"/>
    <s v="7664417"/>
    <n v="2414.9582766399999"/>
    <x v="1"/>
    <n v="1E-4"/>
    <s v=""/>
    <n v="6.6163240455890406E-4"/>
    <x v="16"/>
    <s v="DMR"/>
  </r>
  <r>
    <s v="110000332220"/>
    <s v="AMER REF GROUP/BRADFORD"/>
    <s v="N-METHYL-2-PYRROLIDONE"/>
    <s v="872504"/>
    <m/>
    <x v="1"/>
    <n v="1E-4"/>
    <s v="4.51"/>
    <n v="7.4668874172185429E-2"/>
    <x v="27"/>
    <s v="TRI"/>
  </r>
  <r>
    <s v="110000332220"/>
    <s v="AMER REF GROUP/BRADFORD"/>
    <s v="Oil &amp; grease"/>
    <s v=""/>
    <n v="13363.658243384001"/>
    <x v="1"/>
    <n v="1E-4"/>
    <s v=""/>
    <n v="3.6612762310641099E-3"/>
    <x v="28"/>
    <s v="DMR"/>
  </r>
  <r>
    <s v="110000332220"/>
    <s v="AMER REF GROUP/BRADFORD"/>
    <s v="Chemical Oxygen Demand (COD)"/>
    <s v=""/>
    <n v="72272.108843499998"/>
    <x v="1"/>
    <n v="1E-4"/>
    <s v=""/>
    <n v="1.9800577765342466E-2"/>
    <x v="18"/>
    <s v="DMR"/>
  </r>
  <r>
    <s v="110000332220"/>
    <s v="AMER REF GROUP/BRADFORD"/>
    <s v="Solids, total suspended"/>
    <s v=""/>
    <n v="78061.853625789998"/>
    <x v="1"/>
    <n v="1E-4"/>
    <s v=""/>
    <n v="2.1386809212545203E-2"/>
    <x v="22"/>
    <s v="DMR"/>
  </r>
  <r>
    <s v="110000332220"/>
    <s v="AMER REF GROUP/BRADFORD"/>
    <s v="Sulfide, total (as S)"/>
    <s v="18496258"/>
    <n v="29.4739229025"/>
    <x v="1"/>
    <n v="1E-4"/>
    <s v=""/>
    <n v="8.0750473705479459E-6"/>
    <x v="23"/>
    <s v="DMR"/>
  </r>
  <r>
    <s v="110000332220"/>
    <s v="AMER REF GROUP/BRADFORD"/>
    <s v="TOLUENE"/>
    <s v="108883"/>
    <m/>
    <x v="1"/>
    <n v="1E-4"/>
    <s v="1.1"/>
    <n v="1.8211920529801327E-2"/>
    <x v="24"/>
    <s v="TRI"/>
  </r>
  <r>
    <s v="110000332220"/>
    <s v="AMER REF GROUP/BRADFORD"/>
    <s v="ZINC AND ZINC COMPOUNDS"/>
    <s v="7440666"/>
    <m/>
    <x v="1"/>
    <n v="1E-4"/>
    <s v="40.62"/>
    <n v="0.67251655629139073"/>
    <x v="29"/>
    <s v="TRI"/>
  </r>
  <r>
    <s v="110000502901"/>
    <s v="BAYTOWN REFINERY"/>
    <s v="1,2,4-TRIMETHYLBENZENE"/>
    <s v="95636"/>
    <m/>
    <x v="2"/>
    <n v="1.7619956695755924E-6"/>
    <s v="0"/>
    <n v="0"/>
    <x v="0"/>
    <s v="TRI"/>
  </r>
  <r>
    <s v="110000502901"/>
    <s v="BAYTOWN REFINERY"/>
    <s v="1,3-BUTADIENE"/>
    <s v="106990"/>
    <m/>
    <x v="2"/>
    <n v="1.7619956695755924E-6"/>
    <s v="0"/>
    <n v="0"/>
    <x v="30"/>
    <s v="TRI"/>
  </r>
  <r>
    <s v="110000502901"/>
    <s v="BAYTOWN REFINERY"/>
    <s v="ANTHRACENE"/>
    <s v="120127"/>
    <m/>
    <x v="2"/>
    <n v="1.7619956695755924E-6"/>
    <s v="0"/>
    <n v="0"/>
    <x v="31"/>
    <s v="TRI"/>
  </r>
  <r>
    <s v="110000502901"/>
    <s v="BAYTOWN REFINERY"/>
    <s v="BENZENE"/>
    <s v="71432"/>
    <m/>
    <x v="2"/>
    <n v="1.7619956695755924E-6"/>
    <s v="13"/>
    <n v="3.7923747855103805E-3"/>
    <x v="1"/>
    <s v="TRI"/>
  </r>
  <r>
    <s v="110000502901"/>
    <s v="BAYTOWN REFINERY"/>
    <s v="BENZO(G,H,I)PERYLENE"/>
    <s v="191242"/>
    <m/>
    <x v="2"/>
    <n v="1.7619956695755924E-6"/>
    <s v="0"/>
    <n v="0"/>
    <x v="32"/>
    <s v="TRI"/>
  </r>
  <r>
    <s v="110000502901"/>
    <s v="BAYTOWN REFINERY"/>
    <s v="BOD, carbonaceous, 05 day, 20 C"/>
    <s v=""/>
    <n v="398560.54421800002"/>
    <x v="2"/>
    <n v="1.7619956695755924E-6"/>
    <s v=""/>
    <n v="1.9240053506186505E-3"/>
    <x v="33"/>
    <s v="DMR"/>
  </r>
  <r>
    <s v="110000502901"/>
    <s v="BAYTOWN REFINERY"/>
    <s v="CARBON DISULFIDE"/>
    <s v="75150"/>
    <m/>
    <x v="2"/>
    <n v="1.7619956695755924E-6"/>
    <s v="0"/>
    <n v="0"/>
    <x v="34"/>
    <s v="TRI"/>
  </r>
  <r>
    <s v="110000502901"/>
    <s v="BAYTOWN REFINERY"/>
    <s v="Carbon, tot organic (TOC)"/>
    <s v="7440440"/>
    <n v="589956.00907000003"/>
    <x v="2"/>
    <n v="1.7619956695755924E-6"/>
    <s v=""/>
    <n v="2.8479450225244902E-3"/>
    <x v="3"/>
    <s v="DMR"/>
  </r>
  <r>
    <s v="110000502901"/>
    <s v="BAYTOWN REFINERY"/>
    <s v="CARBONYL SULFIDE"/>
    <s v="463581"/>
    <m/>
    <x v="2"/>
    <n v="1.7619956695755924E-6"/>
    <s v="0"/>
    <n v="0"/>
    <x v="35"/>
    <s v="TRI"/>
  </r>
  <r>
    <s v="110000502901"/>
    <s v="BAYTOWN REFINERY"/>
    <s v="Chromium, hexavalent (as Cr)"/>
    <s v="18540299"/>
    <n v="0"/>
    <x v="2"/>
    <n v="1.7619956695755924E-6"/>
    <s v=""/>
    <n v="0"/>
    <x v="4"/>
    <s v="DMR"/>
  </r>
  <r>
    <s v="110000502901"/>
    <s v="BAYTOWN REFINERY"/>
    <s v="Chromium, total (as Cr)"/>
    <s v="7440473"/>
    <n v="101.587301587"/>
    <x v="2"/>
    <n v="1.7619956695755924E-6"/>
    <s v=""/>
    <n v="4.9040105611003754E-7"/>
    <x v="5"/>
    <s v="DMR"/>
  </r>
  <r>
    <s v="110000502901"/>
    <s v="BAYTOWN REFINERY"/>
    <s v="CUMENE"/>
    <s v="98828"/>
    <m/>
    <x v="2"/>
    <n v="1.7619956695755924E-6"/>
    <s v="2"/>
    <n v="5.8344227469390476E-4"/>
    <x v="6"/>
    <s v="TRI"/>
  </r>
  <r>
    <s v="110000502901"/>
    <s v="BAYTOWN REFINERY"/>
    <s v="CYANIDE COMPOUNDS"/>
    <s v="N106"/>
    <m/>
    <x v="2"/>
    <n v="1.7619956695755924E-6"/>
    <s v="246"/>
    <n v="7.1763399787350288E-2"/>
    <x v="7"/>
    <s v="TRI"/>
  </r>
  <r>
    <s v="110000502901"/>
    <s v="BAYTOWN REFINERY"/>
    <s v="CYCLOHEXANE"/>
    <s v="110827"/>
    <m/>
    <x v="2"/>
    <n v="1.7619956695755924E-6"/>
    <s v="0"/>
    <n v="0"/>
    <x v="8"/>
    <s v="TRI"/>
  </r>
  <r>
    <s v="110000502901"/>
    <s v="BAYTOWN REFINERY"/>
    <s v="DICYCLOPENTADIENE"/>
    <s v="77736"/>
    <m/>
    <x v="2"/>
    <n v="1.7619956695755924E-6"/>
    <s v="0"/>
    <n v="0"/>
    <x v="36"/>
    <s v="TRI"/>
  </r>
  <r>
    <s v="110000502901"/>
    <s v="BAYTOWN REFINERY"/>
    <s v="DIOXIN AND DIOXIN-LIKE COMPOUNDS"/>
    <s v="N150"/>
    <m/>
    <x v="2"/>
    <n v="1.7619956695755924E-6"/>
    <s v="0"/>
    <n v="0"/>
    <x v="37"/>
    <s v="TRI"/>
  </r>
  <r>
    <s v="110000502901"/>
    <s v="BAYTOWN REFINERY"/>
    <s v="ETHYLBENZENE"/>
    <s v="100414"/>
    <m/>
    <x v="2"/>
    <n v="1.7619956695755924E-6"/>
    <s v="33"/>
    <n v="9.6267975324494277E-3"/>
    <x v="10"/>
    <s v="TRI"/>
  </r>
  <r>
    <s v="110000502901"/>
    <s v="BAYTOWN REFINERY"/>
    <s v="ETHYLENE"/>
    <s v="74851"/>
    <m/>
    <x v="2"/>
    <n v="1.7619956695755924E-6"/>
    <s v="0"/>
    <n v="0"/>
    <x v="38"/>
    <s v="TRI"/>
  </r>
  <r>
    <s v="110000502901"/>
    <s v="BAYTOWN REFINERY"/>
    <s v="ETHYLENE GLYCOL"/>
    <s v="107211"/>
    <m/>
    <x v="2"/>
    <n v="1.7619956695755924E-6"/>
    <s v="0"/>
    <n v="0"/>
    <x v="39"/>
    <s v="TRI"/>
  </r>
  <r>
    <s v="110000502901"/>
    <s v="BAYTOWN REFINERY"/>
    <s v="FORMALDEHYDE"/>
    <s v="50000"/>
    <m/>
    <x v="2"/>
    <n v="1.7619956695755924E-6"/>
    <s v="0"/>
    <n v="0"/>
    <x v="40"/>
    <s v="TRI"/>
  </r>
  <r>
    <s v="110000502901"/>
    <s v="BAYTOWN REFINERY"/>
    <s v="HYDROGEN CYANIDE"/>
    <s v="74908"/>
    <m/>
    <x v="2"/>
    <n v="1.7619956695755924E-6"/>
    <s v="0"/>
    <n v="0"/>
    <x v="41"/>
    <s v="TRI"/>
  </r>
  <r>
    <s v="110000502901"/>
    <s v="BAYTOWN REFINERY"/>
    <s v="LEAD AND LEAD COMPOUNDS"/>
    <s v="7439921"/>
    <m/>
    <x v="2"/>
    <n v="1.7619956695755924E-6"/>
    <s v="123"/>
    <n v="3.5881699893675144E-2"/>
    <x v="11"/>
    <s v="TRI"/>
  </r>
  <r>
    <s v="110000502901"/>
    <s v="BAYTOWN REFINERY"/>
    <s v="MERCURY AND MERCURY COMPOUNDS"/>
    <s v="N458"/>
    <m/>
    <x v="2"/>
    <n v="1.7619956695755924E-6"/>
    <s v="49"/>
    <n v="1.4294335730000664E-2"/>
    <x v="12"/>
    <s v="TRI"/>
  </r>
  <r>
    <s v="110000502901"/>
    <s v="BAYTOWN REFINERY"/>
    <s v="METHANOL"/>
    <s v="67561"/>
    <m/>
    <x v="2"/>
    <n v="1.7619956695755924E-6"/>
    <s v="5408"/>
    <n v="1.5776279107723183"/>
    <x v="42"/>
    <s v="TRI"/>
  </r>
  <r>
    <s v="110000502901"/>
    <s v="BAYTOWN REFINERY"/>
    <s v="METHYL ISOBUTYL KETONE"/>
    <s v="108101"/>
    <m/>
    <x v="2"/>
    <n v="1.7619956695755924E-6"/>
    <s v="76"/>
    <n v="2.2170806438368381E-2"/>
    <x v="43"/>
    <s v="TRI"/>
  </r>
  <r>
    <s v="110000502901"/>
    <s v="BAYTOWN REFINERY"/>
    <s v="MOLYBDENUM TRIOXIDE"/>
    <s v="1313275"/>
    <m/>
    <x v="2"/>
    <n v="1.7619956695755924E-6"/>
    <s v="0"/>
    <n v="0"/>
    <x v="44"/>
    <s v="TRI"/>
  </r>
  <r>
    <s v="110000502901"/>
    <s v="BAYTOWN REFINERY"/>
    <s v="NAPHTHALENE"/>
    <s v="91203"/>
    <m/>
    <x v="2"/>
    <n v="1.7619956695755924E-6"/>
    <s v="19"/>
    <n v="5.5427016095920953E-3"/>
    <x v="13"/>
    <s v="TRI"/>
  </r>
  <r>
    <s v="110000502901"/>
    <s v="BAYTOWN REFINERY"/>
    <s v="N-HEXANE"/>
    <s v="110543"/>
    <m/>
    <x v="2"/>
    <n v="1.7619956695755924E-6"/>
    <s v="0"/>
    <n v="0"/>
    <x v="14"/>
    <s v="TRI"/>
  </r>
  <r>
    <s v="110000502901"/>
    <s v="BAYTOWN REFINERY"/>
    <s v="NICKEL AND NICKEL COMPOUNDS"/>
    <s v="N495"/>
    <m/>
    <x v="2"/>
    <n v="1.7619956695755924E-6"/>
    <s v="1228"/>
    <n v="0.35823355666205753"/>
    <x v="45"/>
    <s v="TRI"/>
  </r>
  <r>
    <s v="110000502901"/>
    <s v="BAYTOWN REFINERY"/>
    <s v="Nitrogen, ammonia total (as N)"/>
    <s v="7664417"/>
    <n v="154307.48299300001"/>
    <x v="2"/>
    <n v="1.7619956695755924E-6"/>
    <s v=""/>
    <n v="7.4490168990897377E-4"/>
    <x v="16"/>
    <s v="DMR"/>
  </r>
  <r>
    <s v="110000502901"/>
    <s v="BAYTOWN REFINERY"/>
    <s v="Nitrogen, nitrate total (as N)"/>
    <s v="14797558"/>
    <n v="0"/>
    <x v="2"/>
    <n v="1.7619956695755924E-6"/>
    <s v=""/>
    <n v="0"/>
    <x v="15"/>
    <s v="DMR"/>
  </r>
  <r>
    <s v="110000502901"/>
    <s v="BAYTOWN REFINERY"/>
    <s v="Oil &amp; grease"/>
    <s v=""/>
    <n v="2741.4965986399998"/>
    <x v="2"/>
    <n v="1.7619956695755924E-6"/>
    <s v=""/>
    <n v="1.3234260643725741E-5"/>
    <x v="28"/>
    <s v="DMR"/>
  </r>
  <r>
    <s v="110000502901"/>
    <s v="BAYTOWN REFINERY"/>
    <s v="PHENANTHRENE"/>
    <s v="85018"/>
    <m/>
    <x v="2"/>
    <n v="1.7619956695755924E-6"/>
    <s v="0"/>
    <n v="0"/>
    <x v="46"/>
    <s v="TRI"/>
  </r>
  <r>
    <s v="110000502901"/>
    <s v="BAYTOWN REFINERY"/>
    <s v="PHENOL"/>
    <s v="108952"/>
    <m/>
    <x v="2"/>
    <n v="1.7619956695755924E-6"/>
    <s v="310"/>
    <n v="9.0433552577555226E-2"/>
    <x v="19"/>
    <s v="TRI"/>
  </r>
  <r>
    <s v="110000502901"/>
    <s v="BAYTOWN REFINERY"/>
    <s v="Phenolic compounds, total"/>
    <s v=""/>
    <n v="320.68027210899999"/>
    <x v="2"/>
    <n v="1.7619956695755924E-6"/>
    <s v=""/>
    <n v="1.5480472623955633E-6"/>
    <x v="47"/>
    <s v="DMR"/>
  </r>
  <r>
    <s v="110000502901"/>
    <s v="BAYTOWN REFINERY"/>
    <s v="POLYCYCLIC AROMATIC COMPOUNDS"/>
    <s v="N590"/>
    <m/>
    <x v="2"/>
    <n v="1.7619956695755924E-6"/>
    <s v="0"/>
    <n v="0"/>
    <x v="21"/>
    <s v="TRI"/>
  </r>
  <r>
    <s v="110000502901"/>
    <s v="BAYTOWN REFINERY"/>
    <s v="Solids, total suspended"/>
    <s v=""/>
    <n v="2145169.1609999998"/>
    <x v="2"/>
    <n v="1.7619956695755924E-6"/>
    <s v=""/>
    <n v="1.0355558279970156E-2"/>
    <x v="22"/>
    <s v="DMR"/>
  </r>
  <r>
    <s v="110000502901"/>
    <s v="BAYTOWN REFINERY"/>
    <s v="STYRENE"/>
    <s v="100425"/>
    <m/>
    <x v="2"/>
    <n v="1.7619956695755924E-6"/>
    <s v="0"/>
    <n v="0"/>
    <x v="48"/>
    <s v="TRI"/>
  </r>
  <r>
    <s v="110000502901"/>
    <s v="BAYTOWN REFINERY"/>
    <s v="Sulfide, total (as S)"/>
    <s v="18496258"/>
    <n v="0"/>
    <x v="2"/>
    <n v="1.7619956695755924E-6"/>
    <s v=""/>
    <n v="0"/>
    <x v="23"/>
    <s v="DMR"/>
  </r>
  <r>
    <s v="110000502901"/>
    <s v="BAYTOWN REFINERY"/>
    <s v="TERT-BUTYL ALCOHOL"/>
    <s v="75650"/>
    <m/>
    <x v="2"/>
    <n v="1.7619956695755924E-6"/>
    <s v="0"/>
    <n v="0"/>
    <x v="49"/>
    <s v="TRI"/>
  </r>
  <r>
    <s v="110000502901"/>
    <s v="BAYTOWN REFINERY"/>
    <s v="TETRACHLOROETHYLENE"/>
    <s v="127184"/>
    <m/>
    <x v="2"/>
    <n v="1.7619956695755924E-6"/>
    <s v="0"/>
    <n v="0"/>
    <x v="50"/>
    <s v="TRI"/>
  </r>
  <r>
    <s v="110000502901"/>
    <s v="BAYTOWN REFINERY"/>
    <s v="TOLUENE"/>
    <s v="108883"/>
    <m/>
    <x v="2"/>
    <n v="1.7619956695755924E-6"/>
    <s v="96"/>
    <n v="2.8005229185307429E-2"/>
    <x v="24"/>
    <s v="TRI"/>
  </r>
  <r>
    <s v="110000502901"/>
    <s v="BAYTOWN REFINERY"/>
    <s v="TRICHLOROETHYLENE"/>
    <s v="79016"/>
    <m/>
    <x v="2"/>
    <n v="1.7619956695755924E-6"/>
    <s v="0"/>
    <n v="0"/>
    <x v="51"/>
    <s v="TRI"/>
  </r>
  <r>
    <s v="110000502901"/>
    <s v="BAYTOWN REFINERY"/>
    <s v="XYLENE (MIXED ISOMERS)"/>
    <s v="1330207"/>
    <m/>
    <x v="2"/>
    <n v="1.7619956695755924E-6"/>
    <s v="95"/>
    <n v="2.7713508047960474E-2"/>
    <x v="25"/>
    <s v="TRI"/>
  </r>
  <r>
    <s v="110000502901"/>
    <s v="BAYTOWN REFINERY"/>
    <s v="ZINC AND ZINC COMPOUNDS"/>
    <s v="7440666"/>
    <m/>
    <x v="2"/>
    <n v="1.7619956695755924E-6"/>
    <s v="2898"/>
    <n v="0.84540785603146795"/>
    <x v="29"/>
    <s v="TRI"/>
  </r>
  <r>
    <s v="110013314323"/>
    <s v="BIG SPRING REFINERY"/>
    <s v="1,2,4-TRIMETHYLBENZENE"/>
    <s v="95636"/>
    <m/>
    <x v="0"/>
    <n v="1.4108551039958852E-5"/>
    <s v="2.0022"/>
    <n v="4.6768445185770887E-3"/>
    <x v="0"/>
    <s v="TRI"/>
  </r>
  <r>
    <s v="110013314323"/>
    <s v="BIG SPRING REFINERY"/>
    <s v="BENZENE"/>
    <s v="71432"/>
    <m/>
    <x v="0"/>
    <n v="1.4108551039958852E-5"/>
    <s v="2.0022"/>
    <n v="4.6768445185770887E-3"/>
    <x v="1"/>
    <s v="TRI"/>
  </r>
  <r>
    <s v="110013314323"/>
    <s v="BIG SPRING REFINERY"/>
    <s v="ETHYLBENZENE"/>
    <s v="100414"/>
    <m/>
    <x v="0"/>
    <n v="1.4108551039958852E-5"/>
    <s v="1.9642"/>
    <n v="4.5880821113720481E-3"/>
    <x v="10"/>
    <s v="TRI"/>
  </r>
  <r>
    <s v="110013314323"/>
    <s v="BIG SPRING REFINERY"/>
    <s v="MERCURY AND MERCURY COMPOUNDS"/>
    <s v="N458"/>
    <m/>
    <x v="0"/>
    <n v="1.4108551039958852E-5"/>
    <s v="6.167"/>
    <n v="1.4405204348249377E-2"/>
    <x v="12"/>
    <s v="TRI"/>
  </r>
  <r>
    <s v="110013314323"/>
    <s v="BIG SPRING REFINERY"/>
    <s v="NAPHTHALENE"/>
    <s v="91203"/>
    <m/>
    <x v="0"/>
    <n v="1.4108551039958852E-5"/>
    <s v="13.1624"/>
    <n v="3.0745429173568609E-2"/>
    <x v="13"/>
    <s v="TRI"/>
  </r>
  <r>
    <s v="110013314323"/>
    <s v="BIG SPRING REFINERY"/>
    <s v="TOLUENE"/>
    <s v="108883"/>
    <m/>
    <x v="0"/>
    <n v="1.4108551039958852E-5"/>
    <s v="1.9723"/>
    <n v="4.6070025192236491E-3"/>
    <x v="24"/>
    <s v="TRI"/>
  </r>
  <r>
    <s v="110013314323"/>
    <s v="BIG SPRING REFINERY"/>
    <s v="XYLENE (MIXED ISOMERS)"/>
    <s v="1330207"/>
    <m/>
    <x v="0"/>
    <n v="1.4108551039958852E-5"/>
    <s v="3.9338"/>
    <n v="9.1887778279784987E-3"/>
    <x v="25"/>
    <s v="TRI"/>
  </r>
  <r>
    <s v="110000428403"/>
    <s v="BILLINGS REFINERY"/>
    <s v="1,2,4-TRIMETHYLBENZENE"/>
    <s v="95636"/>
    <m/>
    <x v="3"/>
    <n v="1.7241379310344828E-5"/>
    <s v="0"/>
    <n v="0"/>
    <x v="0"/>
    <s v="TRI"/>
  </r>
  <r>
    <s v="110000428403"/>
    <s v="BILLINGS REFINERY"/>
    <s v="ANTHRACENE"/>
    <s v="120127"/>
    <m/>
    <x v="3"/>
    <n v="1.7241379310344828E-5"/>
    <s v="0"/>
    <n v="0"/>
    <x v="31"/>
    <s v="TRI"/>
  </r>
  <r>
    <s v="110000428403"/>
    <s v="BILLINGS REFINERY"/>
    <s v="BENZENE"/>
    <s v="71432"/>
    <m/>
    <x v="3"/>
    <n v="1.7241379310344828E-5"/>
    <s v="0.7"/>
    <n v="1.998173098881023E-3"/>
    <x v="1"/>
    <s v="TRI"/>
  </r>
  <r>
    <s v="110000428403"/>
    <s v="BILLINGS REFINERY"/>
    <s v="BENZO(G,H,I)PERYLENE"/>
    <s v="191242"/>
    <m/>
    <x v="3"/>
    <n v="1.7241379310344828E-5"/>
    <s v="0"/>
    <n v="0"/>
    <x v="32"/>
    <s v="TRI"/>
  </r>
  <r>
    <s v="110000428403"/>
    <s v="BILLINGS REFINERY"/>
    <s v="BIPHENYL"/>
    <s v="92524"/>
    <m/>
    <x v="3"/>
    <n v="1.7241379310344828E-5"/>
    <s v="0"/>
    <n v="0"/>
    <x v="52"/>
    <s v="TRI"/>
  </r>
  <r>
    <s v="110000428403"/>
    <s v="BILLINGS REFINERY"/>
    <s v="BOD, 5-day, 20 deg. C"/>
    <s v=""/>
    <n v="1292.2448979599999"/>
    <x v="3"/>
    <n v="1.7241379310344828E-5"/>
    <s v=""/>
    <n v="6.1041327253660843E-5"/>
    <x v="2"/>
    <s v="DMR"/>
  </r>
  <r>
    <s v="110000428403"/>
    <s v="BILLINGS REFINERY"/>
    <s v="Chlorine, total residual"/>
    <s v="7782505"/>
    <n v="0"/>
    <x v="3"/>
    <n v="1.7241379310344828E-5"/>
    <s v=""/>
    <n v="0"/>
    <x v="53"/>
    <s v="DMR"/>
  </r>
  <r>
    <s v="110000428403"/>
    <s v="BILLINGS REFINERY"/>
    <s v="Chromium, hexavalent (as Cr)"/>
    <s v="18540299"/>
    <n v="1.37868480726"/>
    <x v="3"/>
    <n v="1.7241379310344828E-5"/>
    <s v=""/>
    <n v="6.5124459483230992E-8"/>
    <x v="4"/>
    <s v="DMR"/>
  </r>
  <r>
    <s v="110000428403"/>
    <s v="BILLINGS REFINERY"/>
    <s v="Chromium, total (as Cr)"/>
    <s v="7440473"/>
    <n v="0.45850340136099998"/>
    <x v="3"/>
    <n v="1.7241379310344828E-5"/>
    <s v=""/>
    <n v="2.1658167282050071E-8"/>
    <x v="5"/>
    <s v="DMR"/>
  </r>
  <r>
    <s v="110000428403"/>
    <s v="BILLINGS REFINERY"/>
    <s v="CUMENE"/>
    <s v="98828"/>
    <m/>
    <x v="3"/>
    <n v="1.7241379310344828E-5"/>
    <s v="0"/>
    <n v="0"/>
    <x v="6"/>
    <s v="TRI"/>
  </r>
  <r>
    <s v="110000428403"/>
    <s v="BILLINGS REFINERY"/>
    <s v="DIOXIN AND DIOXIN-LIKE COMPOUNDS"/>
    <s v="N150"/>
    <m/>
    <x v="3"/>
    <n v="1.7241379310344828E-5"/>
    <s v="0.000274255"/>
    <n v="7.8286994747659271E-7"/>
    <x v="37"/>
    <s v="TRI"/>
  </r>
  <r>
    <s v="110000428403"/>
    <s v="BILLINGS REFINERY"/>
    <s v="ETHYLBENZENE"/>
    <s v="100414"/>
    <m/>
    <x v="3"/>
    <n v="1.7241379310344828E-5"/>
    <s v="6.8"/>
    <n v="1.9410824389129937E-2"/>
    <x v="10"/>
    <s v="TRI"/>
  </r>
  <r>
    <s v="110000428403"/>
    <s v="BILLINGS REFINERY"/>
    <s v="LEAD AND LEAD COMPOUNDS"/>
    <s v="7439921"/>
    <m/>
    <x v="3"/>
    <n v="1.7241379310344828E-5"/>
    <s v="1.4"/>
    <n v="3.9963461977620459E-3"/>
    <x v="11"/>
    <s v="TRI"/>
  </r>
  <r>
    <s v="110000428403"/>
    <s v="BILLINGS REFINERY"/>
    <s v="MERCURY AND MERCURY COMPOUNDS"/>
    <s v="N458"/>
    <m/>
    <x v="3"/>
    <n v="1.7241379310344828E-5"/>
    <s v="0.27"/>
    <n v="7.7072390956839463E-4"/>
    <x v="12"/>
    <s v="TRI"/>
  </r>
  <r>
    <s v="110000428403"/>
    <s v="BILLINGS REFINERY"/>
    <s v="METHANOL"/>
    <s v="67561"/>
    <m/>
    <x v="3"/>
    <n v="1.7241379310344828E-5"/>
    <s v="120"/>
    <n v="0.34254395980817537"/>
    <x v="42"/>
    <s v="TRI"/>
  </r>
  <r>
    <s v="110000428403"/>
    <s v="BILLINGS REFINERY"/>
    <s v="NAPHTHALENE"/>
    <s v="91203"/>
    <m/>
    <x v="3"/>
    <n v="1.7241379310344828E-5"/>
    <s v="0.7"/>
    <n v="1.998173098881023E-3"/>
    <x v="13"/>
    <s v="TRI"/>
  </r>
  <r>
    <s v="110000428403"/>
    <s v="BILLINGS REFINERY"/>
    <s v="N-HEXANE"/>
    <s v="110543"/>
    <m/>
    <x v="3"/>
    <n v="1.7241379310344828E-5"/>
    <s v="0"/>
    <n v="0"/>
    <x v="14"/>
    <s v="TRI"/>
  </r>
  <r>
    <s v="110000428403"/>
    <s v="BILLINGS REFINERY"/>
    <s v="NITRATE COMPOUNDS"/>
    <s v="14797558"/>
    <m/>
    <x v="3"/>
    <n v="1.7241379310344828E-5"/>
    <s v="83000"/>
    <n v="236.92623886732133"/>
    <x v="15"/>
    <s v="TRI"/>
  </r>
  <r>
    <s v="110000428403"/>
    <s v="BILLINGS REFINERY"/>
    <s v="Nitrogen, ammonia total (as N)"/>
    <s v="7664417"/>
    <n v="1199.0476190506001"/>
    <x v="3"/>
    <n v="1.7241379310344828E-5"/>
    <s v=""/>
    <n v="5.6638999482786976E-5"/>
    <x v="16"/>
    <s v="DMR"/>
  </r>
  <r>
    <s v="110000428403"/>
    <s v="BILLINGS REFINERY"/>
    <s v="Oil and grease"/>
    <s v=""/>
    <n v="1307.7932000000001"/>
    <x v="3"/>
    <n v="1.7241379310344828E-5"/>
    <s v=""/>
    <n v="6.177577704298536E-5"/>
    <x v="17"/>
    <s v="DMR"/>
  </r>
  <r>
    <s v="110000428403"/>
    <s v="BILLINGS REFINERY"/>
    <s v="Chemical Oxygen Demand (COD)"/>
    <s v=""/>
    <n v="58912.290249400001"/>
    <x v="3"/>
    <n v="1.7241379310344828E-5"/>
    <s v=""/>
    <n v="2.7828195677562593E-3"/>
    <x v="18"/>
    <s v="DMR"/>
  </r>
  <r>
    <s v="110000428403"/>
    <s v="BILLINGS REFINERY"/>
    <s v="PHENANTHRENE"/>
    <s v="85018"/>
    <m/>
    <x v="3"/>
    <n v="1.7241379310344828E-5"/>
    <s v="0"/>
    <n v="0"/>
    <x v="46"/>
    <s v="TRI"/>
  </r>
  <r>
    <s v="110000428403"/>
    <s v="BILLINGS REFINERY"/>
    <s v="PHENOL"/>
    <s v="108952"/>
    <m/>
    <x v="3"/>
    <n v="1.7241379310344828E-5"/>
    <s v="76"/>
    <n v="0.21694450787851108"/>
    <x v="19"/>
    <s v="TRI"/>
  </r>
  <r>
    <s v="110000428403"/>
    <s v="BILLINGS REFINERY"/>
    <s v="Phenolics, total recoverable"/>
    <s v=""/>
    <n v="17.010430839045"/>
    <x v="3"/>
    <n v="1.7241379310344828E-5"/>
    <s v=""/>
    <n v="8.0351586391332075E-7"/>
    <x v="20"/>
    <s v="DMR"/>
  </r>
  <r>
    <s v="110000428403"/>
    <s v="BILLINGS REFINERY"/>
    <s v="POLYCYCLIC AROMATIC COMPOUNDS"/>
    <s v="N590"/>
    <m/>
    <x v="3"/>
    <n v="1.7241379310344828E-5"/>
    <s v="0"/>
    <n v="0"/>
    <x v="21"/>
    <s v="TRI"/>
  </r>
  <r>
    <s v="110000428403"/>
    <s v="BILLINGS REFINERY"/>
    <s v="PROPYLENE"/>
    <s v="115071"/>
    <m/>
    <x v="3"/>
    <n v="1.7241379310344828E-5"/>
    <s v="0"/>
    <n v="0"/>
    <x v="54"/>
    <s v="TRI"/>
  </r>
  <r>
    <s v="110000428403"/>
    <s v="BILLINGS REFINERY"/>
    <s v="Selenium, total (as Se)"/>
    <s v="7782492"/>
    <n v="149.23184602000001"/>
    <x v="3"/>
    <n v="1.7241379310344828E-5"/>
    <s v=""/>
    <n v="7.0492133216816258E-6"/>
    <x v="55"/>
    <s v="DMR"/>
  </r>
  <r>
    <s v="110000428403"/>
    <s v="BILLINGS REFINERY"/>
    <s v="Solids, total suspended"/>
    <s v=""/>
    <n v="4917.0068027200005"/>
    <x v="3"/>
    <n v="1.7241379310344828E-5"/>
    <s v=""/>
    <n v="2.3226295714312711E-4"/>
    <x v="22"/>
    <s v="DMR"/>
  </r>
  <r>
    <s v="110000428403"/>
    <s v="BILLINGS REFINERY"/>
    <s v="STYRENE"/>
    <s v="100425"/>
    <m/>
    <x v="3"/>
    <n v="1.7241379310344828E-5"/>
    <s v="0.7"/>
    <n v="1.998173098881023E-3"/>
    <x v="48"/>
    <s v="TRI"/>
  </r>
  <r>
    <s v="110000428403"/>
    <s v="BILLINGS REFINERY"/>
    <s v="Sulfide, total (as S)"/>
    <s v="18496258"/>
    <n v="13.7868480726"/>
    <x v="3"/>
    <n v="1.7241379310344828E-5"/>
    <s v=""/>
    <n v="6.5124459483230992E-7"/>
    <x v="23"/>
    <s v="DMR"/>
  </r>
  <r>
    <s v="110000428403"/>
    <s v="BILLINGS REFINERY"/>
    <s v="TETRACHLOROETHYLENE"/>
    <s v="127184"/>
    <m/>
    <x v="3"/>
    <n v="1.7241379310344828E-5"/>
    <s v="0"/>
    <n v="0"/>
    <x v="50"/>
    <s v="TRI"/>
  </r>
  <r>
    <s v="110000428403"/>
    <s v="BILLINGS REFINERY"/>
    <s v="TOLUENE"/>
    <s v="108883"/>
    <m/>
    <x v="3"/>
    <n v="1.7241379310344828E-5"/>
    <s v="0.7"/>
    <n v="1.998173098881023E-3"/>
    <x v="24"/>
    <s v="TRI"/>
  </r>
  <r>
    <s v="110000428403"/>
    <s v="BILLINGS REFINERY"/>
    <s v="XYLENE (MIXED ISOMERS)"/>
    <s v="1330207"/>
    <m/>
    <x v="3"/>
    <n v="1.7241379310344828E-5"/>
    <s v="0"/>
    <n v="0"/>
    <x v="25"/>
    <s v="TRI"/>
  </r>
  <r>
    <s v="110008138452"/>
    <s v="BORGER REFINERY"/>
    <s v="Arsenic, total (as As)"/>
    <s v="7440382"/>
    <n v="2.6882584"/>
    <x v="3"/>
    <n v="6.7643737862816414E-6"/>
    <s v=""/>
    <n v="4.9820231922497068E-8"/>
    <x v="26"/>
    <s v="DMR"/>
  </r>
  <r>
    <s v="110008138452"/>
    <s v="BORGER REFINERY"/>
    <s v="Barium, total (as Ba)"/>
    <s v="7440393"/>
    <n v="792.09603400000003"/>
    <x v="3"/>
    <n v="6.7643737862816414E-6"/>
    <s v=""/>
    <n v="1.4679544242759596E-5"/>
    <x v="56"/>
    <s v="DMR"/>
  </r>
  <r>
    <s v="110008138452"/>
    <s v="BORGER REFINERY"/>
    <s v="BOD, 5-day, 20 deg. C"/>
    <s v=""/>
    <n v="20017.6870748"/>
    <x v="3"/>
    <n v="6.7643737862816414E-6"/>
    <s v=""/>
    <n v="3.7097840468703003E-4"/>
    <x v="2"/>
    <s v="DMR"/>
  </r>
  <r>
    <s v="110008138452"/>
    <s v="BORGER REFINERY"/>
    <s v="Carbon, tot organic (TOC)"/>
    <s v="7440440"/>
    <n v="216182.065305"/>
    <x v="3"/>
    <n v="6.7643737862816414E-6"/>
    <s v=""/>
    <n v="4.006400809899638E-3"/>
    <x v="3"/>
    <s v="DMR"/>
  </r>
  <r>
    <s v="110008138452"/>
    <s v="BORGER REFINERY"/>
    <s v="Chromium, hexavalent (as Cr)"/>
    <s v="18540299"/>
    <n v="0"/>
    <x v="3"/>
    <n v="6.7643737862816414E-6"/>
    <s v=""/>
    <n v="0"/>
    <x v="4"/>
    <s v="DMR"/>
  </r>
  <r>
    <s v="110008138452"/>
    <s v="BORGER REFINERY"/>
    <s v="Chromium, total (as Cr)"/>
    <s v="7440473"/>
    <n v="145.77308307300001"/>
    <x v="3"/>
    <n v="6.7643737862816414E-6"/>
    <s v=""/>
    <n v="2.7015441695464586E-6"/>
    <x v="5"/>
    <s v="DMR"/>
  </r>
  <r>
    <s v="110008138452"/>
    <s v="BORGER REFINERY"/>
    <s v="Lead, total (as Pb)"/>
    <s v="7439921"/>
    <n v="32.898432720000002"/>
    <x v="3"/>
    <n v="6.7643737862816414E-6"/>
    <s v=""/>
    <n v="6.0969122164635145E-7"/>
    <x v="57"/>
    <s v="DMR"/>
  </r>
  <r>
    <s v="110008138452"/>
    <s v="BORGER REFINERY"/>
    <s v="Nitrogen, ammonia total (as N)"/>
    <s v="7664417"/>
    <n v="3584.33106576"/>
    <x v="3"/>
    <n v="6.7643737862816414E-6"/>
    <s v=""/>
    <n v="6.6426726308443514E-5"/>
    <x v="16"/>
    <s v="DMR"/>
  </r>
  <r>
    <s v="110008138452"/>
    <s v="BORGER REFINERY"/>
    <s v="Oil &amp; grease"/>
    <s v=""/>
    <n v="46329.347224880003"/>
    <x v="3"/>
    <n v="6.7643737862816414E-6"/>
    <s v=""/>
    <n v="8.5860006000963946E-4"/>
    <x v="28"/>
    <s v="DMR"/>
  </r>
  <r>
    <s v="110008138452"/>
    <s v="BORGER REFINERY"/>
    <s v="Chemical Oxygen Demand (COD)"/>
    <s v=""/>
    <n v="169526.984127"/>
    <x v="3"/>
    <n v="6.7643737862816414E-6"/>
    <s v=""/>
    <n v="3.1417640753316788E-3"/>
    <x v="18"/>
    <s v="DMR"/>
  </r>
  <r>
    <s v="110008138452"/>
    <s v="BORGER REFINERY"/>
    <s v="Phenolics, total recoverable"/>
    <s v=""/>
    <n v="48.770975056700003"/>
    <x v="3"/>
    <n v="6.7643737862816414E-6"/>
    <s v=""/>
    <n v="9.0384960330119811E-7"/>
    <x v="20"/>
    <s v="DMR"/>
  </r>
  <r>
    <s v="110008138452"/>
    <s v="BORGER REFINERY"/>
    <s v="Selenium, total (as Se)"/>
    <s v="7782492"/>
    <n v="75.637188208599994"/>
    <x v="3"/>
    <n v="6.7643737862816414E-6"/>
    <s v=""/>
    <n v="1.4017485292775471E-6"/>
    <x v="55"/>
    <s v="DMR"/>
  </r>
  <r>
    <s v="110008138452"/>
    <s v="BORGER REFINERY"/>
    <s v="Silver, total (as Ag)"/>
    <s v="7440224"/>
    <n v="0"/>
    <x v="3"/>
    <n v="6.7643737862816414E-6"/>
    <s v=""/>
    <n v="0"/>
    <x v="58"/>
    <s v="DMR"/>
  </r>
  <r>
    <s v="110008138452"/>
    <s v="BORGER REFINERY"/>
    <s v="Solids, total suspended"/>
    <s v=""/>
    <n v="7564.6258503400004"/>
    <x v="3"/>
    <n v="6.7643737862816414E-6"/>
    <s v=""/>
    <n v="1.4019166247963938E-4"/>
    <x v="22"/>
    <s v="DMR"/>
  </r>
  <r>
    <s v="110008138452"/>
    <s v="BORGER REFINERY"/>
    <s v="Sulfide, total (as S)"/>
    <s v="18496258"/>
    <n v="174.66695849460001"/>
    <x v="3"/>
    <n v="6.7643737862816414E-6"/>
    <s v=""/>
    <n v="3.2370208092340162E-6"/>
    <x v="23"/>
    <s v="DMR"/>
  </r>
  <r>
    <s v="110000490157"/>
    <s v="BP CHERRY POINT REFINERY"/>
    <s v="1,2,4-TRIMETHYLBENZENE"/>
    <s v="95636"/>
    <m/>
    <x v="2"/>
    <n v="4.4984255510571299E-6"/>
    <s v="4"/>
    <n v="2.9790897689120069E-3"/>
    <x v="0"/>
    <s v="TRI"/>
  </r>
  <r>
    <s v="110000490157"/>
    <s v="BP CHERRY POINT REFINERY"/>
    <s v="AMMONIA"/>
    <s v="7664417"/>
    <m/>
    <x v="2"/>
    <n v="4.4984255510571299E-6"/>
    <s v="967"/>
    <n v="0.72019495163447755"/>
    <x v="16"/>
    <s v="TRI"/>
  </r>
  <r>
    <s v="110000490157"/>
    <s v="BP CHERRY POINT REFINERY"/>
    <s v="BENZENE"/>
    <s v="71432"/>
    <m/>
    <x v="2"/>
    <n v="4.4984255510571299E-6"/>
    <s v="4"/>
    <n v="2.9790897689120069E-3"/>
    <x v="1"/>
    <s v="TRI"/>
  </r>
  <r>
    <s v="110000490157"/>
    <s v="BP CHERRY POINT REFINERY"/>
    <s v="BENZO(G,H,I)PERYLENE"/>
    <s v="191242"/>
    <m/>
    <x v="2"/>
    <n v="4.4984255510571299E-6"/>
    <s v="0"/>
    <n v="0"/>
    <x v="32"/>
    <s v="TRI"/>
  </r>
  <r>
    <s v="110000490157"/>
    <s v="BP CHERRY POINT REFINERY"/>
    <s v="CHROMIUM AND CHROMIUM COMPOUNDS"/>
    <s v="N090"/>
    <m/>
    <x v="2"/>
    <n v="4.4984255510571299E-6"/>
    <s v="80.3"/>
    <n v="5.9805227110908528E-2"/>
    <x v="59"/>
    <s v="TRI"/>
  </r>
  <r>
    <s v="110000490157"/>
    <s v="BP CHERRY POINT REFINERY"/>
    <s v="COPPER AND COPPER COMPOUNDS"/>
    <s v="7440508"/>
    <m/>
    <x v="2"/>
    <n v="4.4984255510571299E-6"/>
    <s v="24"/>
    <n v="1.7874538613472039E-2"/>
    <x v="60"/>
    <s v="TRI"/>
  </r>
  <r>
    <s v="110000490157"/>
    <s v="BP CHERRY POINT REFINERY"/>
    <s v="CRESOL (MIXED ISOMERS)"/>
    <s v="1319773"/>
    <m/>
    <x v="2"/>
    <n v="4.4984255510571299E-6"/>
    <s v="5"/>
    <n v="3.7238622111400083E-3"/>
    <x v="61"/>
    <s v="TRI"/>
  </r>
  <r>
    <s v="110000490157"/>
    <s v="BP CHERRY POINT REFINERY"/>
    <s v="CUMENE"/>
    <s v="98828"/>
    <m/>
    <x v="2"/>
    <n v="4.4984255510571299E-6"/>
    <s v="1"/>
    <n v="7.4477244222800171E-4"/>
    <x v="6"/>
    <s v="TRI"/>
  </r>
  <r>
    <s v="110000490157"/>
    <s v="BP CHERRY POINT REFINERY"/>
    <s v="CYCLOHEXANE"/>
    <s v="110827"/>
    <m/>
    <x v="2"/>
    <n v="4.4984255510571299E-6"/>
    <s v="2"/>
    <n v="1.4895448844560034E-3"/>
    <x v="8"/>
    <s v="TRI"/>
  </r>
  <r>
    <s v="110000490157"/>
    <s v="BP CHERRY POINT REFINERY"/>
    <s v="DIOXIN AND DIOXIN-LIKE COMPOUNDS"/>
    <s v="N150"/>
    <m/>
    <x v="2"/>
    <n v="4.4984255510571299E-6"/>
    <s v="0"/>
    <n v="0"/>
    <x v="37"/>
    <s v="TRI"/>
  </r>
  <r>
    <s v="110000490157"/>
    <s v="BP CHERRY POINT REFINERY"/>
    <s v="ETHYLBENZENE"/>
    <s v="100414"/>
    <m/>
    <x v="2"/>
    <n v="4.4984255510571299E-6"/>
    <s v="1.2"/>
    <n v="8.9372693067360195E-4"/>
    <x v="10"/>
    <s v="TRI"/>
  </r>
  <r>
    <s v="110000490157"/>
    <s v="BP CHERRY POINT REFINERY"/>
    <s v="LEAD AND LEAD COMPOUNDS"/>
    <s v="7439921"/>
    <m/>
    <x v="2"/>
    <n v="4.4984255510571299E-6"/>
    <s v="33"/>
    <n v="2.4577490593524053E-2"/>
    <x v="11"/>
    <s v="TRI"/>
  </r>
  <r>
    <s v="110000490157"/>
    <s v="BP CHERRY POINT REFINERY"/>
    <s v="MANGANESE AND MANGANESE COMPOUNDS"/>
    <s v="7439965"/>
    <m/>
    <x v="2"/>
    <n v="4.4984255510571299E-6"/>
    <s v="1128"/>
    <n v="0.84010331483318579"/>
    <x v="62"/>
    <s v="TRI"/>
  </r>
  <r>
    <s v="110000490157"/>
    <s v="BP CHERRY POINT REFINERY"/>
    <s v="MERCURY AND MERCURY COMPOUNDS"/>
    <s v="N458"/>
    <m/>
    <x v="2"/>
    <n v="4.4984255510571299E-6"/>
    <s v="8"/>
    <n v="5.9581795378240137E-3"/>
    <x v="12"/>
    <s v="TRI"/>
  </r>
  <r>
    <s v="110000490157"/>
    <s v="BP CHERRY POINT REFINERY"/>
    <s v="METHANOL"/>
    <s v="67561"/>
    <m/>
    <x v="2"/>
    <n v="4.4984255510571299E-6"/>
    <s v="32"/>
    <n v="2.3832718151296055E-2"/>
    <x v="42"/>
    <s v="TRI"/>
  </r>
  <r>
    <s v="110000490157"/>
    <s v="BP CHERRY POINT REFINERY"/>
    <s v="NAPHTHALENE"/>
    <s v="91203"/>
    <m/>
    <x v="2"/>
    <n v="4.4984255510571299E-6"/>
    <s v="8"/>
    <n v="5.9581795378240137E-3"/>
    <x v="13"/>
    <s v="TRI"/>
  </r>
  <r>
    <s v="110000490157"/>
    <s v="BP CHERRY POINT REFINERY"/>
    <s v="N-HEXANE"/>
    <s v="110543"/>
    <m/>
    <x v="2"/>
    <n v="4.4984255510571299E-6"/>
    <s v="15"/>
    <n v="1.1171586633420024E-2"/>
    <x v="14"/>
    <s v="TRI"/>
  </r>
  <r>
    <s v="110000490157"/>
    <s v="BP CHERRY POINT REFINERY"/>
    <s v="NICKEL AND NICKEL COMPOUNDS"/>
    <s v="N495"/>
    <m/>
    <x v="2"/>
    <n v="4.4984255510571299E-6"/>
    <s v="433.6"/>
    <n v="0.32293333095006155"/>
    <x v="45"/>
    <s v="TRI"/>
  </r>
  <r>
    <s v="110000490157"/>
    <s v="BP CHERRY POINT REFINERY"/>
    <s v="NITRATE COMPOUNDS"/>
    <s v="14797558"/>
    <m/>
    <x v="2"/>
    <n v="4.4984255510571299E-6"/>
    <s v="29391"/>
    <n v="21.889606849523197"/>
    <x v="15"/>
    <s v="TRI"/>
  </r>
  <r>
    <s v="110000490157"/>
    <s v="BP CHERRY POINT REFINERY"/>
    <s v="PHENANTHRENE"/>
    <s v="85018"/>
    <m/>
    <x v="2"/>
    <n v="4.4984255510571299E-6"/>
    <s v="0"/>
    <n v="0"/>
    <x v="46"/>
    <s v="TRI"/>
  </r>
  <r>
    <s v="110000490157"/>
    <s v="BP CHERRY POINT REFINERY"/>
    <s v="PHENOL"/>
    <s v="108952"/>
    <m/>
    <x v="2"/>
    <n v="4.4984255510571299E-6"/>
    <s v="402"/>
    <n v="0.29939852177565668"/>
    <x v="19"/>
    <s v="TRI"/>
  </r>
  <r>
    <s v="110000490157"/>
    <s v="BP CHERRY POINT REFINERY"/>
    <s v="POLYCYCLIC AROMATIC COMPOUNDS"/>
    <s v="N590"/>
    <m/>
    <x v="2"/>
    <n v="4.4984255510571299E-6"/>
    <s v="0"/>
    <n v="0"/>
    <x v="21"/>
    <s v="TRI"/>
  </r>
  <r>
    <s v="110000490157"/>
    <s v="BP CHERRY POINT REFINERY"/>
    <s v="TOLUENE"/>
    <s v="108883"/>
    <m/>
    <x v="2"/>
    <n v="4.4984255510571299E-6"/>
    <s v="14"/>
    <n v="1.0426814191192024E-2"/>
    <x v="24"/>
    <s v="TRI"/>
  </r>
  <r>
    <s v="110000490157"/>
    <s v="BP CHERRY POINT REFINERY"/>
    <s v="XYLENE (MIXED ISOMERS)"/>
    <s v="1330207"/>
    <m/>
    <x v="2"/>
    <n v="4.4984255510571299E-6"/>
    <s v="0"/>
    <n v="0"/>
    <x v="25"/>
    <s v="TRI"/>
  </r>
  <r>
    <s v="110000398338"/>
    <s v="BP PRODUCTS NORTH AMERICA INC, WHITING R"/>
    <s v="BOD, 5-day, 20 deg. C"/>
    <s v=""/>
    <n v="112431.29251699999"/>
    <x v="3"/>
    <n v="2.5990903183885641E-6"/>
    <s v=""/>
    <n v="8.0060022976670496E-4"/>
    <x v="2"/>
    <s v="DMR"/>
  </r>
  <r>
    <s v="110000398338"/>
    <s v="BP PRODUCTS NORTH AMERICA INC, WHITING R"/>
    <s v="Carbon, tot organic (TOC)"/>
    <s v="7440440"/>
    <n v="8874.64408"/>
    <x v="3"/>
    <n v="2.5990903183885641E-6"/>
    <s v=""/>
    <n v="6.3194524678006532E-5"/>
    <x v="3"/>
    <s v="DMR"/>
  </r>
  <r>
    <s v="110000398338"/>
    <s v="BP PRODUCTS NORTH AMERICA INC, WHITING R"/>
    <s v="Chemical Oxygen Demand (COD)"/>
    <s v=""/>
    <n v="1139583.2199500001"/>
    <x v="3"/>
    <n v="2.5990903183885641E-6"/>
    <s v=""/>
    <n v="8.1147389423838652E-3"/>
    <x v="18"/>
    <s v="DMR"/>
  </r>
  <r>
    <s v="110000398338"/>
    <s v="BP PRODUCTS NORTH AMERICA INC, WHITING R"/>
    <s v="Chlorine, total residual"/>
    <s v="7782505"/>
    <n v="0"/>
    <x v="3"/>
    <n v="2.5990903183885641E-6"/>
    <s v=""/>
    <n v="0"/>
    <x v="53"/>
    <s v="DMR"/>
  </r>
  <r>
    <s v="110000398338"/>
    <s v="BP PRODUCTS NORTH AMERICA INC, WHITING R"/>
    <s v="Chromium, hexavalent dissolved (as Cr)"/>
    <s v="18540299"/>
    <n v="0"/>
    <x v="3"/>
    <n v="2.5990903183885641E-6"/>
    <s v=""/>
    <n v="0"/>
    <x v="63"/>
    <s v="DMR"/>
  </r>
  <r>
    <s v="110000398338"/>
    <s v="BP PRODUCTS NORTH AMERICA INC, WHITING R"/>
    <s v="Chromium, total (as Cr)"/>
    <s v="7440473"/>
    <n v="0"/>
    <x v="3"/>
    <n v="2.5990903183885641E-6"/>
    <s v=""/>
    <n v="0"/>
    <x v="5"/>
    <s v="DMR"/>
  </r>
  <r>
    <s v="110000398338"/>
    <s v="BP PRODUCTS NORTH AMERICA INC, WHITING R"/>
    <s v="Mercury, total (as Hg)"/>
    <s v="7439976"/>
    <n v="0.21471292517000001"/>
    <x v="3"/>
    <n v="2.5990903183885641E-6"/>
    <s v=""/>
    <n v="1.5289268083348913E-9"/>
    <x v="64"/>
    <s v="DMR"/>
  </r>
  <r>
    <s v="110000398338"/>
    <s v="BP PRODUCTS NORTH AMERICA INC, WHITING R"/>
    <s v="Nitrogen, ammonia total (as N)"/>
    <s v="7664417"/>
    <n v="0"/>
    <x v="3"/>
    <n v="2.5990903183885641E-6"/>
    <s v=""/>
    <n v="0"/>
    <x v="16"/>
    <s v="DMR"/>
  </r>
  <r>
    <s v="110000398338"/>
    <s v="BP PRODUCTS NORTH AMERICA INC, WHITING R"/>
    <s v="Oil and grease, hexane extr method"/>
    <s v=""/>
    <n v="42933.406619099995"/>
    <x v="3"/>
    <n v="2.5990903183885641E-6"/>
    <s v=""/>
    <n v="3.0572000405244463E-4"/>
    <x v="65"/>
    <s v="DMR"/>
  </r>
  <r>
    <s v="110000398338"/>
    <s v="BP PRODUCTS NORTH AMERICA INC, WHITING R"/>
    <s v="Phenolics, total recoverable"/>
    <s v=""/>
    <n v="0"/>
    <x v="3"/>
    <n v="2.5990903183885641E-6"/>
    <s v=""/>
    <n v="0"/>
    <x v="20"/>
    <s v="DMR"/>
  </r>
  <r>
    <s v="110000398338"/>
    <s v="BP PRODUCTS NORTH AMERICA INC, WHITING R"/>
    <s v="Phosphorus, total (as P)"/>
    <s v="7723140"/>
    <n v="4095.95289"/>
    <x v="3"/>
    <n v="2.5990903183885641E-6"/>
    <s v=""/>
    <n v="2.9166442468423725E-5"/>
    <x v="66"/>
    <s v="DMR"/>
  </r>
  <r>
    <s v="110000398338"/>
    <s v="BP PRODUCTS NORTH AMERICA INC, WHITING R"/>
    <s v="Solids, total suspended"/>
    <s v=""/>
    <n v="415775.05668899999"/>
    <x v="3"/>
    <n v="2.5990903183885641E-6"/>
    <s v=""/>
    <n v="2.9606491081310585E-3"/>
    <x v="22"/>
    <s v="DMR"/>
  </r>
  <r>
    <s v="110000398338"/>
    <s v="BP PRODUCTS NORTH AMERICA INC, WHITING R"/>
    <s v="Sulfide, total (as S)"/>
    <s v="18496258"/>
    <n v="203.80952381"/>
    <x v="3"/>
    <n v="2.5990903183885641E-6"/>
    <s v=""/>
    <n v="1.4512859181642591E-6"/>
    <x v="23"/>
    <s v="DMR"/>
  </r>
  <r>
    <s v="110000398338"/>
    <s v="BP PRODUCTS NORTH AMERICA INC, WHITING R"/>
    <s v="Vanadium, total recoverable"/>
    <s v="7440622"/>
    <n v="5295.1020408200002"/>
    <x v="3"/>
    <n v="2.5990903183885641E-6"/>
    <s v=""/>
    <n v="3.7705338216917234E-5"/>
    <x v="67"/>
    <s v="DMR"/>
  </r>
  <r>
    <s v="110000449505"/>
    <s v="Calcasieu Refining Co - Lake Charles Crude Oil Refinery"/>
    <s v="BENZENE"/>
    <s v="71432"/>
    <m/>
    <x v="1"/>
    <n v="2.2339016092743355E-6"/>
    <s v="5"/>
    <n v="1.8492562990681583E-3"/>
    <x v="1"/>
    <s v="TRI"/>
  </r>
  <r>
    <s v="110000449505"/>
    <s v="Calcasieu Refining Co - Lake Charles Crude Oil Refinery"/>
    <s v="BOD, 5-day, 20 deg. C"/>
    <s v=""/>
    <n v="2647.2191539999999"/>
    <x v="1"/>
    <n v="2.2339016092743355E-6"/>
    <s v=""/>
    <n v="1.6201718159513546E-5"/>
    <x v="2"/>
    <s v="DMR"/>
  </r>
  <r>
    <s v="110000449505"/>
    <s v="Calcasieu Refining Co - Lake Charles Crude Oil Refinery"/>
    <s v="Carbon, tot organic (TOC)"/>
    <s v="7440440"/>
    <n v="906.072114478"/>
    <x v="1"/>
    <n v="2.2339016092743355E-6"/>
    <s v=""/>
    <n v="5.5454135743863129E-6"/>
    <x v="3"/>
    <s v="DMR"/>
  </r>
  <r>
    <s v="110000449505"/>
    <s v="Calcasieu Refining Co - Lake Charles Crude Oil Refinery"/>
    <s v="Chromium, hexavalent (as Cr)"/>
    <s v="18540299"/>
    <n v="2.83764172336"/>
    <x v="1"/>
    <n v="2.2339016092743355E-6"/>
    <s v=""/>
    <n v="1.7367157294131241E-8"/>
    <x v="4"/>
    <s v="DMR"/>
  </r>
  <r>
    <s v="110000449505"/>
    <s v="Calcasieu Refining Co - Lake Charles Crude Oil Refinery"/>
    <s v="Chromium, total (as Cr)"/>
    <s v="7440473"/>
    <n v="2.9219954648500002"/>
    <x v="1"/>
    <n v="2.2339016092743355E-6"/>
    <s v=""/>
    <n v="1.7883425674577329E-8"/>
    <x v="5"/>
    <s v="DMR"/>
  </r>
  <r>
    <s v="110000449505"/>
    <s v="Calcasieu Refining Co - Lake Charles Crude Oil Refinery"/>
    <s v="Copper, total (as Cu)"/>
    <s v="7440508"/>
    <n v="5.9013536054999998"/>
    <x v="1"/>
    <n v="2.2339016092743355E-6"/>
    <s v=""/>
    <n v="3.6117926893762606E-8"/>
    <x v="68"/>
    <s v="DMR"/>
  </r>
  <r>
    <s v="110000449505"/>
    <s v="Calcasieu Refining Co - Lake Charles Crude Oil Refinery"/>
    <s v="CYCLOHEXANE"/>
    <s v="110827"/>
    <m/>
    <x v="1"/>
    <n v="2.2339016092743355E-6"/>
    <s v="5"/>
    <n v="1.8492562990681583E-3"/>
    <x v="8"/>
    <s v="TRI"/>
  </r>
  <r>
    <s v="110000449505"/>
    <s v="Calcasieu Refining Co - Lake Charles Crude Oil Refinery"/>
    <s v="ETHYLBENZENE"/>
    <s v="100414"/>
    <m/>
    <x v="1"/>
    <n v="2.2339016092743355E-6"/>
    <s v="5"/>
    <n v="1.8492562990681583E-3"/>
    <x v="10"/>
    <s v="TRI"/>
  </r>
  <r>
    <s v="110000449505"/>
    <s v="Calcasieu Refining Co - Lake Charles Crude Oil Refinery"/>
    <s v="Mercury, total (as Hg)"/>
    <s v="7439976"/>
    <n v="3.183642985E-2"/>
    <x v="1"/>
    <n v="2.2339016092743355E-6"/>
    <s v=""/>
    <n v="1.9484781335743697E-10"/>
    <x v="64"/>
    <s v="DMR"/>
  </r>
  <r>
    <s v="110000449505"/>
    <s v="Calcasieu Refining Co - Lake Charles Crude Oil Refinery"/>
    <s v="NAPHTHALENE"/>
    <s v="91203"/>
    <m/>
    <x v="1"/>
    <n v="2.2339016092743355E-6"/>
    <s v="5"/>
    <n v="1.8492562990681583E-3"/>
    <x v="13"/>
    <s v="TRI"/>
  </r>
  <r>
    <s v="110000449505"/>
    <s v="Calcasieu Refining Co - Lake Charles Crude Oil Refinery"/>
    <s v="N-HEXANE"/>
    <s v="110543"/>
    <m/>
    <x v="1"/>
    <n v="2.2339016092743355E-6"/>
    <s v="5"/>
    <n v="1.8492562990681583E-3"/>
    <x v="14"/>
    <s v="TRI"/>
  </r>
  <r>
    <s v="110000449505"/>
    <s v="Calcasieu Refining Co - Lake Charles Crude Oil Refinery"/>
    <s v="Nitrogen, ammonia total (as N)"/>
    <s v="7664417"/>
    <n v="797.51473922900004"/>
    <x v="1"/>
    <n v="2.2339016092743355E-6"/>
    <s v=""/>
    <n v="4.8810122174894937E-6"/>
    <x v="16"/>
    <s v="DMR"/>
  </r>
  <r>
    <s v="110000449505"/>
    <s v="Calcasieu Refining Co - Lake Charles Crude Oil Refinery"/>
    <s v="Oil and grease"/>
    <s v=""/>
    <n v="1814.4961827499999"/>
    <x v="1"/>
    <n v="2.2339016092743355E-6"/>
    <s v=""/>
    <n v="1.1105221760732503E-5"/>
    <x v="17"/>
    <s v="DMR"/>
  </r>
  <r>
    <s v="110000449505"/>
    <s v="Calcasieu Refining Co - Lake Charles Crude Oil Refinery"/>
    <s v="Chemical Oxygen Demand (COD)"/>
    <s v=""/>
    <n v="42927.8004535"/>
    <x v="1"/>
    <n v="2.2339016092743355E-6"/>
    <s v=""/>
    <n v="2.6273008908405808E-4"/>
    <x v="18"/>
    <s v="DMR"/>
  </r>
  <r>
    <s v="110000449505"/>
    <s v="Calcasieu Refining Co - Lake Charles Crude Oil Refinery"/>
    <s v="Phenolics, total recoverable"/>
    <s v=""/>
    <n v="9.2344671201799997"/>
    <x v="1"/>
    <n v="2.2339016092743355E-6"/>
    <s v=""/>
    <n v="5.6517509480989151E-8"/>
    <x v="20"/>
    <s v="DMR"/>
  </r>
  <r>
    <s v="110000449505"/>
    <s v="Calcasieu Refining Co - Lake Charles Crude Oil Refinery"/>
    <s v="Solids, total suspended"/>
    <s v=""/>
    <n v="5838.2663989399998"/>
    <x v="1"/>
    <n v="2.2339016092743355E-6"/>
    <s v=""/>
    <n v="3.5731815627299573E-5"/>
    <x v="22"/>
    <s v="DMR"/>
  </r>
  <r>
    <s v="110000449505"/>
    <s v="Calcasieu Refining Co - Lake Charles Crude Oil Refinery"/>
    <s v="Sulfide, total (as S)"/>
    <s v="18496258"/>
    <n v="16.110204081599999"/>
    <x v="1"/>
    <n v="2.2339016092743355E-6"/>
    <s v=""/>
    <n v="9.8598933763353984E-8"/>
    <x v="23"/>
    <s v="DMR"/>
  </r>
  <r>
    <s v="110000449505"/>
    <s v="Calcasieu Refining Co - Lake Charles Crude Oil Refinery"/>
    <s v="TOLUENE"/>
    <s v="108883"/>
    <m/>
    <x v="1"/>
    <n v="2.2339016092743355E-6"/>
    <s v="5"/>
    <n v="1.8492562990681583E-3"/>
    <x v="24"/>
    <s v="TRI"/>
  </r>
  <r>
    <s v="110000449505"/>
    <s v="Calcasieu Refining Co - Lake Charles Crude Oil Refinery"/>
    <s v="XYLENE (MIXED ISOMERS)"/>
    <s v="1330207"/>
    <m/>
    <x v="1"/>
    <n v="2.2339016092743355E-6"/>
    <s v="5"/>
    <n v="1.8492562990681583E-3"/>
    <x v="25"/>
    <s v="TRI"/>
  </r>
  <r>
    <s v="110000597471"/>
    <s v="Calumet Lubricants Co - Cotton Valley Refinery"/>
    <s v="1,2,4-TRIMETHYLBENZENE"/>
    <s v="95636"/>
    <m/>
    <x v="1"/>
    <n v="1.0346491664007448E-4"/>
    <s v="0"/>
    <n v="0"/>
    <x v="0"/>
    <s v="TRI"/>
  </r>
  <r>
    <s v="110000597471"/>
    <s v="Calumet Lubricants Co - Cotton Valley Refinery"/>
    <s v="BENZENE"/>
    <s v="71432"/>
    <m/>
    <x v="1"/>
    <n v="1.0346491664007448E-4"/>
    <s v="0"/>
    <n v="0"/>
    <x v="1"/>
    <s v="TRI"/>
  </r>
  <r>
    <s v="110000597471"/>
    <s v="Calumet Lubricants Co - Cotton Valley Refinery"/>
    <s v="BOD, 5-day, 20 deg. C"/>
    <s v=""/>
    <n v="1577.98639456"/>
    <x v="1"/>
    <n v="1.0346491664007448E-4"/>
    <s v=""/>
    <n v="4.4730474184197829E-4"/>
    <x v="2"/>
    <s v="DMR"/>
  </r>
  <r>
    <s v="110000597471"/>
    <s v="Calumet Lubricants Co - Cotton Valley Refinery"/>
    <s v="Carbon, tot organic (TOC)"/>
    <s v="7440440"/>
    <n v="887.31801933999998"/>
    <x v="1"/>
    <n v="1.0346491664007448E-4"/>
    <s v=""/>
    <n v="2.5152406823081942E-4"/>
    <x v="3"/>
    <s v="DMR"/>
  </r>
  <r>
    <s v="110000597471"/>
    <s v="Calumet Lubricants Co - Cotton Valley Refinery"/>
    <s v="CYCLOHEXANE"/>
    <s v="110827"/>
    <m/>
    <x v="1"/>
    <n v="1.0346491664007448E-4"/>
    <s v="0"/>
    <n v="0"/>
    <x v="8"/>
    <s v="TRI"/>
  </r>
  <r>
    <s v="110000597471"/>
    <s v="Calumet Lubricants Co - Cotton Valley Refinery"/>
    <s v="ETHYLBENZENE"/>
    <s v="100414"/>
    <m/>
    <x v="1"/>
    <n v="1.0346491664007448E-4"/>
    <s v="0"/>
    <n v="0"/>
    <x v="10"/>
    <s v="TRI"/>
  </r>
  <r>
    <s v="110000597471"/>
    <s v="Calumet Lubricants Co - Cotton Valley Refinery"/>
    <s v="LEAD AND LEAD COMPOUNDS"/>
    <s v="7439921"/>
    <m/>
    <x v="1"/>
    <n v="1.0346491664007448E-4"/>
    <s v="0.41"/>
    <n v="7.023280765303069E-3"/>
    <x v="11"/>
    <s v="TRI"/>
  </r>
  <r>
    <s v="110000597471"/>
    <s v="Calumet Lubricants Co - Cotton Valley Refinery"/>
    <s v="N-HEXANE"/>
    <s v="110543"/>
    <m/>
    <x v="1"/>
    <n v="1.0346491664007448E-4"/>
    <s v="0"/>
    <n v="0"/>
    <x v="14"/>
    <s v="TRI"/>
  </r>
  <r>
    <s v="110000597471"/>
    <s v="Calumet Lubricants Co - Cotton Valley Refinery"/>
    <s v="NICKEL AND NICKEL COMPOUNDS"/>
    <s v="N495"/>
    <m/>
    <x v="1"/>
    <n v="1.0346491664007448E-4"/>
    <s v="6"/>
    <n v="0.10277971851663029"/>
    <x v="45"/>
    <s v="TRI"/>
  </r>
  <r>
    <s v="110000597471"/>
    <s v="Calumet Lubricants Co - Cotton Valley Refinery"/>
    <s v="Nitrogen, ammonia total (as N)"/>
    <s v="7664417"/>
    <n v="32.338321995500003"/>
    <x v="1"/>
    <n v="1.0346491664007448E-4"/>
    <s v=""/>
    <n v="9.1667994234090265E-6"/>
    <x v="16"/>
    <s v="DMR"/>
  </r>
  <r>
    <s v="110000597471"/>
    <s v="Calumet Lubricants Co - Cotton Valley Refinery"/>
    <s v="Oil and grease"/>
    <s v=""/>
    <n v="33.820158094100002"/>
    <x v="1"/>
    <n v="1.0346491664007448E-4"/>
    <s v=""/>
    <n v="9.5868488711238271E-6"/>
    <x v="17"/>
    <s v="DMR"/>
  </r>
  <r>
    <s v="110000597471"/>
    <s v="Calumet Lubricants Co - Cotton Valley Refinery"/>
    <s v="Chemical Oxygen Demand (COD)"/>
    <s v=""/>
    <n v="4543.3709750600001"/>
    <x v="1"/>
    <n v="1.0346491664007448E-4"/>
    <s v=""/>
    <n v="1.2878890389027859E-3"/>
    <x v="18"/>
    <s v="DMR"/>
  </r>
  <r>
    <s v="110000597471"/>
    <s v="Calumet Lubricants Co - Cotton Valley Refinery"/>
    <s v="Phenolics, total recoverable"/>
    <s v=""/>
    <n v="1.7650793650800001"/>
    <x v="1"/>
    <n v="1.0346491664007448E-4"/>
    <s v=""/>
    <n v="5.0033914896196656E-7"/>
    <x v="20"/>
    <s v="DMR"/>
  </r>
  <r>
    <s v="110000597471"/>
    <s v="Calumet Lubricants Co - Cotton Valley Refinery"/>
    <s v="POLYCYCLIC AROMATIC COMPOUNDS"/>
    <s v="N590"/>
    <m/>
    <x v="1"/>
    <n v="1.0346491664007448E-4"/>
    <s v="0"/>
    <n v="0"/>
    <x v="21"/>
    <s v="TRI"/>
  </r>
  <r>
    <s v="110000597471"/>
    <s v="Calumet Lubricants Co - Cotton Valley Refinery"/>
    <s v="Solids, total suspended"/>
    <s v=""/>
    <n v="4201.1537415000003"/>
    <x v="1"/>
    <n v="1.0346491664007448E-4"/>
    <s v=""/>
    <n v="1.1908822511135194E-3"/>
    <x v="22"/>
    <s v="DMR"/>
  </r>
  <r>
    <s v="110000597471"/>
    <s v="Calumet Lubricants Co - Cotton Valley Refinery"/>
    <s v="Sulfide, total (as S)"/>
    <s v="18496258"/>
    <n v="1.87029478458"/>
    <x v="1"/>
    <n v="1.0346491664007448E-4"/>
    <s v=""/>
    <n v="5.3016409309297468E-7"/>
    <x v="23"/>
    <s v="DMR"/>
  </r>
  <r>
    <s v="110000597471"/>
    <s v="Calumet Lubricants Co - Cotton Valley Refinery"/>
    <s v="TOLUENE"/>
    <s v="108883"/>
    <m/>
    <x v="1"/>
    <n v="1.0346491664007448E-4"/>
    <s v="0"/>
    <n v="0"/>
    <x v="24"/>
    <s v="TRI"/>
  </r>
  <r>
    <s v="110000597471"/>
    <s v="Calumet Lubricants Co - Cotton Valley Refinery"/>
    <s v="XYLENE (MIXED ISOMERS)"/>
    <s v="1330207"/>
    <m/>
    <x v="1"/>
    <n v="1.0346491664007448E-4"/>
    <s v="0"/>
    <n v="0"/>
    <x v="25"/>
    <s v="TRI"/>
  </r>
  <r>
    <s v="110000597471"/>
    <s v="Calumet Lubricants Co - Cotton Valley Refinery"/>
    <s v="ZINC AND ZINC COMPOUNDS"/>
    <s v="7440666"/>
    <m/>
    <x v="1"/>
    <n v="1.0346491664007448E-4"/>
    <s v="5"/>
    <n v="8.5649765430525243E-2"/>
    <x v="29"/>
    <s v="TRI"/>
  </r>
  <r>
    <s v="110000540317"/>
    <s v="Calumet Shreveport Lubricants &amp; Waxes LLC - Shreveport Refinery"/>
    <s v="1,2,4-TRIMETHYLBENZENE"/>
    <s v="95636"/>
    <m/>
    <x v="4"/>
    <n v="2.8083334516591648E-5"/>
    <s v="7"/>
    <n v="3.2546910863599593E-2"/>
    <x v="0"/>
    <s v="TRI"/>
  </r>
  <r>
    <s v="110000540317"/>
    <s v="Calumet Shreveport Lubricants &amp; Waxes LLC - Shreveport Refinery"/>
    <s v="BENZENE"/>
    <s v="71432"/>
    <m/>
    <x v="4"/>
    <n v="2.8083334516591648E-5"/>
    <s v="13"/>
    <n v="6.0444263032399234E-2"/>
    <x v="1"/>
    <s v="TRI"/>
  </r>
  <r>
    <s v="110000540317"/>
    <s v="Calumet Shreveport Lubricants &amp; Waxes LLC - Shreveport Refinery"/>
    <s v="BOD, 5-day, 20 deg. C"/>
    <s v=""/>
    <n v="76367.800453499993"/>
    <x v="4"/>
    <n v="2.8083334516591648E-5"/>
    <s v=""/>
    <n v="5.8757876340601633E-3"/>
    <x v="2"/>
    <s v="DMR"/>
  </r>
  <r>
    <s v="110000540317"/>
    <s v="Calumet Shreveport Lubricants &amp; Waxes LLC - Shreveport Refinery"/>
    <s v="Carbon, tot organic (TOC)"/>
    <s v="7440440"/>
    <n v="113556.20512899999"/>
    <x v="4"/>
    <n v="2.8083334516591648E-5"/>
    <s v=""/>
    <n v="8.7370873837600196E-3"/>
    <x v="3"/>
    <s v="DMR"/>
  </r>
  <r>
    <s v="110000540317"/>
    <s v="Calumet Shreveport Lubricants &amp; Waxes LLC - Shreveport Refinery"/>
    <s v="CYCLOHEXANE"/>
    <s v="110827"/>
    <m/>
    <x v="4"/>
    <n v="2.8083334516591648E-5"/>
    <s v="4"/>
    <n v="1.8598234779199765E-2"/>
    <x v="8"/>
    <s v="TRI"/>
  </r>
  <r>
    <s v="110000540317"/>
    <s v="Calumet Shreveport Lubricants &amp; Waxes LLC - Shreveport Refinery"/>
    <s v="ETHYLBENZENE"/>
    <s v="100414"/>
    <m/>
    <x v="4"/>
    <n v="2.8083334516591648E-5"/>
    <s v="2"/>
    <n v="9.2991173895998827E-3"/>
    <x v="10"/>
    <s v="TRI"/>
  </r>
  <r>
    <s v="110000540317"/>
    <s v="Calumet Shreveport Lubricants &amp; Waxes LLC - Shreveport Refinery"/>
    <s v="LEAD AND LEAD COMPOUNDS"/>
    <s v="7439921"/>
    <m/>
    <x v="4"/>
    <n v="2.8083334516591648E-5"/>
    <s v="0"/>
    <n v="0"/>
    <x v="11"/>
    <s v="TRI"/>
  </r>
  <r>
    <s v="110000540317"/>
    <s v="Calumet Shreveport Lubricants &amp; Waxes LLC - Shreveport Refinery"/>
    <s v="NAPHTHALENE"/>
    <s v="91203"/>
    <m/>
    <x v="4"/>
    <n v="2.8083334516591648E-5"/>
    <s v="0"/>
    <n v="0"/>
    <x v="13"/>
    <s v="TRI"/>
  </r>
  <r>
    <s v="110000540317"/>
    <s v="Calumet Shreveport Lubricants &amp; Waxes LLC - Shreveport Refinery"/>
    <s v="N-HEXANE"/>
    <s v="110543"/>
    <m/>
    <x v="4"/>
    <n v="2.8083334516591648E-5"/>
    <s v="5"/>
    <n v="2.3247793473999707E-2"/>
    <x v="14"/>
    <s v="TRI"/>
  </r>
  <r>
    <s v="110000540317"/>
    <s v="Calumet Shreveport Lubricants &amp; Waxes LLC - Shreveport Refinery"/>
    <s v="Nitrogen, ammonia total (as N)"/>
    <s v="7664417"/>
    <n v="31799.092970500002"/>
    <x v="4"/>
    <n v="2.8083334516591648E-5"/>
    <s v=""/>
    <n v="2.4466426444239714E-3"/>
    <x v="16"/>
    <s v="DMR"/>
  </r>
  <r>
    <s v="110000540317"/>
    <s v="Calumet Shreveport Lubricants &amp; Waxes LLC - Shreveport Refinery"/>
    <s v="Oil and grease"/>
    <s v=""/>
    <n v="70435.729244000002"/>
    <x v="4"/>
    <n v="2.8083334516591648E-5"/>
    <s v=""/>
    <n v="5.4193702637789836E-3"/>
    <x v="17"/>
    <s v="DMR"/>
  </r>
  <r>
    <s v="110000540317"/>
    <s v="Calumet Shreveport Lubricants &amp; Waxes LLC - Shreveport Refinery"/>
    <s v="Chemical Oxygen Demand (COD)"/>
    <s v=""/>
    <n v="470143.310658"/>
    <x v="4"/>
    <n v="2.8083334516591648E-5"/>
    <s v=""/>
    <n v="3.6173128394373921E-2"/>
    <x v="18"/>
    <s v="DMR"/>
  </r>
  <r>
    <s v="110000540317"/>
    <s v="Calumet Shreveport Lubricants &amp; Waxes LLC - Shreveport Refinery"/>
    <s v="Phenolics, total recoverable"/>
    <s v=""/>
    <n v="50.018140589600002"/>
    <x v="4"/>
    <n v="2.8083334516591648E-5"/>
    <s v=""/>
    <n v="3.848427874179856E-6"/>
    <x v="20"/>
    <s v="DMR"/>
  </r>
  <r>
    <s v="110000540317"/>
    <s v="Calumet Shreveport Lubricants &amp; Waxes LLC - Shreveport Refinery"/>
    <s v="Solids, total suspended"/>
    <s v=""/>
    <n v="80473.015872999997"/>
    <x v="4"/>
    <n v="2.8083334516591648E-5"/>
    <s v=""/>
    <n v="6.1916455460834198E-3"/>
    <x v="22"/>
    <s v="DMR"/>
  </r>
  <r>
    <s v="110000540317"/>
    <s v="Calumet Shreveport Lubricants &amp; Waxes LLC - Shreveport Refinery"/>
    <s v="Sulfide, total (as S)"/>
    <s v="18496258"/>
    <n v="320.99773242600003"/>
    <x v="4"/>
    <n v="2.8083334516591648E-5"/>
    <s v=""/>
    <n v="2.4697771777497909E-5"/>
    <x v="23"/>
    <s v="DMR"/>
  </r>
  <r>
    <s v="110000540317"/>
    <s v="Calumet Shreveport Lubricants &amp; Waxes LLC - Shreveport Refinery"/>
    <s v="TOLUENE"/>
    <s v="108883"/>
    <m/>
    <x v="4"/>
    <n v="2.8083334516591648E-5"/>
    <s v="33"/>
    <n v="0.15343543692839806"/>
    <x v="24"/>
    <s v="TRI"/>
  </r>
  <r>
    <s v="110000540317"/>
    <s v="Calumet Shreveport Lubricants &amp; Waxes LLC - Shreveport Refinery"/>
    <s v="XYLENE (MIXED ISOMERS)"/>
    <s v="1330207"/>
    <m/>
    <x v="4"/>
    <n v="2.8083334516591648E-5"/>
    <s v="18"/>
    <n v="8.3692056506398937E-2"/>
    <x v="25"/>
    <s v="TRI"/>
  </r>
  <r>
    <s v="110000422962"/>
    <s v="Calumet Superior, LLC"/>
    <s v="1,2,4-TRIMETHYLBENZENE"/>
    <s v="95636"/>
    <m/>
    <x v="0"/>
    <n v="3.0075187969924811E-5"/>
    <s v="0"/>
    <n v="0"/>
    <x v="0"/>
    <s v="TRI"/>
  </r>
  <r>
    <s v="110000422962"/>
    <s v="Calumet Superior, LLC"/>
    <s v="Arsenic, total (as As)"/>
    <s v="7440382"/>
    <n v="0.72706064999999998"/>
    <x v="0"/>
    <n v="3.0075187969924811E-5"/>
    <s v=""/>
    <n v="5.9908180039138945E-8"/>
    <x v="26"/>
    <s v="DMR"/>
  </r>
  <r>
    <s v="110000422962"/>
    <s v="Calumet Superior, LLC"/>
    <s v="BENZENE"/>
    <s v="71432"/>
    <m/>
    <x v="0"/>
    <n v="3.0075187969924811E-5"/>
    <s v="0.7"/>
    <n v="3.4855350296270475E-3"/>
    <x v="1"/>
    <s v="TRI"/>
  </r>
  <r>
    <s v="110000422962"/>
    <s v="Calumet Superior, LLC"/>
    <s v="BOD, 5-day, 20 deg. C"/>
    <s v=""/>
    <n v="55.440787499999999"/>
    <x v="0"/>
    <n v="3.0075187969924811E-5"/>
    <s v=""/>
    <n v="4.5681975486661861E-6"/>
    <x v="2"/>
    <s v="DMR"/>
  </r>
  <r>
    <s v="110000422962"/>
    <s v="Calumet Superior, LLC"/>
    <s v="Chloride (as Cl)"/>
    <s v="16887006"/>
    <n v="143202.93904999999"/>
    <x v="0"/>
    <n v="3.0075187969924811E-5"/>
    <s v=""/>
    <n v="1.1799603588423111E-2"/>
    <x v="69"/>
    <s v="DMR"/>
  </r>
  <r>
    <s v="110000422962"/>
    <s v="Calumet Superior, LLC"/>
    <s v="Chromium, total (as Cr)"/>
    <s v="7440473"/>
    <n v="0.17959183673500001"/>
    <x v="0"/>
    <n v="3.0075187969924811E-5"/>
    <s v=""/>
    <n v="1.4797967801833351E-8"/>
    <x v="5"/>
    <s v="DMR"/>
  </r>
  <r>
    <s v="110000422962"/>
    <s v="Calumet Superior, LLC"/>
    <s v="Copper, total (as Cu)"/>
    <s v="7440508"/>
    <n v="1.530654E-2"/>
    <x v="0"/>
    <n v="3.0075187969924811E-5"/>
    <s v=""/>
    <n v="1.2612248429292409E-9"/>
    <x v="68"/>
    <s v="DMR"/>
  </r>
  <r>
    <s v="110000422962"/>
    <s v="Calumet Superior, LLC"/>
    <s v="CYCLOHEXANE"/>
    <s v="110827"/>
    <m/>
    <x v="0"/>
    <n v="3.0075187969924811E-5"/>
    <s v="0"/>
    <n v="0"/>
    <x v="8"/>
    <s v="TRI"/>
  </r>
  <r>
    <s v="110000422962"/>
    <s v="Calumet Superior, LLC"/>
    <s v="ETHYLBENZENE"/>
    <s v="100414"/>
    <m/>
    <x v="0"/>
    <n v="3.0075187969924811E-5"/>
    <s v="0"/>
    <n v="0"/>
    <x v="10"/>
    <s v="TRI"/>
  </r>
  <r>
    <s v="110000422962"/>
    <s v="Calumet Superior, LLC"/>
    <s v="Hardness, total (as CaCO3)"/>
    <s v=""/>
    <n v="11987.0193"/>
    <x v="0"/>
    <n v="3.0075187969924811E-5"/>
    <s v=""/>
    <n v="9.8770372231949733E-4"/>
    <x v="70"/>
    <s v="DMR"/>
  </r>
  <r>
    <s v="110000422962"/>
    <s v="Calumet Superior, LLC"/>
    <s v="LEAD AND LEAD COMPOUNDS"/>
    <s v="7439921"/>
    <m/>
    <x v="0"/>
    <n v="3.0075187969924811E-5"/>
    <s v="0"/>
    <n v="0"/>
    <x v="11"/>
    <s v="TRI"/>
  </r>
  <r>
    <s v="110000422962"/>
    <s v="Calumet Superior, LLC"/>
    <s v="MERCURY AND MERCURY COMPOUNDS"/>
    <s v="N458"/>
    <m/>
    <x v="0"/>
    <n v="3.0075187969924811E-5"/>
    <s v="0"/>
    <n v="0"/>
    <x v="12"/>
    <s v="TRI"/>
  </r>
  <r>
    <s v="110000422962"/>
    <s v="Calumet Superior, LLC"/>
    <s v="Mercury, total (as Hg)"/>
    <s v="7439976"/>
    <n v="1.3404596425E-4"/>
    <x v="0"/>
    <n v="3.0075187969924811E-5"/>
    <s v=""/>
    <n v="1.1045089236790606E-11"/>
    <x v="64"/>
    <s v="DMR"/>
  </r>
  <r>
    <s v="110000422962"/>
    <s v="Calumet Superior, LLC"/>
    <s v="N-HEXANE"/>
    <s v="110543"/>
    <m/>
    <x v="0"/>
    <n v="3.0075187969924811E-5"/>
    <s v="0"/>
    <n v="0"/>
    <x v="14"/>
    <s v="TRI"/>
  </r>
  <r>
    <s v="110000422962"/>
    <s v="Calumet Superior, LLC"/>
    <s v="Nickel, total (as Ni)"/>
    <s v="7440020"/>
    <n v="0.149238765"/>
    <x v="0"/>
    <n v="3.0075187969924811E-5"/>
    <s v=""/>
    <n v="1.2296942218560099E-8"/>
    <x v="71"/>
    <s v="DMR"/>
  </r>
  <r>
    <s v="110000422962"/>
    <s v="Calumet Superior, LLC"/>
    <s v="Nitrogen, ammonia total (as N)"/>
    <s v="7664417"/>
    <n v="44.785936800000002"/>
    <x v="0"/>
    <n v="3.0075187969924811E-5"/>
    <s v=""/>
    <n v="3.6902615552580084E-6"/>
    <x v="16"/>
    <s v="DMR"/>
  </r>
  <r>
    <s v="110000422962"/>
    <s v="Calumet Superior, LLC"/>
    <s v="Oil and grease, hexane extr method"/>
    <s v=""/>
    <n v="853.30411026010006"/>
    <x v="0"/>
    <n v="3.0075187969924811E-5"/>
    <s v=""/>
    <n v="7.0310360305703997E-5"/>
    <x v="65"/>
    <s v="DMR"/>
  </r>
  <r>
    <s v="110000422962"/>
    <s v="Calumet Superior, LLC"/>
    <s v="Chemical Oxygen Demand (COD)"/>
    <s v=""/>
    <n v="22170.634920600001"/>
    <x v="0"/>
    <n v="3.0075187969924811E-5"/>
    <s v=""/>
    <n v="1.8268109935606139E-3"/>
    <x v="18"/>
    <s v="DMR"/>
  </r>
  <r>
    <s v="110000422962"/>
    <s v="Calumet Superior, LLC"/>
    <s v="Oxygen, dissolved (DO)"/>
    <s v="7782447"/>
    <n v="1836.0686780000001"/>
    <x v="0"/>
    <n v="3.0075187969924811E-5"/>
    <s v=""/>
    <n v="1.5128797429189413E-4"/>
    <x v="72"/>
    <s v="DMR"/>
  </r>
  <r>
    <s v="110000422962"/>
    <s v="Calumet Superior, LLC"/>
    <s v="Phenols"/>
    <s v=""/>
    <n v="5.6235827664400002E-2"/>
    <x v="0"/>
    <n v="3.0075187969924811E-5"/>
    <s v=""/>
    <n v="4.633707089455145E-9"/>
    <x v="73"/>
    <s v="DMR"/>
  </r>
  <r>
    <s v="110000422962"/>
    <s v="Calumet Superior, LLC"/>
    <s v="Phosphorus, total (as P)"/>
    <s v="7723140"/>
    <n v="114.4981425"/>
    <x v="0"/>
    <n v="3.0075187969924811E-5"/>
    <s v=""/>
    <n v="9.4343922134102378E-6"/>
    <x v="66"/>
    <s v="DMR"/>
  </r>
  <r>
    <s v="110000422962"/>
    <s v="Calumet Superior, LLC"/>
    <s v="POLYCYCLIC AROMATIC COMPOUNDS"/>
    <s v="N590"/>
    <m/>
    <x v="0"/>
    <n v="3.0075187969924811E-5"/>
    <s v="0"/>
    <n v="0"/>
    <x v="21"/>
    <s v="TRI"/>
  </r>
  <r>
    <s v="110000422962"/>
    <s v="Calumet Superior, LLC"/>
    <s v="Selenium, total (as Se)"/>
    <s v="7782492"/>
    <n v="3.4543378580000001"/>
    <x v="0"/>
    <n v="3.0075187969924811E-5"/>
    <s v=""/>
    <n v="2.8462975449582861E-7"/>
    <x v="55"/>
    <s v="DMR"/>
  </r>
  <r>
    <s v="110000422962"/>
    <s v="Calumet Superior, LLC"/>
    <s v="Solids, total suspended"/>
    <s v=""/>
    <n v="444.12785005000001"/>
    <x v="0"/>
    <n v="3.0075187969924811E-5"/>
    <s v=""/>
    <n v="3.6595146775157069E-5"/>
    <x v="22"/>
    <s v="DMR"/>
  </r>
  <r>
    <s v="110000422962"/>
    <s v="Calumet Superior, LLC"/>
    <s v="TOLUENE"/>
    <s v="108883"/>
    <m/>
    <x v="0"/>
    <n v="3.0075187969924811E-5"/>
    <s v="0"/>
    <n v="0"/>
    <x v="24"/>
    <s v="TRI"/>
  </r>
  <r>
    <s v="110000422962"/>
    <s v="Calumet Superior, LLC"/>
    <s v="XYLENE (MIXED ISOMERS)"/>
    <s v="1330207"/>
    <m/>
    <x v="0"/>
    <n v="3.0075187969924811E-5"/>
    <s v="0"/>
    <n v="0"/>
    <x v="25"/>
    <s v="TRI"/>
  </r>
  <r>
    <s v="110000422962"/>
    <s v="Calumet Superior, LLC"/>
    <s v="Zinc, total (as Cr)"/>
    <s v="7440666"/>
    <n v="0.15306539999999999"/>
    <x v="0"/>
    <n v="3.0075187969924811E-5"/>
    <s v=""/>
    <n v="1.2612248429292408E-8"/>
    <x v="74"/>
    <s v="DMR"/>
  </r>
  <r>
    <s v="110000449131"/>
    <s v="Chalmette Refining LLC - Chalmette Refinery"/>
    <s v="1,2,4-TRIMETHYLBENZENE"/>
    <s v="95636"/>
    <m/>
    <x v="3"/>
    <n v="5.2006175030725275E-6"/>
    <s v="1"/>
    <n v="8.6102938792591516E-4"/>
    <x v="0"/>
    <s v="TRI"/>
  </r>
  <r>
    <s v="110000449131"/>
    <s v="Chalmette Refining LLC - Chalmette Refinery"/>
    <s v="1,3-BUTADIENE"/>
    <s v="106990"/>
    <m/>
    <x v="3"/>
    <n v="5.2006175030725275E-6"/>
    <s v="0"/>
    <n v="0"/>
    <x v="30"/>
    <s v="TRI"/>
  </r>
  <r>
    <s v="110000449131"/>
    <s v="Chalmette Refining LLC - Chalmette Refinery"/>
    <s v="Benzene"/>
    <s v="71432"/>
    <n v="0"/>
    <x v="3"/>
    <n v="5.2006175030725275E-6"/>
    <s v=""/>
    <n v="0"/>
    <x v="1"/>
    <s v="DMR"/>
  </r>
  <r>
    <s v="110000449131"/>
    <s v="Chalmette Refining LLC - Chalmette Refinery"/>
    <s v="BENZO(G,H,I)PERYLENE"/>
    <s v="191242"/>
    <m/>
    <x v="3"/>
    <n v="5.2006175030725275E-6"/>
    <s v="0"/>
    <n v="0"/>
    <x v="32"/>
    <s v="TRI"/>
  </r>
  <r>
    <s v="110000449131"/>
    <s v="Chalmette Refining LLC - Chalmette Refinery"/>
    <s v="BOD, 5-day, 20 deg. C"/>
    <s v=""/>
    <n v="30491.609977399999"/>
    <x v="3"/>
    <n v="5.2006175030725275E-6"/>
    <s v=""/>
    <n v="4.3445260423377358E-4"/>
    <x v="2"/>
    <s v="DMR"/>
  </r>
  <r>
    <s v="110000449131"/>
    <s v="Chalmette Refining LLC - Chalmette Refinery"/>
    <s v="BTEX"/>
    <s v=""/>
    <n v="0"/>
    <x v="3"/>
    <n v="5.2006175030725275E-6"/>
    <s v=""/>
    <n v="0"/>
    <x v="75"/>
    <s v="DMR"/>
  </r>
  <r>
    <s v="110000449131"/>
    <s v="Chalmette Refining LLC - Chalmette Refinery"/>
    <s v="Carbon, tot organic (TOC)"/>
    <s v="7440440"/>
    <n v="12981.646772833001"/>
    <x v="3"/>
    <n v="5.2006175030725275E-6"/>
    <s v=""/>
    <n v="1.8496597102876793E-4"/>
    <x v="3"/>
    <s v="DMR"/>
  </r>
  <r>
    <s v="110000449131"/>
    <s v="Chalmette Refining LLC - Chalmette Refinery"/>
    <s v="Chromium, hexavalent (as Cr)"/>
    <s v="18540299"/>
    <n v="11.24716553288"/>
    <x v="3"/>
    <n v="5.2006175030725275E-6"/>
    <s v=""/>
    <n v="1.602526189869857E-7"/>
    <x v="4"/>
    <s v="DMR"/>
  </r>
  <r>
    <s v="110000449131"/>
    <s v="Chalmette Refining LLC - Chalmette Refinery"/>
    <s v="Chromium, total (as Cr)"/>
    <s v="7440473"/>
    <n v="2.72108843537"/>
    <x v="3"/>
    <n v="5.2006175030725275E-6"/>
    <s v=""/>
    <n v="3.8770794916146466E-8"/>
    <x v="5"/>
    <s v="DMR"/>
  </r>
  <r>
    <s v="110000449131"/>
    <s v="Chalmette Refining LLC - Chalmette Refinery"/>
    <s v="COBALT AND COBALT COMPOUNDS"/>
    <s v="7440484"/>
    <m/>
    <x v="3"/>
    <n v="5.2006175030725275E-6"/>
    <s v="38"/>
    <n v="3.271911674118478E-2"/>
    <x v="76"/>
    <s v="TRI"/>
  </r>
  <r>
    <s v="110000449131"/>
    <s v="Chalmette Refining LLC - Chalmette Refinery"/>
    <s v="CUMENE"/>
    <s v="98828"/>
    <m/>
    <x v="3"/>
    <n v="5.2006175030725275E-6"/>
    <s v="0"/>
    <n v="0"/>
    <x v="6"/>
    <s v="TRI"/>
  </r>
  <r>
    <s v="110000449131"/>
    <s v="Chalmette Refining LLC - Chalmette Refinery"/>
    <s v="CYCLOHEXANE"/>
    <s v="110827"/>
    <m/>
    <x v="3"/>
    <n v="5.2006175030725275E-6"/>
    <s v="0"/>
    <n v="0"/>
    <x v="8"/>
    <s v="TRI"/>
  </r>
  <r>
    <s v="110000449131"/>
    <s v="Chalmette Refining LLC - Chalmette Refinery"/>
    <s v="ETHYLBENZENE"/>
    <s v="100414"/>
    <m/>
    <x v="3"/>
    <n v="5.2006175030725275E-6"/>
    <s v="19"/>
    <n v="1.635955837059239E-2"/>
    <x v="10"/>
    <s v="TRI"/>
  </r>
  <r>
    <s v="110000449131"/>
    <s v="Chalmette Refining LLC - Chalmette Refinery"/>
    <s v="HYDROGEN FLUORIDE"/>
    <s v="7664393"/>
    <m/>
    <x v="3"/>
    <n v="5.2006175030725275E-6"/>
    <s v="0"/>
    <n v="0"/>
    <x v="77"/>
    <s v="TRI"/>
  </r>
  <r>
    <s v="110000449131"/>
    <s v="Chalmette Refining LLC - Chalmette Refinery"/>
    <s v="Lead, total (as Pb)"/>
    <s v="7439921"/>
    <n v="0"/>
    <x v="3"/>
    <n v="5.2006175030725275E-6"/>
    <s v=""/>
    <n v="0"/>
    <x v="57"/>
    <s v="DMR"/>
  </r>
  <r>
    <s v="110000449131"/>
    <s v="Chalmette Refining LLC - Chalmette Refinery"/>
    <s v="MERCURY AND MERCURY COMPOUNDS"/>
    <s v="N458"/>
    <m/>
    <x v="3"/>
    <n v="5.2006175030725275E-6"/>
    <s v="0.2"/>
    <n v="1.7220587758518305E-4"/>
    <x v="12"/>
    <s v="TRI"/>
  </r>
  <r>
    <s v="110000449131"/>
    <s v="Chalmette Refining LLC - Chalmette Refinery"/>
    <s v="NAPHTHALENE"/>
    <s v="91203"/>
    <m/>
    <x v="3"/>
    <n v="5.2006175030725275E-6"/>
    <s v="1"/>
    <n v="8.6102938792591516E-4"/>
    <x v="13"/>
    <s v="TRI"/>
  </r>
  <r>
    <s v="110000449131"/>
    <s v="Chalmette Refining LLC - Chalmette Refinery"/>
    <s v="N-HEXANE"/>
    <s v="110543"/>
    <m/>
    <x v="3"/>
    <n v="5.2006175030725275E-6"/>
    <s v="0"/>
    <n v="0"/>
    <x v="14"/>
    <s v="TRI"/>
  </r>
  <r>
    <s v="110000449131"/>
    <s v="Chalmette Refining LLC - Chalmette Refinery"/>
    <s v="NICKEL AND NICKEL COMPOUNDS"/>
    <s v="N495"/>
    <m/>
    <x v="3"/>
    <n v="5.2006175030725275E-6"/>
    <s v="37"/>
    <n v="3.185808735325886E-2"/>
    <x v="45"/>
    <s v="TRI"/>
  </r>
  <r>
    <s v="110000449131"/>
    <s v="Chalmette Refining LLC - Chalmette Refinery"/>
    <s v="NITRATE COMPOUNDS"/>
    <s v="14797558"/>
    <m/>
    <x v="3"/>
    <n v="5.2006175030725275E-6"/>
    <s v="380081"/>
    <n v="327.26091079226973"/>
    <x v="15"/>
    <s v="TRI"/>
  </r>
  <r>
    <s v="110000449131"/>
    <s v="Chalmette Refining LLC - Chalmette Refinery"/>
    <s v="Nitrogen, ammonia total (as N)"/>
    <s v="7664417"/>
    <n v="3191.8367346999999"/>
    <x v="3"/>
    <n v="5.2006175030725275E-6"/>
    <s v=""/>
    <n v="4.5478142436796394E-5"/>
    <x v="16"/>
    <s v="DMR"/>
  </r>
  <r>
    <s v="110000449131"/>
    <s v="Chalmette Refining LLC - Chalmette Refinery"/>
    <s v="Oil and grease"/>
    <s v=""/>
    <n v="0"/>
    <x v="3"/>
    <n v="5.2006175030725275E-6"/>
    <s v=""/>
    <n v="0"/>
    <x v="17"/>
    <s v="DMR"/>
  </r>
  <r>
    <s v="110000449131"/>
    <s v="Chalmette Refining LLC - Chalmette Refinery"/>
    <s v="Chemical Oxygen Demand (COD)"/>
    <s v=""/>
    <n v="553846.71201799996"/>
    <x v="3"/>
    <n v="5.2006175030725275E-6"/>
    <s v=""/>
    <n v="7.8913559028492616E-3"/>
    <x v="18"/>
    <s v="DMR"/>
  </r>
  <r>
    <s v="110000449131"/>
    <s v="Chalmette Refining LLC - Chalmette Refinery"/>
    <s v="Phenolics, total recoverable"/>
    <s v=""/>
    <n v="111.47392290240001"/>
    <x v="3"/>
    <n v="5.2006175030725275E-6"/>
    <s v=""/>
    <n v="1.5883102317325451E-6"/>
    <x v="20"/>
    <s v="DMR"/>
  </r>
  <r>
    <s v="110000449131"/>
    <s v="Chalmette Refining LLC - Chalmette Refinery"/>
    <s v="POLYCYCLIC AROMATIC COMPOUNDS"/>
    <s v="N590"/>
    <m/>
    <x v="3"/>
    <n v="5.2006175030725275E-6"/>
    <s v="0.13"/>
    <n v="1.1193382043036896E-4"/>
    <x v="21"/>
    <s v="TRI"/>
  </r>
  <r>
    <s v="110000449131"/>
    <s v="Chalmette Refining LLC - Chalmette Refinery"/>
    <s v="Solids, total suspended"/>
    <s v=""/>
    <n v="98526.077097600006"/>
    <x v="3"/>
    <n v="5.2006175030725275E-6"/>
    <s v=""/>
    <n v="1.4038258659256216E-3"/>
    <x v="22"/>
    <s v="DMR"/>
  </r>
  <r>
    <s v="110000449131"/>
    <s v="Chalmette Refining LLC - Chalmette Refinery"/>
    <s v="STYRENE"/>
    <s v="100425"/>
    <m/>
    <x v="3"/>
    <n v="5.2006175030725275E-6"/>
    <s v="0"/>
    <n v="0"/>
    <x v="48"/>
    <s v="TRI"/>
  </r>
  <r>
    <s v="110000449131"/>
    <s v="Chalmette Refining LLC - Chalmette Refinery"/>
    <s v="Sulfide, total (as S)"/>
    <s v="18496258"/>
    <n v="140.86167800460001"/>
    <x v="3"/>
    <n v="5.2006175030725275E-6"/>
    <s v=""/>
    <n v="2.0070348168298336E-6"/>
    <x v="23"/>
    <s v="DMR"/>
  </r>
  <r>
    <s v="110000449131"/>
    <s v="Chalmette Refining LLC - Chalmette Refinery"/>
    <s v="TOLUENE"/>
    <s v="108883"/>
    <m/>
    <x v="3"/>
    <n v="5.2006175030725275E-6"/>
    <s v="19"/>
    <n v="1.635955837059239E-2"/>
    <x v="24"/>
    <s v="TRI"/>
  </r>
  <r>
    <s v="110000449131"/>
    <s v="Chalmette Refining LLC - Chalmette Refinery"/>
    <s v="VANADIUM AND VANADIUM COMPOUNDS"/>
    <s v="7440622"/>
    <m/>
    <x v="3"/>
    <n v="5.2006175030725275E-6"/>
    <s v="0"/>
    <n v="0"/>
    <x v="78"/>
    <s v="TRI"/>
  </r>
  <r>
    <s v="110000449131"/>
    <s v="Chalmette Refining LLC - Chalmette Refinery"/>
    <s v="XYLENE (MIXED ISOMERS)"/>
    <s v="1330207"/>
    <m/>
    <x v="3"/>
    <n v="5.2006175030725275E-6"/>
    <s v="121"/>
    <n v="0.10418455593903572"/>
    <x v="25"/>
    <s v="TRI"/>
  </r>
  <r>
    <s v="110000486304"/>
    <s v="Chevron Hawaii Refinery"/>
    <s v="1,2,4-TRIMETHYLBENZENE"/>
    <s v="95636"/>
    <m/>
    <x v="0"/>
    <n v="1.8518518518518518E-5"/>
    <s v="19"/>
    <n v="5.8253617856266864E-2"/>
    <x v="0"/>
    <s v="TRI"/>
  </r>
  <r>
    <s v="110000486304"/>
    <s v="Chevron Hawaii Refinery"/>
    <s v="AMMONIA"/>
    <s v="7664417"/>
    <m/>
    <x v="0"/>
    <n v="1.8518518518518518E-5"/>
    <s v="1600"/>
    <n v="4.9055678194751042"/>
    <x v="16"/>
    <s v="TRI"/>
  </r>
  <r>
    <s v="110000486304"/>
    <s v="Chevron Hawaii Refinery"/>
    <s v="BENZENE"/>
    <s v="71432"/>
    <m/>
    <x v="0"/>
    <n v="1.8518518518518518E-5"/>
    <s v="19"/>
    <n v="5.8253617856266864E-2"/>
    <x v="1"/>
    <s v="TRI"/>
  </r>
  <r>
    <s v="110000486304"/>
    <s v="Chevron Hawaii Refinery"/>
    <s v="BENZO(G,H,I)PERYLENE"/>
    <s v="191242"/>
    <m/>
    <x v="0"/>
    <n v="1.8518518518518518E-5"/>
    <s v="0.3"/>
    <n v="9.1979396615158194E-4"/>
    <x v="32"/>
    <s v="TRI"/>
  </r>
  <r>
    <s v="110000486304"/>
    <s v="Chevron Hawaii Refinery"/>
    <s v="BOD, 5-day, 20 deg. C"/>
    <s v=""/>
    <n v="16594.732126859999"/>
    <x v="0"/>
    <n v="1.8518518518518518E-5"/>
    <s v=""/>
    <n v="8.4194480603044135E-4"/>
    <x v="2"/>
    <s v="DMR"/>
  </r>
  <r>
    <s v="110000486304"/>
    <s v="Chevron Hawaii Refinery"/>
    <s v="Carbon, tot organic (TOC)"/>
    <s v="7440440"/>
    <n v="21234.709343300001"/>
    <x v="0"/>
    <n v="1.8518518518518518E-5"/>
    <s v=""/>
    <n v="1.0773571457787926E-3"/>
    <x v="3"/>
    <s v="DMR"/>
  </r>
  <r>
    <s v="110000486304"/>
    <s v="Chevron Hawaii Refinery"/>
    <s v="Chemical Oxygen Demand (COD)"/>
    <s v=""/>
    <n v="16791.313885939999"/>
    <x v="0"/>
    <n v="1.8518518518518518E-5"/>
    <s v=""/>
    <n v="8.5191851273160827E-4"/>
    <x v="18"/>
    <s v="DMR"/>
  </r>
  <r>
    <s v="110000486304"/>
    <s v="Chevron Hawaii Refinery"/>
    <s v="CYCLOHEXANE"/>
    <s v="110827"/>
    <m/>
    <x v="0"/>
    <n v="1.8518518518518518E-5"/>
    <s v="10"/>
    <n v="3.06597988717194E-2"/>
    <x v="8"/>
    <s v="TRI"/>
  </r>
  <r>
    <s v="110000486304"/>
    <s v="Chevron Hawaii Refinery"/>
    <s v="ETHYLBENZENE"/>
    <s v="100414"/>
    <m/>
    <x v="0"/>
    <n v="1.8518518518518518E-5"/>
    <s v="19"/>
    <n v="5.8253617856266864E-2"/>
    <x v="10"/>
    <s v="TRI"/>
  </r>
  <r>
    <s v="110000486304"/>
    <s v="Chevron Hawaii Refinery"/>
    <s v="LEAD AND LEAD COMPOUNDS"/>
    <s v="7439921"/>
    <m/>
    <x v="0"/>
    <n v="1.8518518518518518E-5"/>
    <s v="19"/>
    <n v="5.8253617856266864E-2"/>
    <x v="11"/>
    <s v="TRI"/>
  </r>
  <r>
    <s v="110000486304"/>
    <s v="Chevron Hawaii Refinery"/>
    <s v="MERCURY AND MERCURY COMPOUNDS"/>
    <s v="N458"/>
    <m/>
    <x v="0"/>
    <n v="1.8518518518518518E-5"/>
    <s v="4.9"/>
    <n v="1.5023301447142506E-2"/>
    <x v="12"/>
    <s v="TRI"/>
  </r>
  <r>
    <s v="110000486304"/>
    <s v="Chevron Hawaii Refinery"/>
    <s v="NAPHTHALENE"/>
    <s v="91203"/>
    <m/>
    <x v="0"/>
    <n v="1.8518518518518518E-5"/>
    <s v="19"/>
    <n v="5.8253617856266864E-2"/>
    <x v="13"/>
    <s v="TRI"/>
  </r>
  <r>
    <s v="110000486304"/>
    <s v="Chevron Hawaii Refinery"/>
    <s v="N-HEXANE"/>
    <s v="110543"/>
    <m/>
    <x v="0"/>
    <n v="1.8518518518518518E-5"/>
    <s v="47"/>
    <n v="0.14410105469708118"/>
    <x v="14"/>
    <s v="TRI"/>
  </r>
  <r>
    <s v="110000486304"/>
    <s v="Chevron Hawaii Refinery"/>
    <s v="NITRATE COMPOUNDS"/>
    <s v="14797558"/>
    <m/>
    <x v="0"/>
    <n v="1.8518518518518518E-5"/>
    <s v="14000"/>
    <n v="42.923718420407155"/>
    <x v="15"/>
    <s v="TRI"/>
  </r>
  <r>
    <s v="110000486304"/>
    <s v="Chevron Hawaii Refinery"/>
    <s v="Nitrite plus nitrate total 1 det. (as N)"/>
    <s v="7727379"/>
    <n v="1577.6493836149998"/>
    <x v="0"/>
    <n v="1.8518518518518518E-5"/>
    <s v=""/>
    <n v="8.0043094044393698E-5"/>
    <x v="79"/>
    <s v="DMR"/>
  </r>
  <r>
    <s v="110000486304"/>
    <s v="Chevron Hawaii Refinery"/>
    <s v="Nitrogen, ammonia total (as NH4)"/>
    <s v="14798039"/>
    <n v="6294.4308389999997"/>
    <x v="0"/>
    <n v="1.8518518518518518E-5"/>
    <s v=""/>
    <n v="3.1935214809741244E-4"/>
    <x v="80"/>
    <s v="DMR"/>
  </r>
  <r>
    <s v="110000486304"/>
    <s v="Chevron Hawaii Refinery"/>
    <s v="Nitrogen, total (as N)"/>
    <s v="7727379"/>
    <n v="1789.342255345"/>
    <x v="0"/>
    <n v="1.8518518518518518E-5"/>
    <s v=""/>
    <n v="9.0783473127600196E-5"/>
    <x v="79"/>
    <s v="DMR"/>
  </r>
  <r>
    <s v="110000486304"/>
    <s v="Chevron Hawaii Refinery"/>
    <s v="Oil and grease"/>
    <s v=""/>
    <n v="1733.51473923"/>
    <x v="0"/>
    <n v="1.8518518518518518E-5"/>
    <s v=""/>
    <n v="8.7951026850837145E-5"/>
    <x v="17"/>
    <s v="DMR"/>
  </r>
  <r>
    <s v="110000486304"/>
    <s v="Chevron Hawaii Refinery"/>
    <s v="Phenolics, total recoverable"/>
    <s v=""/>
    <n v="39.732426303899999"/>
    <x v="0"/>
    <n v="1.8518518518518518E-5"/>
    <s v=""/>
    <n v="2.0158511569710804E-6"/>
    <x v="20"/>
    <s v="DMR"/>
  </r>
  <r>
    <s v="110000486304"/>
    <s v="Chevron Hawaii Refinery"/>
    <s v="Phosphorus, total (as P)"/>
    <s v="7723140"/>
    <n v="113.2455425296"/>
    <x v="0"/>
    <n v="1.8518518518518518E-5"/>
    <s v=""/>
    <n v="5.7455881547234903E-6"/>
    <x v="66"/>
    <s v="DMR"/>
  </r>
  <r>
    <s v="110000486304"/>
    <s v="Chevron Hawaii Refinery"/>
    <s v="POLYCYCLIC AROMATIC COMPOUNDS"/>
    <s v="N590"/>
    <m/>
    <x v="0"/>
    <n v="1.8518518518518518E-5"/>
    <s v="462.1"/>
    <n v="1.4167893058621537"/>
    <x v="21"/>
    <s v="TRI"/>
  </r>
  <r>
    <s v="110000486304"/>
    <s v="Chevron Hawaii Refinery"/>
    <s v="Solids, total suspended"/>
    <s v=""/>
    <n v="77221.250520799993"/>
    <x v="0"/>
    <n v="1.8518518518518518E-5"/>
    <s v=""/>
    <n v="3.9178716651851846E-3"/>
    <x v="22"/>
    <s v="DMR"/>
  </r>
  <r>
    <s v="110000486304"/>
    <s v="Chevron Hawaii Refinery"/>
    <s v="Sulfide, total (as S)"/>
    <s v="18496258"/>
    <n v="48.662131519299997"/>
    <x v="0"/>
    <n v="1.8518518518518518E-5"/>
    <s v=""/>
    <n v="2.4689057087417554E-6"/>
    <x v="23"/>
    <s v="DMR"/>
  </r>
  <r>
    <s v="110000486304"/>
    <s v="Chevron Hawaii Refinery"/>
    <s v="TOLUENE"/>
    <s v="108883"/>
    <m/>
    <x v="0"/>
    <n v="1.8518518518518518E-5"/>
    <s v="19"/>
    <n v="5.8253617856266864E-2"/>
    <x v="24"/>
    <s v="TRI"/>
  </r>
  <r>
    <s v="110000486304"/>
    <s v="Chevron Hawaii Refinery"/>
    <s v="XYLENE (MIXED ISOMERS)"/>
    <s v="1330207"/>
    <m/>
    <x v="0"/>
    <n v="1.8518518518518518E-5"/>
    <s v="39"/>
    <n v="0.11957321559970566"/>
    <x v="25"/>
    <s v="TRI"/>
  </r>
  <r>
    <s v="110002899908"/>
    <s v="CHEVRON PRODUCTS CO."/>
    <s v="1,2,4-TRIMETHYLBENZENE"/>
    <s v="95636"/>
    <m/>
    <x v="2"/>
    <n v="3.5571439182905709E-6"/>
    <s v="100"/>
    <n v="5.8893111229976335E-2"/>
    <x v="0"/>
    <s v="TRI"/>
  </r>
  <r>
    <s v="110002899908"/>
    <s v="CHEVRON PRODUCTS CO."/>
    <s v="2,4-DIMETHYLPHENOL"/>
    <s v="105679"/>
    <m/>
    <x v="2"/>
    <n v="3.5571439182905709E-6"/>
    <s v="17"/>
    <n v="1.0011828909095978E-2"/>
    <x v="81"/>
    <s v="TRI"/>
  </r>
  <r>
    <s v="110002899908"/>
    <s v="CHEVRON PRODUCTS CO."/>
    <s v="AMMONIA"/>
    <s v="7664417"/>
    <m/>
    <x v="2"/>
    <n v="3.5571439182905709E-6"/>
    <s v="2200"/>
    <n v="1.2956484470594793"/>
    <x v="16"/>
    <s v="TRI"/>
  </r>
  <r>
    <s v="110002899908"/>
    <s v="CHEVRON PRODUCTS CO."/>
    <s v="BENZENE"/>
    <s v="71432"/>
    <m/>
    <x v="2"/>
    <n v="3.5571439182905709E-6"/>
    <s v="10"/>
    <n v="5.8893111229976342E-3"/>
    <x v="1"/>
    <s v="TRI"/>
  </r>
  <r>
    <s v="110002899908"/>
    <s v="CHEVRON PRODUCTS CO."/>
    <s v="BENZO(G,H,I)PERYLENE"/>
    <s v="191242"/>
    <m/>
    <x v="2"/>
    <n v="3.5571439182905709E-6"/>
    <s v="3.9"/>
    <n v="2.2968313379690772E-3"/>
    <x v="32"/>
    <s v="TRI"/>
  </r>
  <r>
    <s v="110002899908"/>
    <s v="CHEVRON PRODUCTS CO."/>
    <s v="CHROMIUM AND CHROMIUM COMPOUNDS"/>
    <s v="N090"/>
    <m/>
    <x v="2"/>
    <n v="3.5571439182905709E-6"/>
    <s v="24"/>
    <n v="1.4134346695194321E-2"/>
    <x v="59"/>
    <s v="TRI"/>
  </r>
  <r>
    <s v="110002899908"/>
    <s v="CHEVRON PRODUCTS CO."/>
    <s v="COBALT AND COBALT COMPOUNDS"/>
    <s v="7440484"/>
    <m/>
    <x v="2"/>
    <n v="3.5571439182905709E-6"/>
    <s v="4"/>
    <n v="2.3557244491990534E-3"/>
    <x v="76"/>
    <s v="TRI"/>
  </r>
  <r>
    <s v="110002899908"/>
    <s v="CHEVRON PRODUCTS CO."/>
    <s v="CRESOL (MIXED ISOMERS)"/>
    <s v="1319773"/>
    <m/>
    <x v="2"/>
    <n v="3.5571439182905709E-6"/>
    <s v="12"/>
    <n v="7.0671733475971606E-3"/>
    <x v="61"/>
    <s v="TRI"/>
  </r>
  <r>
    <s v="110002899908"/>
    <s v="CHEVRON PRODUCTS CO."/>
    <s v="CYANIDE COMPOUNDS"/>
    <s v="N106"/>
    <m/>
    <x v="2"/>
    <n v="3.5571439182905709E-6"/>
    <s v="140"/>
    <n v="8.2450355721966878E-2"/>
    <x v="7"/>
    <s v="TRI"/>
  </r>
  <r>
    <s v="110002899908"/>
    <s v="CHEVRON PRODUCTS CO."/>
    <s v="CYCLOHEXANE"/>
    <s v="110827"/>
    <m/>
    <x v="2"/>
    <n v="3.5571439182905709E-6"/>
    <s v="6"/>
    <n v="3.5335866737985803E-3"/>
    <x v="8"/>
    <s v="TRI"/>
  </r>
  <r>
    <s v="110002899908"/>
    <s v="CHEVRON PRODUCTS CO."/>
    <s v="DIETHANOLAMINE"/>
    <s v="111422"/>
    <m/>
    <x v="2"/>
    <n v="3.5571439182905709E-6"/>
    <s v="0"/>
    <n v="0"/>
    <x v="9"/>
    <s v="TRI"/>
  </r>
  <r>
    <s v="110002899908"/>
    <s v="CHEVRON PRODUCTS CO."/>
    <s v="DIOXIN AND DIOXIN-LIKE COMPOUNDS"/>
    <s v="N150"/>
    <m/>
    <x v="2"/>
    <n v="3.5571439182905709E-6"/>
    <s v="0.001472131"/>
    <n v="8.6698374728096298E-7"/>
    <x v="37"/>
    <s v="TRI"/>
  </r>
  <r>
    <s v="110002899908"/>
    <s v="CHEVRON PRODUCTS CO."/>
    <s v="ETHYLBENZENE"/>
    <s v="100414"/>
    <m/>
    <x v="2"/>
    <n v="3.5571439182905709E-6"/>
    <s v="3"/>
    <n v="1.7667933368992902E-3"/>
    <x v="10"/>
    <s v="TRI"/>
  </r>
  <r>
    <s v="110002899908"/>
    <s v="CHEVRON PRODUCTS CO."/>
    <s v="LEAD AND LEAD COMPOUNDS"/>
    <s v="7439921"/>
    <m/>
    <x v="2"/>
    <n v="3.5571439182905709E-6"/>
    <s v="16.7"/>
    <n v="9.8351495754060488E-3"/>
    <x v="11"/>
    <s v="TRI"/>
  </r>
  <r>
    <s v="110002899908"/>
    <s v="CHEVRON PRODUCTS CO."/>
    <s v="MERCURY AND MERCURY COMPOUNDS"/>
    <s v="N458"/>
    <m/>
    <x v="2"/>
    <n v="3.5571439182905709E-6"/>
    <s v="1.1"/>
    <n v="6.4782422352973983E-4"/>
    <x v="12"/>
    <s v="TRI"/>
  </r>
  <r>
    <s v="110002899908"/>
    <s v="CHEVRON PRODUCTS CO."/>
    <s v="METHANOL"/>
    <s v="67561"/>
    <m/>
    <x v="2"/>
    <n v="3.5571439182905709E-6"/>
    <s v="22"/>
    <n v="1.2956484470594793E-2"/>
    <x v="42"/>
    <s v="TRI"/>
  </r>
  <r>
    <s v="110002899908"/>
    <s v="CHEVRON PRODUCTS CO."/>
    <s v="NAPHTHALENE"/>
    <s v="91203"/>
    <m/>
    <x v="2"/>
    <n v="3.5571439182905709E-6"/>
    <s v="4"/>
    <n v="2.3557244491990534E-3"/>
    <x v="13"/>
    <s v="TRI"/>
  </r>
  <r>
    <s v="110002899908"/>
    <s v="CHEVRON PRODUCTS CO."/>
    <s v="N-HEXANE"/>
    <s v="110543"/>
    <m/>
    <x v="2"/>
    <n v="3.5571439182905709E-6"/>
    <s v="7"/>
    <n v="4.1225177860983436E-3"/>
    <x v="14"/>
    <s v="TRI"/>
  </r>
  <r>
    <s v="110002899908"/>
    <s v="CHEVRON PRODUCTS CO."/>
    <s v="NICKEL AND NICKEL COMPOUNDS"/>
    <s v="N495"/>
    <m/>
    <x v="2"/>
    <n v="3.5571439182905709E-6"/>
    <s v="120"/>
    <n v="7.0671733475971596E-2"/>
    <x v="45"/>
    <s v="TRI"/>
  </r>
  <r>
    <s v="110002899908"/>
    <s v="CHEVRON PRODUCTS CO."/>
    <s v="NITRATE COMPOUNDS"/>
    <s v="14797558"/>
    <m/>
    <x v="2"/>
    <n v="3.5571439182905709E-6"/>
    <s v="1500000"/>
    <n v="883.39666844964495"/>
    <x v="15"/>
    <s v="TRI"/>
  </r>
  <r>
    <s v="110002899908"/>
    <s v="CHEVRON PRODUCTS CO."/>
    <s v="PHENOL"/>
    <s v="108952"/>
    <m/>
    <x v="2"/>
    <n v="3.5571439182905709E-6"/>
    <s v="13"/>
    <n v="7.6561044598969239E-3"/>
    <x v="19"/>
    <s v="TRI"/>
  </r>
  <r>
    <s v="110002899908"/>
    <s v="CHEVRON PRODUCTS CO."/>
    <s v="POLYCYCLIC AROMATIC COMPOUNDS"/>
    <s v="N590"/>
    <m/>
    <x v="2"/>
    <n v="3.5571439182905709E-6"/>
    <s v="32.3"/>
    <n v="1.9022474927282356E-2"/>
    <x v="21"/>
    <s v="TRI"/>
  </r>
  <r>
    <s v="110002899908"/>
    <s v="CHEVRON PRODUCTS CO."/>
    <s v="TETRACHLOROETHYLENE"/>
    <s v="127184"/>
    <m/>
    <x v="2"/>
    <n v="3.5571439182905709E-6"/>
    <s v="0"/>
    <n v="0"/>
    <x v="50"/>
    <s v="TRI"/>
  </r>
  <r>
    <s v="110002899908"/>
    <s v="CHEVRON PRODUCTS CO."/>
    <s v="TOLUENE"/>
    <s v="108883"/>
    <m/>
    <x v="2"/>
    <n v="3.5571439182905709E-6"/>
    <s v="17"/>
    <n v="1.0011828909095978E-2"/>
    <x v="24"/>
    <s v="TRI"/>
  </r>
  <r>
    <s v="110002899908"/>
    <s v="CHEVRON PRODUCTS CO."/>
    <s v="VANADIUM AND VANADIUM COMPOUNDS"/>
    <s v="7440622"/>
    <m/>
    <x v="2"/>
    <n v="3.5571439182905709E-6"/>
    <s v="0"/>
    <n v="0"/>
    <x v="78"/>
    <s v="TRI"/>
  </r>
  <r>
    <s v="110002899908"/>
    <s v="CHEVRON PRODUCTS CO."/>
    <s v="XYLENE (MIXED ISOMERS)"/>
    <s v="1330207"/>
    <m/>
    <x v="2"/>
    <n v="3.5571439182905709E-6"/>
    <s v="82"/>
    <n v="4.8292351208580601E-2"/>
    <x v="25"/>
    <s v="TRI"/>
  </r>
  <r>
    <s v="110002899908"/>
    <s v="CHEVRON PRODUCTS CO."/>
    <s v="ZINC AND ZINC COMPOUNDS"/>
    <s v="7440666"/>
    <m/>
    <x v="2"/>
    <n v="3.5571439182905709E-6"/>
    <s v="670"/>
    <n v="0.3945838452408415"/>
    <x v="29"/>
    <s v="TRI"/>
  </r>
  <r>
    <s v="110000469485"/>
    <s v="Chevron Products Co: Salt Lake Refinery"/>
    <s v="1,2,4-TRIMETHYLBENZENE"/>
    <s v="95636"/>
    <m/>
    <x v="3"/>
    <n v="2.2222222222222223E-5"/>
    <s v="250"/>
    <n v="0.91979396615158204"/>
    <x v="0"/>
    <s v="TRI"/>
  </r>
  <r>
    <s v="110000469485"/>
    <s v="Chevron Products Co: Salt Lake Refinery"/>
    <s v="1,3-BUTADIENE"/>
    <s v="106990"/>
    <m/>
    <x v="3"/>
    <n v="2.2222222222222223E-5"/>
    <s v="0"/>
    <n v="0"/>
    <x v="30"/>
    <s v="TRI"/>
  </r>
  <r>
    <s v="110000469485"/>
    <s v="Chevron Products Co: Salt Lake Refinery"/>
    <s v="BENZENE"/>
    <s v="71432"/>
    <m/>
    <x v="3"/>
    <n v="2.2222222222222223E-5"/>
    <s v="5"/>
    <n v="1.8395879323031643E-2"/>
    <x v="1"/>
    <s v="TRI"/>
  </r>
  <r>
    <s v="110000469485"/>
    <s v="Chevron Products Co: Salt Lake Refinery"/>
    <s v="BENZO(G,H,I)PERYLENE"/>
    <s v="191242"/>
    <m/>
    <x v="3"/>
    <n v="2.2222222222222223E-5"/>
    <s v="0.2"/>
    <n v="7.3583517292126574E-4"/>
    <x v="32"/>
    <s v="TRI"/>
  </r>
  <r>
    <s v="110000469485"/>
    <s v="Chevron Products Co: Salt Lake Refinery"/>
    <s v="BOD, 5-day, 20 deg. C"/>
    <s v=""/>
    <n v="13491.1564626"/>
    <x v="3"/>
    <n v="2.2222222222222223E-5"/>
    <s v=""/>
    <n v="8.213793888949771E-4"/>
    <x v="2"/>
    <s v="DMR"/>
  </r>
  <r>
    <s v="110000469485"/>
    <s v="Chevron Products Co: Salt Lake Refinery"/>
    <s v="CARBON DISULFIDE"/>
    <s v="75150"/>
    <m/>
    <x v="3"/>
    <n v="2.2222222222222223E-5"/>
    <s v="0"/>
    <n v="0"/>
    <x v="34"/>
    <s v="TRI"/>
  </r>
  <r>
    <s v="110000469485"/>
    <s v="Chevron Products Co: Salt Lake Refinery"/>
    <s v="Chemical Oxygen Demand (COD)"/>
    <s v=""/>
    <n v="107106.122449"/>
    <x v="3"/>
    <n v="2.2222222222222223E-5"/>
    <s v=""/>
    <n v="6.5209206970471842E-3"/>
    <x v="18"/>
    <s v="DMR"/>
  </r>
  <r>
    <s v="110000469485"/>
    <s v="Chevron Products Co: Salt Lake Refinery"/>
    <s v="CYCLOHEXANE"/>
    <s v="110827"/>
    <m/>
    <x v="3"/>
    <n v="2.2222222222222223E-5"/>
    <s v="5"/>
    <n v="1.8395879323031643E-2"/>
    <x v="8"/>
    <s v="TRI"/>
  </r>
  <r>
    <s v="110000469485"/>
    <s v="Chevron Products Co: Salt Lake Refinery"/>
    <s v="DIOXIN AND DIOXIN-LIKE COMPOUNDS"/>
    <s v="N150"/>
    <m/>
    <x v="3"/>
    <n v="2.2222222222222223E-5"/>
    <s v="0.000230163"/>
    <n v="8.4681015452538645E-7"/>
    <x v="37"/>
    <s v="TRI"/>
  </r>
  <r>
    <s v="110000469485"/>
    <s v="Chevron Products Co: Salt Lake Refinery"/>
    <s v="ETHYLBENZENE"/>
    <s v="100414"/>
    <m/>
    <x v="3"/>
    <n v="2.2222222222222223E-5"/>
    <s v="5"/>
    <n v="1.8395879323031643E-2"/>
    <x v="10"/>
    <s v="TRI"/>
  </r>
  <r>
    <s v="110000469485"/>
    <s v="Chevron Products Co: Salt Lake Refinery"/>
    <s v="HYDROGEN FLUORIDE"/>
    <s v="7664393"/>
    <m/>
    <x v="3"/>
    <n v="2.2222222222222223E-5"/>
    <s v="0"/>
    <n v="0"/>
    <x v="77"/>
    <s v="TRI"/>
  </r>
  <r>
    <s v="110000469485"/>
    <s v="Chevron Products Co: Salt Lake Refinery"/>
    <s v="LEAD AND LEAD COMPOUNDS"/>
    <s v="7439921"/>
    <m/>
    <x v="3"/>
    <n v="2.2222222222222223E-5"/>
    <s v="8.5"/>
    <n v="3.1272994849153794E-2"/>
    <x v="11"/>
    <s v="TRI"/>
  </r>
  <r>
    <s v="110000469485"/>
    <s v="Chevron Products Co: Salt Lake Refinery"/>
    <s v="MERCURY AND MERCURY COMPOUNDS"/>
    <s v="N458"/>
    <m/>
    <x v="3"/>
    <n v="2.2222222222222223E-5"/>
    <s v="0.3"/>
    <n v="1.1037527593818985E-3"/>
    <x v="12"/>
    <s v="TRI"/>
  </r>
  <r>
    <s v="110000469485"/>
    <s v="Chevron Products Co: Salt Lake Refinery"/>
    <s v="NAPHTHALENE"/>
    <s v="91203"/>
    <m/>
    <x v="3"/>
    <n v="2.2222222222222223E-5"/>
    <s v="5"/>
    <n v="1.8395879323031643E-2"/>
    <x v="13"/>
    <s v="TRI"/>
  </r>
  <r>
    <s v="110000469485"/>
    <s v="Chevron Products Co: Salt Lake Refinery"/>
    <s v="N-HEXANE"/>
    <s v="110543"/>
    <m/>
    <x v="3"/>
    <n v="2.2222222222222223E-5"/>
    <s v="5"/>
    <n v="1.8395879323031643E-2"/>
    <x v="14"/>
    <s v="TRI"/>
  </r>
  <r>
    <s v="110000469485"/>
    <s v="Chevron Products Co: Salt Lake Refinery"/>
    <s v="NITRATE COMPOUNDS"/>
    <s v="14797558"/>
    <m/>
    <x v="3"/>
    <n v="2.2222222222222223E-5"/>
    <s v="91000"/>
    <n v="334.80500367917591"/>
    <x v="15"/>
    <s v="TRI"/>
  </r>
  <r>
    <s v="110000469485"/>
    <s v="Chevron Products Co: Salt Lake Refinery"/>
    <s v="Nitrogen, ammonia total (as N)"/>
    <s v="7664417"/>
    <n v="3983.2199546500001"/>
    <x v="3"/>
    <n v="2.2222222222222223E-5"/>
    <s v=""/>
    <n v="2.4250958628006089E-4"/>
    <x v="16"/>
    <s v="DMR"/>
  </r>
  <r>
    <s v="110000469485"/>
    <s v="Chevron Products Co: Salt Lake Refinery"/>
    <s v="Oil and grease (soxhlet extr.) tot."/>
    <s v=""/>
    <n v="4185.4875283399997"/>
    <x v="3"/>
    <n v="2.2222222222222223E-5"/>
    <s v=""/>
    <n v="2.5482420263866053E-4"/>
    <x v="82"/>
    <s v="DMR"/>
  </r>
  <r>
    <s v="110000469485"/>
    <s v="Chevron Products Co: Salt Lake Refinery"/>
    <s v="Phenolics, total recoverable"/>
    <s v=""/>
    <n v="38.494331065799997"/>
    <x v="3"/>
    <n v="2.2222222222222223E-5"/>
    <s v=""/>
    <n v="2.3436426828493148E-6"/>
    <x v="20"/>
    <s v="DMR"/>
  </r>
  <r>
    <s v="110000469485"/>
    <s v="Chevron Products Co: Salt Lake Refinery"/>
    <s v="POLYCYCLIC AROMATIC COMPOUNDS"/>
    <s v="N590"/>
    <m/>
    <x v="3"/>
    <n v="2.2222222222222223E-5"/>
    <s v="0.6"/>
    <n v="2.2075055187637969E-3"/>
    <x v="21"/>
    <s v="TRI"/>
  </r>
  <r>
    <s v="110000469485"/>
    <s v="Chevron Products Co: Salt Lake Refinery"/>
    <s v="Sulfide, total"/>
    <s v="18496258"/>
    <n v="178.60770975099999"/>
    <x v="3"/>
    <n v="2.2222222222222223E-5"/>
    <s v=""/>
    <n v="1.0874137579969557E-5"/>
    <x v="83"/>
    <s v="DMR"/>
  </r>
  <r>
    <s v="110000469485"/>
    <s v="Chevron Products Co: Salt Lake Refinery"/>
    <s v="Suspended solids"/>
    <s v=""/>
    <n v="14751.927437599999"/>
    <x v="3"/>
    <n v="2.2222222222222223E-5"/>
    <s v=""/>
    <n v="8.9813865677929982E-4"/>
    <x v="84"/>
    <s v="DMR"/>
  </r>
  <r>
    <s v="110000469485"/>
    <s v="Chevron Products Co: Salt Lake Refinery"/>
    <s v="TETRACHLOROETHYLENE"/>
    <s v="127184"/>
    <m/>
    <x v="3"/>
    <n v="2.2222222222222223E-5"/>
    <s v="5"/>
    <n v="1.8395879323031643E-2"/>
    <x v="50"/>
    <s v="TRI"/>
  </r>
  <r>
    <s v="110000469485"/>
    <s v="Chevron Products Co: Salt Lake Refinery"/>
    <s v="TOLUENE"/>
    <s v="108883"/>
    <m/>
    <x v="3"/>
    <n v="2.2222222222222223E-5"/>
    <s v="5"/>
    <n v="1.8395879323031643E-2"/>
    <x v="24"/>
    <s v="TRI"/>
  </r>
  <r>
    <s v="110000469485"/>
    <s v="Chevron Products Co: Salt Lake Refinery"/>
    <s v="XYLENE (MIXED ISOMERS)"/>
    <s v="1330207"/>
    <m/>
    <x v="3"/>
    <n v="2.2222222222222223E-5"/>
    <s v="1400"/>
    <n v="5.1508462104488597"/>
    <x v="25"/>
    <s v="TRI"/>
  </r>
  <r>
    <s v="110000469485"/>
    <s v="Chevron Products Co: Salt Lake Refinery"/>
    <s v="ZINC AND ZINC COMPOUNDS"/>
    <s v="7440666"/>
    <m/>
    <x v="3"/>
    <n v="2.2222222222222223E-5"/>
    <s v="250"/>
    <n v="0.91979396615158204"/>
    <x v="29"/>
    <s v="TRI"/>
  </r>
  <r>
    <s v="110020506460"/>
    <s v="CHEVRON PRODUCTS COMPANY"/>
    <s v="1,2,4-TRIMETHYLBENZENE"/>
    <s v="95636"/>
    <m/>
    <x v="4"/>
    <n v="3.9377436790953236E-6"/>
    <s v="11"/>
    <n v="7.1713874950411509E-3"/>
    <x v="0"/>
    <s v="TRI"/>
  </r>
  <r>
    <s v="110020506460"/>
    <s v="CHEVRON PRODUCTS COMPANY"/>
    <s v="BENZENE"/>
    <s v="71432"/>
    <m/>
    <x v="4"/>
    <n v="3.9377436790953236E-6"/>
    <s v="4"/>
    <n v="2.6077772709240553E-3"/>
    <x v="1"/>
    <s v="TRI"/>
  </r>
  <r>
    <s v="110020506460"/>
    <s v="CHEVRON PRODUCTS COMPANY"/>
    <s v="BENZO(G,H,I)PERYLENE"/>
    <s v="191242"/>
    <m/>
    <x v="4"/>
    <n v="3.9377436790953236E-6"/>
    <s v="0.3"/>
    <n v="1.9558329531930413E-4"/>
    <x v="32"/>
    <s v="TRI"/>
  </r>
  <r>
    <s v="110020506460"/>
    <s v="CHEVRON PRODUCTS COMPANY"/>
    <s v="BOD, 5-day, 20 deg. C"/>
    <s v=""/>
    <n v="222559.63718799999"/>
    <x v="4"/>
    <n v="3.9377436790953236E-6"/>
    <s v=""/>
    <n v="2.4010487796131382E-3"/>
    <x v="2"/>
    <s v="DMR"/>
  </r>
  <r>
    <s v="110020506460"/>
    <s v="CHEVRON PRODUCTS COMPANY"/>
    <s v="Carbon, tot organic (TOC)"/>
    <s v="7440440"/>
    <n v="486651.70068000001"/>
    <x v="4"/>
    <n v="3.9377436790953236E-6"/>
    <s v=""/>
    <n v="5.250163447325094E-3"/>
    <x v="3"/>
    <s v="DMR"/>
  </r>
  <r>
    <s v="110020506460"/>
    <s v="CHEVRON PRODUCTS COMPANY"/>
    <s v="Chemical Oxygen Demand (COD)"/>
    <s v=""/>
    <n v="1063948.29932"/>
    <x v="4"/>
    <n v="3.9377436790953236E-6"/>
    <s v=""/>
    <n v="1.1478234768579586E-2"/>
    <x v="18"/>
    <s v="DMR"/>
  </r>
  <r>
    <s v="110020506460"/>
    <s v="CHEVRON PRODUCTS COMPANY"/>
    <s v="Chromium, hexavalent (as Cr)"/>
    <s v="18540299"/>
    <n v="1.06848072562"/>
    <x v="4"/>
    <n v="3.9377436790953236E-6"/>
    <s v=""/>
    <n v="1.15271321193023E-8"/>
    <x v="4"/>
    <s v="DMR"/>
  </r>
  <r>
    <s v="110020506460"/>
    <s v="CHEVRON PRODUCTS COMPANY"/>
    <s v="Chromium, total (as Cr)"/>
    <s v="7440473"/>
    <n v="55.147392290200003"/>
    <x v="4"/>
    <n v="3.9377436790953236E-6"/>
    <s v=""/>
    <n v="5.9494875454609648E-7"/>
    <x v="5"/>
    <s v="DMR"/>
  </r>
  <r>
    <s v="110020506460"/>
    <s v="CHEVRON PRODUCTS COMPANY"/>
    <s v="COBALT AND COBALT COMPOUNDS"/>
    <s v="7440484"/>
    <m/>
    <x v="4"/>
    <n v="3.9377436790953236E-6"/>
    <s v="21"/>
    <n v="1.3690830672351289E-2"/>
    <x v="76"/>
    <s v="TRI"/>
  </r>
  <r>
    <s v="110020506460"/>
    <s v="CHEVRON PRODUCTS COMPANY"/>
    <s v="Copper, total (as Cu)"/>
    <s v="7440508"/>
    <n v="59.019425515000002"/>
    <x v="4"/>
    <n v="3.9377436790953236E-6"/>
    <s v=""/>
    <n v="6.3672156100144795E-7"/>
    <x v="68"/>
    <s v="DMR"/>
  </r>
  <r>
    <s v="110020506460"/>
    <s v="CHEVRON PRODUCTS COMPANY"/>
    <s v="CRESOL (MIXED ISOMERS)"/>
    <s v="1319773"/>
    <m/>
    <x v="4"/>
    <n v="3.9377436790953236E-6"/>
    <s v="720"/>
    <n v="0.46939990876632992"/>
    <x v="61"/>
    <s v="TRI"/>
  </r>
  <r>
    <s v="110020506460"/>
    <s v="CHEVRON PRODUCTS COMPANY"/>
    <s v="CYANIDE COMPOUNDS"/>
    <s v="N106"/>
    <m/>
    <x v="4"/>
    <n v="3.9377436790953236E-6"/>
    <s v="94"/>
    <n v="6.1282765866715293E-2"/>
    <x v="7"/>
    <s v="TRI"/>
  </r>
  <r>
    <s v="110020506460"/>
    <s v="CHEVRON PRODUCTS COMPANY"/>
    <s v="Cyanide, total (as CN)"/>
    <s v="57125"/>
    <n v="54.329814300000002"/>
    <x v="4"/>
    <n v="3.9377436790953236E-6"/>
    <s v=""/>
    <n v="5.8612844615410329E-7"/>
    <x v="85"/>
    <s v="DMR"/>
  </r>
  <r>
    <s v="110020506460"/>
    <s v="CHEVRON PRODUCTS COMPANY"/>
    <s v="CYCLOHEXANE"/>
    <s v="110827"/>
    <m/>
    <x v="4"/>
    <n v="3.9377436790953236E-6"/>
    <s v="1"/>
    <n v="6.5194431773101381E-4"/>
    <x v="8"/>
    <s v="TRI"/>
  </r>
  <r>
    <s v="110020506460"/>
    <s v="CHEVRON PRODUCTS COMPANY"/>
    <s v="DIOXIN AND DIOXIN-LIKE COMPOUNDS"/>
    <s v="N150"/>
    <m/>
    <x v="4"/>
    <n v="3.9377436790953236E-6"/>
    <s v="0.000867739"/>
    <n v="5.6571751032359214E-7"/>
    <x v="37"/>
    <s v="TRI"/>
  </r>
  <r>
    <s v="110020506460"/>
    <s v="CHEVRON PRODUCTS COMPANY"/>
    <s v="ETHYLBENZENE"/>
    <s v="100414"/>
    <m/>
    <x v="4"/>
    <n v="3.9377436790953236E-6"/>
    <s v="1"/>
    <n v="6.5194431773101381E-4"/>
    <x v="10"/>
    <s v="TRI"/>
  </r>
  <r>
    <s v="110020506460"/>
    <s v="CHEVRON PRODUCTS COMPANY"/>
    <s v="Lead, total (as Pb)"/>
    <s v="7439921"/>
    <n v="0.36913591000000001"/>
    <x v="4"/>
    <n v="3.9377436790953236E-6"/>
    <s v=""/>
    <n v="3.9823632776153434E-9"/>
    <x v="57"/>
    <s v="DMR"/>
  </r>
  <r>
    <s v="110020506460"/>
    <s v="CHEVRON PRODUCTS COMPANY"/>
    <s v="MERCURY AND MERCURY COMPOUNDS"/>
    <s v="N458"/>
    <m/>
    <x v="4"/>
    <n v="3.9377436790953236E-6"/>
    <s v="0.4"/>
    <n v="2.6077772709240556E-4"/>
    <x v="12"/>
    <s v="TRI"/>
  </r>
  <r>
    <s v="110020506460"/>
    <s v="CHEVRON PRODUCTS COMPANY"/>
    <s v="Mercury, total (as Hg)"/>
    <s v="7439976"/>
    <n v="0.32845798510000002"/>
    <x v="4"/>
    <n v="3.9377436790953236E-6"/>
    <s v=""/>
    <n v="3.5435160402079755E-9"/>
    <x v="64"/>
    <s v="DMR"/>
  </r>
  <r>
    <s v="110020506460"/>
    <s v="CHEVRON PRODUCTS COMPANY"/>
    <s v="METHANOL"/>
    <s v="67561"/>
    <m/>
    <x v="4"/>
    <n v="3.9377436790953236E-6"/>
    <s v="8000"/>
    <n v="5.2155545418481104"/>
    <x v="42"/>
    <s v="TRI"/>
  </r>
  <r>
    <s v="110020506460"/>
    <s v="CHEVRON PRODUCTS COMPANY"/>
    <s v="NAPHTHALENE"/>
    <s v="91203"/>
    <m/>
    <x v="4"/>
    <n v="3.9377436790953236E-6"/>
    <s v="1"/>
    <n v="6.5194431773101381E-4"/>
    <x v="13"/>
    <s v="TRI"/>
  </r>
  <r>
    <s v="110020506460"/>
    <s v="CHEVRON PRODUCTS COMPANY"/>
    <s v="N-HEXANE"/>
    <s v="110543"/>
    <m/>
    <x v="4"/>
    <n v="3.9377436790953236E-6"/>
    <s v="0"/>
    <n v="0"/>
    <x v="14"/>
    <s v="TRI"/>
  </r>
  <r>
    <s v="110020506460"/>
    <s v="CHEVRON PRODUCTS COMPANY"/>
    <s v="NICKEL AND NICKEL COMPOUNDS"/>
    <s v="N495"/>
    <m/>
    <x v="4"/>
    <n v="3.9377436790953236E-6"/>
    <s v="281"/>
    <n v="0.18319635328241488"/>
    <x v="45"/>
    <s v="TRI"/>
  </r>
  <r>
    <s v="110020506460"/>
    <s v="CHEVRON PRODUCTS COMPANY"/>
    <s v="Nickel, total (as Ni)"/>
    <s v="7440020"/>
    <n v="332.79864202499999"/>
    <x v="4"/>
    <n v="3.9377436790953236E-6"/>
    <s v=""/>
    <n v="3.5903445179327423E-6"/>
    <x v="71"/>
    <s v="DMR"/>
  </r>
  <r>
    <s v="110020506460"/>
    <s v="CHEVRON PRODUCTS COMPANY"/>
    <s v="NITRATE COMPOUNDS"/>
    <s v="14797558"/>
    <m/>
    <x v="4"/>
    <n v="3.9377436790953236E-6"/>
    <s v="44000"/>
    <n v="28.685549980164609"/>
    <x v="15"/>
    <s v="TRI"/>
  </r>
  <r>
    <s v="110020506460"/>
    <s v="CHEVRON PRODUCTS COMPANY"/>
    <s v="Nitrogen, ammonia total (as N)"/>
    <s v="7664417"/>
    <n v="94992.290249400001"/>
    <x v="4"/>
    <n v="3.9377436790953236E-6"/>
    <s v=""/>
    <n v="1.0248090150475704E-3"/>
    <x v="16"/>
    <s v="DMR"/>
  </r>
  <r>
    <s v="110020506460"/>
    <s v="CHEVRON PRODUCTS COMPANY"/>
    <s v="PHENOL"/>
    <s v="108952"/>
    <m/>
    <x v="4"/>
    <n v="3.9377436790953236E-6"/>
    <s v="7"/>
    <n v="4.5636102241170965E-3"/>
    <x v="19"/>
    <s v="TRI"/>
  </r>
  <r>
    <s v="110020506460"/>
    <s v="CHEVRON PRODUCTS COMPANY"/>
    <s v="Phenols"/>
    <s v=""/>
    <n v="140.49886621300001"/>
    <x v="4"/>
    <n v="3.9377436790953236E-6"/>
    <s v=""/>
    <n v="1.5157493763021927E-6"/>
    <x v="73"/>
    <s v="DMR"/>
  </r>
  <r>
    <s v="110020506460"/>
    <s v="CHEVRON PRODUCTS COMPANY"/>
    <s v="POLYCYCLIC AROMATIC COMPOUNDS"/>
    <s v="N590"/>
    <m/>
    <x v="4"/>
    <n v="3.9377436790953236E-6"/>
    <s v="2.6"/>
    <n v="1.6950552261006358E-3"/>
    <x v="21"/>
    <s v="TRI"/>
  </r>
  <r>
    <s v="110020506460"/>
    <s v="CHEVRON PRODUCTS COMPANY"/>
    <s v="PROPYLENE"/>
    <s v="115071"/>
    <m/>
    <x v="4"/>
    <n v="3.9377436790953236E-6"/>
    <s v="22"/>
    <n v="1.4342774990082302E-2"/>
    <x v="54"/>
    <s v="TRI"/>
  </r>
  <r>
    <s v="110020506460"/>
    <s v="CHEVRON PRODUCTS COMPANY"/>
    <s v="Selenium, total (as Se)"/>
    <s v="7782492"/>
    <n v="241.74584580499999"/>
    <x v="4"/>
    <n v="3.9377436790953236E-6"/>
    <s v=""/>
    <n v="2.6080360993594283E-6"/>
    <x v="55"/>
    <s v="DMR"/>
  </r>
  <r>
    <s v="110020506460"/>
    <s v="CHEVRON PRODUCTS COMPANY"/>
    <s v="Solids, total suspended"/>
    <s v=""/>
    <n v="232302.04081599999"/>
    <x v="4"/>
    <n v="3.9377436790953236E-6"/>
    <s v=""/>
    <n v="2.5061531311346514E-3"/>
    <x v="22"/>
    <s v="DMR"/>
  </r>
  <r>
    <s v="110020506460"/>
    <s v="CHEVRON PRODUCTS COMPANY"/>
    <s v="Sulfide, total (as S)"/>
    <s v="18496258"/>
    <n v="516.28117913799997"/>
    <x v="4"/>
    <n v="3.9377436790953236E-6"/>
    <s v=""/>
    <n v="5.5698163007850402E-6"/>
    <x v="23"/>
    <s v="DMR"/>
  </r>
  <r>
    <s v="110020506460"/>
    <s v="CHEVRON PRODUCTS COMPANY"/>
    <s v="TETRACHLOROETHYLENE"/>
    <s v="127184"/>
    <m/>
    <x v="4"/>
    <n v="3.9377436790953236E-6"/>
    <s v="1"/>
    <n v="6.5194431773101381E-4"/>
    <x v="50"/>
    <s v="TRI"/>
  </r>
  <r>
    <s v="110020506460"/>
    <s v="CHEVRON PRODUCTS COMPANY"/>
    <s v="TOLUENE"/>
    <s v="108883"/>
    <m/>
    <x v="4"/>
    <n v="3.9377436790953236E-6"/>
    <s v="6"/>
    <n v="3.9116659063860824E-3"/>
    <x v="24"/>
    <s v="TRI"/>
  </r>
  <r>
    <s v="110020506460"/>
    <s v="CHEVRON PRODUCTS COMPANY"/>
    <s v="VANADIUM AND VANADIUM COMPOUNDS"/>
    <s v="7440622"/>
    <m/>
    <x v="4"/>
    <n v="3.9377436790953236E-6"/>
    <s v="82"/>
    <n v="5.3459434053943135E-2"/>
    <x v="78"/>
    <s v="TRI"/>
  </r>
  <r>
    <s v="110020506460"/>
    <s v="CHEVRON PRODUCTS COMPANY"/>
    <s v="XYLENE (MIXED ISOMERS)"/>
    <s v="1330207"/>
    <m/>
    <x v="4"/>
    <n v="3.9377436790953236E-6"/>
    <s v="33"/>
    <n v="2.1514162485123455E-2"/>
    <x v="25"/>
    <s v="TRI"/>
  </r>
  <r>
    <s v="110020506460"/>
    <s v="CHEVRON PRODUCTS COMPANY"/>
    <s v="ZINC AND ZINC COMPOUNDS"/>
    <s v="7440666"/>
    <m/>
    <x v="4"/>
    <n v="3.9377436790953236E-6"/>
    <s v="668"/>
    <n v="0.43549880424431719"/>
    <x v="29"/>
    <s v="TRI"/>
  </r>
  <r>
    <s v="110000377477"/>
    <s v="Chevron Products Company,  Pascagoula Refinery"/>
    <s v="1,2,4-TRIMETHYLBENZENE"/>
    <s v="95636"/>
    <m/>
    <x v="2"/>
    <n v="3.0303030303030305E-6"/>
    <s v="0"/>
    <n v="0"/>
    <x v="0"/>
    <s v="TRI"/>
  </r>
  <r>
    <s v="110000377477"/>
    <s v="Chevron Products Company,  Pascagoula Refinery"/>
    <s v="1,2-DIBROMOETHANE"/>
    <s v="106934"/>
    <m/>
    <x v="2"/>
    <n v="3.0303030303030305E-6"/>
    <s v="0"/>
    <n v="0"/>
    <x v="86"/>
    <s v="TRI"/>
  </r>
  <r>
    <s v="110000377477"/>
    <s v="Chevron Products Company,  Pascagoula Refinery"/>
    <s v="1,3-BUTADIENE"/>
    <s v="106990"/>
    <m/>
    <x v="2"/>
    <n v="3.0303030303030305E-6"/>
    <s v="0"/>
    <n v="0"/>
    <x v="30"/>
    <s v="TRI"/>
  </r>
  <r>
    <s v="110000377477"/>
    <s v="Chevron Products Company,  Pascagoula Refinery"/>
    <s v="AMMONIA"/>
    <s v="7664417"/>
    <m/>
    <x v="2"/>
    <n v="3.0303030303030305E-6"/>
    <s v="1000"/>
    <n v="0.50170579971904472"/>
    <x v="16"/>
    <s v="TRI"/>
  </r>
  <r>
    <s v="110000377477"/>
    <s v="Chevron Products Company,  Pascagoula Refinery"/>
    <s v="BENZENE"/>
    <s v="71432"/>
    <m/>
    <x v="2"/>
    <n v="3.0303030303030305E-6"/>
    <s v="6"/>
    <n v="3.0102347983142685E-3"/>
    <x v="1"/>
    <s v="TRI"/>
  </r>
  <r>
    <s v="110000377477"/>
    <s v="Chevron Products Company,  Pascagoula Refinery"/>
    <s v="BENZO(G,H,I)PERYLENE"/>
    <s v="191242"/>
    <m/>
    <x v="2"/>
    <n v="3.0303030303030305E-6"/>
    <s v="3.9"/>
    <n v="1.9566526189042743E-3"/>
    <x v="32"/>
    <s v="TRI"/>
  </r>
  <r>
    <s v="110000377477"/>
    <s v="Chevron Products Company,  Pascagoula Refinery"/>
    <s v="BIPHENYL"/>
    <s v="92524"/>
    <m/>
    <x v="2"/>
    <n v="3.0303030303030305E-6"/>
    <s v="0"/>
    <n v="0"/>
    <x v="52"/>
    <s v="TRI"/>
  </r>
  <r>
    <s v="110000377477"/>
    <s v="Chevron Products Company,  Pascagoula Refinery"/>
    <s v="CARBON DISULFIDE"/>
    <s v="75150"/>
    <m/>
    <x v="2"/>
    <n v="3.0303030303030305E-6"/>
    <s v="64"/>
    <n v="3.2109171182018864E-2"/>
    <x v="34"/>
    <s v="TRI"/>
  </r>
  <r>
    <s v="110000377477"/>
    <s v="Chevron Products Company,  Pascagoula Refinery"/>
    <s v="CHROMIUM AND CHROMIUM COMPOUNDS"/>
    <s v="N090"/>
    <m/>
    <x v="2"/>
    <n v="3.0303030303030305E-6"/>
    <s v="33"/>
    <n v="1.6556291390728475E-2"/>
    <x v="59"/>
    <s v="TRI"/>
  </r>
  <r>
    <s v="110000377477"/>
    <s v="Chevron Products Company,  Pascagoula Refinery"/>
    <s v="COBALT AND COBALT COMPOUNDS"/>
    <s v="7440484"/>
    <m/>
    <x v="2"/>
    <n v="3.0303030303030305E-6"/>
    <s v="22"/>
    <n v="1.1037527593818984E-2"/>
    <x v="76"/>
    <s v="TRI"/>
  </r>
  <r>
    <s v="110000377477"/>
    <s v="Chevron Products Company,  Pascagoula Refinery"/>
    <s v="COPPER AND COPPER COMPOUNDS"/>
    <s v="7440508"/>
    <m/>
    <x v="2"/>
    <n v="3.0303030303030305E-6"/>
    <s v="99"/>
    <n v="4.9668874172185427E-2"/>
    <x v="60"/>
    <s v="TRI"/>
  </r>
  <r>
    <s v="110000377477"/>
    <s v="Chevron Products Company,  Pascagoula Refinery"/>
    <s v="CRESOL (MIXED ISOMERS)"/>
    <s v="1319773"/>
    <m/>
    <x v="2"/>
    <n v="3.0303030303030305E-6"/>
    <s v="100"/>
    <n v="5.0170579971904473E-2"/>
    <x v="61"/>
    <s v="TRI"/>
  </r>
  <r>
    <s v="110000377477"/>
    <s v="Chevron Products Company,  Pascagoula Refinery"/>
    <s v="CYANIDE COMPOUNDS"/>
    <s v="N106"/>
    <m/>
    <x v="2"/>
    <n v="3.0303030303030305E-6"/>
    <s v="0"/>
    <n v="0"/>
    <x v="7"/>
    <s v="TRI"/>
  </r>
  <r>
    <s v="110000377477"/>
    <s v="Chevron Products Company,  Pascagoula Refinery"/>
    <s v="CYCLOHEXANE"/>
    <s v="110827"/>
    <m/>
    <x v="2"/>
    <n v="3.0303030303030305E-6"/>
    <s v="10"/>
    <n v="5.0170579971904475E-3"/>
    <x v="8"/>
    <s v="TRI"/>
  </r>
  <r>
    <s v="110000377477"/>
    <s v="Chevron Products Company,  Pascagoula Refinery"/>
    <s v="DIETHANOLAMINE"/>
    <s v="111422"/>
    <m/>
    <x v="2"/>
    <n v="3.0303030303030305E-6"/>
    <s v="0"/>
    <n v="0"/>
    <x v="9"/>
    <s v="TRI"/>
  </r>
  <r>
    <s v="110000377477"/>
    <s v="Chevron Products Company,  Pascagoula Refinery"/>
    <s v="DIOXIN AND DIOXIN-LIKE COMPOUNDS"/>
    <s v="N150"/>
    <m/>
    <x v="2"/>
    <n v="3.0303030303030305E-6"/>
    <s v="0.000000661"/>
    <n v="3.3162753361428858E-10"/>
    <x v="37"/>
    <s v="TRI"/>
  </r>
  <r>
    <s v="110000377477"/>
    <s v="Chevron Products Company,  Pascagoula Refinery"/>
    <s v="ETHYLBENZENE"/>
    <s v="100414"/>
    <m/>
    <x v="2"/>
    <n v="3.0303030303030305E-6"/>
    <s v="9"/>
    <n v="4.5153521974714023E-3"/>
    <x v="10"/>
    <s v="TRI"/>
  </r>
  <r>
    <s v="110000377477"/>
    <s v="Chevron Products Company,  Pascagoula Refinery"/>
    <s v="ETHYLENE GLYCOL"/>
    <s v="107211"/>
    <m/>
    <x v="2"/>
    <n v="3.0303030303030305E-6"/>
    <s v="8400"/>
    <n v="4.214328717639976"/>
    <x v="39"/>
    <s v="TRI"/>
  </r>
  <r>
    <s v="110000377477"/>
    <s v="Chevron Products Company,  Pascagoula Refinery"/>
    <s v="LEAD AND LEAD COMPOUNDS"/>
    <s v="7439921"/>
    <m/>
    <x v="2"/>
    <n v="3.0303030303030305E-6"/>
    <s v="7.6"/>
    <n v="3.8129640778647397E-3"/>
    <x v="11"/>
    <s v="TRI"/>
  </r>
  <r>
    <s v="110000377477"/>
    <s v="Chevron Products Company,  Pascagoula Refinery"/>
    <s v="MERCURY AND MERCURY COMPOUNDS"/>
    <s v="N458"/>
    <m/>
    <x v="2"/>
    <n v="3.0303030303030305E-6"/>
    <s v="1.8"/>
    <n v="9.0307043949428055E-4"/>
    <x v="12"/>
    <s v="TRI"/>
  </r>
  <r>
    <s v="110000377477"/>
    <s v="Chevron Products Company,  Pascagoula Refinery"/>
    <s v="METHANOL"/>
    <s v="67561"/>
    <m/>
    <x v="2"/>
    <n v="3.0303030303030305E-6"/>
    <s v="23"/>
    <n v="1.153923339353803E-2"/>
    <x v="42"/>
    <s v="TRI"/>
  </r>
  <r>
    <s v="110000377477"/>
    <s v="Chevron Products Company,  Pascagoula Refinery"/>
    <s v="MOLYBDENUM TRIOXIDE"/>
    <s v="1313275"/>
    <m/>
    <x v="2"/>
    <n v="3.0303030303030305E-6"/>
    <s v="880"/>
    <n v="0.44150110375275936"/>
    <x v="44"/>
    <s v="TRI"/>
  </r>
  <r>
    <s v="110000377477"/>
    <s v="Chevron Products Company,  Pascagoula Refinery"/>
    <s v="M-XYLENE"/>
    <s v="108383"/>
    <m/>
    <x v="2"/>
    <n v="3.0303030303030305E-6"/>
    <s v="33"/>
    <n v="1.6556291390728475E-2"/>
    <x v="87"/>
    <s v="TRI"/>
  </r>
  <r>
    <s v="110000377477"/>
    <s v="Chevron Products Company,  Pascagoula Refinery"/>
    <s v="NAPHTHALENE"/>
    <s v="91203"/>
    <m/>
    <x v="2"/>
    <n v="3.0303030303030305E-6"/>
    <s v="47"/>
    <n v="2.3580172586795102E-2"/>
    <x v="13"/>
    <s v="TRI"/>
  </r>
  <r>
    <s v="110000377477"/>
    <s v="Chevron Products Company,  Pascagoula Refinery"/>
    <s v="N-HEXANE"/>
    <s v="110543"/>
    <m/>
    <x v="2"/>
    <n v="3.0303030303030305E-6"/>
    <s v="11"/>
    <n v="5.5187637969094918E-3"/>
    <x v="14"/>
    <s v="TRI"/>
  </r>
  <r>
    <s v="110000377477"/>
    <s v="Chevron Products Company,  Pascagoula Refinery"/>
    <s v="NICKEL AND NICKEL COMPOUNDS"/>
    <s v="N495"/>
    <m/>
    <x v="2"/>
    <n v="3.0303030303030305E-6"/>
    <s v="250"/>
    <n v="0.12542644992976118"/>
    <x v="45"/>
    <s v="TRI"/>
  </r>
  <r>
    <s v="110000377477"/>
    <s v="Chevron Products Company,  Pascagoula Refinery"/>
    <s v="NITRATE COMPOUNDS"/>
    <s v="14797558"/>
    <m/>
    <x v="2"/>
    <n v="3.0303030303030305E-6"/>
    <s v="220000"/>
    <n v="110.37527593818984"/>
    <x v="15"/>
    <s v="TRI"/>
  </r>
  <r>
    <s v="110000377477"/>
    <s v="Chevron Products Company,  Pascagoula Refinery"/>
    <s v="O-XYLENE"/>
    <s v="95476"/>
    <m/>
    <x v="2"/>
    <n v="3.0303030303030305E-6"/>
    <s v="64"/>
    <n v="3.2109171182018864E-2"/>
    <x v="88"/>
    <s v="TRI"/>
  </r>
  <r>
    <s v="110000377477"/>
    <s v="Chevron Products Company,  Pascagoula Refinery"/>
    <s v="PHENOL"/>
    <s v="108952"/>
    <m/>
    <x v="2"/>
    <n v="3.0303030303030305E-6"/>
    <s v="46"/>
    <n v="2.3078466787076059E-2"/>
    <x v="19"/>
    <s v="TRI"/>
  </r>
  <r>
    <s v="110000377477"/>
    <s v="Chevron Products Company,  Pascagoula Refinery"/>
    <s v="POLYCYCLIC AROMATIC COMPOUNDS"/>
    <s v="N590"/>
    <m/>
    <x v="2"/>
    <n v="3.0303030303030305E-6"/>
    <s v="89.1"/>
    <n v="4.470198675496688E-2"/>
    <x v="21"/>
    <s v="TRI"/>
  </r>
  <r>
    <s v="110000377477"/>
    <s v="Chevron Products Company,  Pascagoula Refinery"/>
    <s v="PROPYLENE"/>
    <s v="115071"/>
    <m/>
    <x v="2"/>
    <n v="3.0303030303030305E-6"/>
    <s v="0"/>
    <n v="0"/>
    <x v="54"/>
    <s v="TRI"/>
  </r>
  <r>
    <s v="110000377477"/>
    <s v="Chevron Products Company,  Pascagoula Refinery"/>
    <s v="P-XYLENE"/>
    <s v="106423"/>
    <m/>
    <x v="2"/>
    <n v="3.0303030303030305E-6"/>
    <s v="33"/>
    <n v="1.6556291390728475E-2"/>
    <x v="89"/>
    <s v="TRI"/>
  </r>
  <r>
    <s v="110000377477"/>
    <s v="Chevron Products Company,  Pascagoula Refinery"/>
    <s v="SEC-BUTYL ALCOHOL"/>
    <s v="78922"/>
    <m/>
    <x v="2"/>
    <n v="3.0303030303030305E-6"/>
    <s v="0"/>
    <n v="0"/>
    <x v="90"/>
    <s v="TRI"/>
  </r>
  <r>
    <s v="110000377477"/>
    <s v="Chevron Products Company,  Pascagoula Refinery"/>
    <s v="TERT-BUTYL ALCOHOL"/>
    <s v="75650"/>
    <m/>
    <x v="2"/>
    <n v="3.0303030303030305E-6"/>
    <s v="0"/>
    <n v="0"/>
    <x v="49"/>
    <s v="TRI"/>
  </r>
  <r>
    <s v="110000377477"/>
    <s v="Chevron Products Company,  Pascagoula Refinery"/>
    <s v="TETRACHLOROETHYLENE"/>
    <s v="127184"/>
    <m/>
    <x v="2"/>
    <n v="3.0303030303030305E-6"/>
    <s v="0"/>
    <n v="0"/>
    <x v="50"/>
    <s v="TRI"/>
  </r>
  <r>
    <s v="110000377477"/>
    <s v="Chevron Products Company,  Pascagoula Refinery"/>
    <s v="TOLUENE"/>
    <s v="108883"/>
    <m/>
    <x v="2"/>
    <n v="3.0303030303030305E-6"/>
    <s v="33"/>
    <n v="1.6556291390728475E-2"/>
    <x v="24"/>
    <s v="TRI"/>
  </r>
  <r>
    <s v="110000377477"/>
    <s v="Chevron Products Company,  Pascagoula Refinery"/>
    <s v="VANADIUM AND VANADIUM COMPOUNDS"/>
    <s v="7440622"/>
    <m/>
    <x v="2"/>
    <n v="3.0303030303030305E-6"/>
    <s v="22000"/>
    <n v="11.037527593818984"/>
    <x v="78"/>
    <s v="TRI"/>
  </r>
  <r>
    <s v="110000377477"/>
    <s v="Chevron Products Company,  Pascagoula Refinery"/>
    <s v="ZINC AND ZINC COMPOUNDS"/>
    <s v="7440666"/>
    <m/>
    <x v="2"/>
    <n v="3.0303030303030305E-6"/>
    <s v="1300"/>
    <n v="0.65221753963475815"/>
    <x v="29"/>
    <s v="TRI"/>
  </r>
  <r>
    <s v="110000595124"/>
    <s v="CHS INC. REFINERY LAUREL"/>
    <s v="1,2,4-TRIMETHYLBENZENE"/>
    <s v="95636"/>
    <m/>
    <x v="3"/>
    <n v="1.8181818181818182E-5"/>
    <s v="1"/>
    <n v="3.0102347983142685E-3"/>
    <x v="0"/>
    <s v="TRI"/>
  </r>
  <r>
    <s v="110000595124"/>
    <s v="CHS INC. REFINERY LAUREL"/>
    <s v="BENZENE"/>
    <s v="71432"/>
    <m/>
    <x v="3"/>
    <n v="1.8181818181818182E-5"/>
    <s v="1"/>
    <n v="3.0102347983142685E-3"/>
    <x v="1"/>
    <s v="TRI"/>
  </r>
  <r>
    <s v="110000595124"/>
    <s v="CHS INC. REFINERY LAUREL"/>
    <s v="BENZO(G,H,I)PERYLENE"/>
    <s v="191242"/>
    <m/>
    <x v="3"/>
    <n v="1.8181818181818182E-5"/>
    <s v="0"/>
    <n v="0"/>
    <x v="32"/>
    <s v="TRI"/>
  </r>
  <r>
    <s v="110000595124"/>
    <s v="CHS INC. REFINERY LAUREL"/>
    <s v="BOD, 5-day, 20 deg. C"/>
    <s v=""/>
    <n v="12979.138322000001"/>
    <x v="3"/>
    <n v="1.8181818181818182E-5"/>
    <s v=""/>
    <n v="6.4653241952677466E-4"/>
    <x v="2"/>
    <s v="DMR"/>
  </r>
  <r>
    <s v="110000595124"/>
    <s v="CHS INC. REFINERY LAUREL"/>
    <s v="Chromium, hexavalent (as Cr)"/>
    <s v="18540299"/>
    <n v="2.7664399092999998"/>
    <x v="3"/>
    <n v="1.8181818181818182E-5"/>
    <s v=""/>
    <n v="1.3780522586799501E-7"/>
    <x v="4"/>
    <s v="DMR"/>
  </r>
  <r>
    <s v="110000595124"/>
    <s v="CHS INC. REFINERY LAUREL"/>
    <s v="Chromium, total (as Cr)"/>
    <s v="7440473"/>
    <n v="2.62585034014"/>
    <x v="3"/>
    <n v="1.8181818181818182E-5"/>
    <s v=""/>
    <n v="1.3080200947148195E-7"/>
    <x v="5"/>
    <s v="DMR"/>
  </r>
  <r>
    <s v="110000595124"/>
    <s v="CHS INC. REFINERY LAUREL"/>
    <s v="CYCLOHEXANE"/>
    <s v="110827"/>
    <m/>
    <x v="3"/>
    <n v="1.8181818181818182E-5"/>
    <s v="1"/>
    <n v="3.0102347983142685E-3"/>
    <x v="8"/>
    <s v="TRI"/>
  </r>
  <r>
    <s v="110000595124"/>
    <s v="CHS INC. REFINERY LAUREL"/>
    <s v="ETHYLBENZENE"/>
    <s v="100414"/>
    <m/>
    <x v="3"/>
    <n v="1.8181818181818182E-5"/>
    <s v="1"/>
    <n v="3.0102347983142685E-3"/>
    <x v="10"/>
    <s v="TRI"/>
  </r>
  <r>
    <s v="110000595124"/>
    <s v="CHS INC. REFINERY LAUREL"/>
    <s v="HYDROGEN FLUORIDE"/>
    <s v="7664393"/>
    <m/>
    <x v="3"/>
    <n v="1.8181818181818182E-5"/>
    <s v="0"/>
    <n v="0"/>
    <x v="77"/>
    <s v="TRI"/>
  </r>
  <r>
    <s v="110000595124"/>
    <s v="CHS INC. REFINERY LAUREL"/>
    <s v="MOLYBDENUM TRIOXIDE"/>
    <s v="1313275"/>
    <m/>
    <x v="3"/>
    <n v="1.8181818181818182E-5"/>
    <s v="180"/>
    <n v="0.54184226369656829"/>
    <x v="44"/>
    <s v="TRI"/>
  </r>
  <r>
    <s v="110000595124"/>
    <s v="CHS INC. REFINERY LAUREL"/>
    <s v="NAPHTHALENE"/>
    <s v="91203"/>
    <m/>
    <x v="3"/>
    <n v="1.8181818181818182E-5"/>
    <s v="0"/>
    <n v="0"/>
    <x v="13"/>
    <s v="TRI"/>
  </r>
  <r>
    <s v="110000595124"/>
    <s v="CHS INC. REFINERY LAUREL"/>
    <s v="N-HEXANE"/>
    <s v="110543"/>
    <m/>
    <x v="3"/>
    <n v="1.8181818181818182E-5"/>
    <s v="1"/>
    <n v="3.0102347983142685E-3"/>
    <x v="14"/>
    <s v="TRI"/>
  </r>
  <r>
    <s v="110000595124"/>
    <s v="CHS INC. REFINERY LAUREL"/>
    <s v="NICKEL AND NICKEL COMPOUNDS"/>
    <s v="N495"/>
    <m/>
    <x v="3"/>
    <n v="1.8181818181818182E-5"/>
    <s v="20"/>
    <n v="6.0204695966285367E-2"/>
    <x v="45"/>
    <s v="TRI"/>
  </r>
  <r>
    <s v="110000595124"/>
    <s v="CHS INC. REFINERY LAUREL"/>
    <s v="NITRATE COMPOUNDS"/>
    <s v="14797558"/>
    <m/>
    <x v="3"/>
    <n v="1.8181818181818182E-5"/>
    <s v="99828"/>
    <n v="300.50571944611676"/>
    <x v="15"/>
    <s v="TRI"/>
  </r>
  <r>
    <s v="110000595124"/>
    <s v="CHS INC. REFINERY LAUREL"/>
    <s v="Nitrogen, ammonia total (as N)"/>
    <s v="7664417"/>
    <n v="911.56462584999997"/>
    <x v="3"/>
    <n v="1.8181818181818182E-5"/>
    <s v=""/>
    <n v="4.5407951474470732E-5"/>
    <x v="16"/>
    <s v="DMR"/>
  </r>
  <r>
    <s v="110000595124"/>
    <s v="CHS INC. REFINERY LAUREL"/>
    <s v="Nitrogen, total (as N)"/>
    <s v="7727379"/>
    <n v="-104.39390476200001"/>
    <x v="3"/>
    <n v="1.8181818181818182E-5"/>
    <s v=""/>
    <n v="-5.2001945086924035E-6"/>
    <x v="79"/>
    <s v="DMR"/>
  </r>
  <r>
    <s v="110000595124"/>
    <s v="CHS INC. REFINERY LAUREL"/>
    <s v="Oil &amp; grease"/>
    <s v=""/>
    <n v="5819.1383219999998"/>
    <x v="3"/>
    <n v="1.8181818181818182E-5"/>
    <s v=""/>
    <n v="2.8986990396014941E-4"/>
    <x v="28"/>
    <s v="DMR"/>
  </r>
  <r>
    <s v="110000595124"/>
    <s v="CHS INC. REFINERY LAUREL"/>
    <s v="Oil and grease, hexane extr method"/>
    <s v=""/>
    <n v="-1973.0447999999999"/>
    <x v="3"/>
    <n v="1.8181818181818182E-5"/>
    <s v=""/>
    <n v="-9.828367621419676E-5"/>
    <x v="65"/>
    <s v="DMR"/>
  </r>
  <r>
    <s v="110000595124"/>
    <s v="CHS INC. REFINERY LAUREL"/>
    <s v="Chemical Oxygen Demand (COD)"/>
    <s v=""/>
    <n v="94766.893423999994"/>
    <x v="3"/>
    <n v="1.8181818181818182E-5"/>
    <s v=""/>
    <n v="4.7206422627148192E-3"/>
    <x v="18"/>
    <s v="DMR"/>
  </r>
  <r>
    <s v="110000595124"/>
    <s v="CHS INC. REFINERY LAUREL"/>
    <s v="Chemical Oxygen Demand (COD)"/>
    <s v=""/>
    <n v="-35909.415359999999"/>
    <x v="3"/>
    <n v="1.8181818181818182E-5"/>
    <s v=""/>
    <n v="-1.7887629070983809E-3"/>
    <x v="18"/>
    <s v="DMR"/>
  </r>
  <r>
    <s v="110000595124"/>
    <s v="CHS INC. REFINERY LAUREL"/>
    <s v="PHENANTHRENE"/>
    <s v="85018"/>
    <m/>
    <x v="3"/>
    <n v="1.8181818181818182E-5"/>
    <s v="0"/>
    <n v="0"/>
    <x v="46"/>
    <s v="TRI"/>
  </r>
  <r>
    <s v="110000595124"/>
    <s v="CHS INC. REFINERY LAUREL"/>
    <s v="PHENOL"/>
    <s v="108952"/>
    <m/>
    <x v="3"/>
    <n v="1.8181818181818182E-5"/>
    <s v="45"/>
    <n v="0.13546056592414207"/>
    <x v="19"/>
    <s v="TRI"/>
  </r>
  <r>
    <s v="110000595124"/>
    <s v="CHS INC. REFINERY LAUREL"/>
    <s v="Phenolics, total recoverable"/>
    <s v=""/>
    <n v="8.0807256235799994"/>
    <x v="3"/>
    <n v="1.8181818181818182E-5"/>
    <s v=""/>
    <n v="4.0252680565778328E-7"/>
    <x v="20"/>
    <s v="DMR"/>
  </r>
  <r>
    <s v="110000595124"/>
    <s v="CHS INC. REFINERY LAUREL"/>
    <s v="POLYCYCLIC AROMATIC COMPOUNDS"/>
    <s v="N590"/>
    <m/>
    <x v="3"/>
    <n v="1.8181818181818182E-5"/>
    <s v="0"/>
    <n v="0"/>
    <x v="21"/>
    <s v="TRI"/>
  </r>
  <r>
    <s v="110000595124"/>
    <s v="CHS INC. REFINERY LAUREL"/>
    <s v="Solids, total suspended"/>
    <s v=""/>
    <n v="-203223.61439999999"/>
    <x v="3"/>
    <n v="1.8181818181818182E-5"/>
    <s v=""/>
    <n v="-1.0123218650062266E-2"/>
    <x v="22"/>
    <s v="DMR"/>
  </r>
  <r>
    <s v="110000595124"/>
    <s v="CHS INC. REFINERY LAUREL"/>
    <s v="Sulfide, total (as S)"/>
    <s v="18496258"/>
    <n v="48.8616780045"/>
    <x v="3"/>
    <n v="1.8181818181818182E-5"/>
    <s v=""/>
    <n v="2.433956563113325E-6"/>
    <x v="23"/>
    <s v="DMR"/>
  </r>
  <r>
    <s v="110000595124"/>
    <s v="CHS INC. REFINERY LAUREL"/>
    <s v="TOLUENE"/>
    <s v="108883"/>
    <m/>
    <x v="3"/>
    <n v="1.8181818181818182E-5"/>
    <s v="1"/>
    <n v="3.0102347983142685E-3"/>
    <x v="24"/>
    <s v="TRI"/>
  </r>
  <r>
    <s v="110000595124"/>
    <s v="CHS INC. REFINERY LAUREL"/>
    <s v="XYLENE (MIXED ISOMERS)"/>
    <s v="1330207"/>
    <m/>
    <x v="3"/>
    <n v="1.8181818181818182E-5"/>
    <s v="1"/>
    <n v="3.0102347983142685E-3"/>
    <x v="25"/>
    <s v="TRI"/>
  </r>
  <r>
    <s v="110000595348"/>
    <s v="CITGO Petroleum Corp"/>
    <s v="1,2,4-TRIMETHYLBENZENE"/>
    <s v="95636"/>
    <m/>
    <x v="3"/>
    <n v="5.9406335450018528E-6"/>
    <s v="38"/>
    <n v="3.7374846806303048E-2"/>
    <x v="0"/>
    <s v="TRI"/>
  </r>
  <r>
    <s v=""/>
    <s v="CITGO Petroleum Corp"/>
    <s v="Aluminum, total (as Al)"/>
    <s v="7429905"/>
    <n v="0"/>
    <x v="3"/>
    <n v="6.3004693639369675E-6"/>
    <s v=""/>
    <n v="0"/>
    <x v="91"/>
    <s v="DMR"/>
  </r>
  <r>
    <s v=""/>
    <s v="CITGO Petroleum Corp"/>
    <s v="ANTIMONY AND ANTIMONY COMPOUNDS"/>
    <s v="7440360"/>
    <m/>
    <x v="3"/>
    <n v="6.3004693639369675E-6"/>
    <s v="494"/>
    <n v="3.8679173506265997E-6"/>
    <x v="92"/>
    <s v="TRI"/>
  </r>
  <r>
    <s v="110000595348"/>
    <s v="CITGO Petroleum Corp"/>
    <s v="BENZENE"/>
    <s v="71432"/>
    <m/>
    <x v="3"/>
    <n v="5.9406335450018528E-6"/>
    <s v="38"/>
    <n v="3.7374846806303048E-2"/>
    <x v="1"/>
    <s v="TRI"/>
  </r>
  <r>
    <s v="110000595348"/>
    <s v="CITGO Petroleum Corp"/>
    <s v="BENZO(G,H,I)PERYLENE"/>
    <s v="191242"/>
    <m/>
    <x v="3"/>
    <n v="5.9406335450018528E-6"/>
    <s v="1.65"/>
    <n v="1.6228551902736849E-3"/>
    <x v="32"/>
    <s v="TRI"/>
  </r>
  <r>
    <s v=""/>
    <s v="CITGO Petroleum Corp"/>
    <s v="BIPHENYL"/>
    <s v="92524"/>
    <m/>
    <x v="3"/>
    <n v="6.3004693639369675E-6"/>
    <s v="0"/>
    <n v="0"/>
    <x v="52"/>
    <s v="TRI"/>
  </r>
  <r>
    <s v=""/>
    <s v="CITGO Petroleum Corp"/>
    <s v="BOD, 5-day, 20 deg. C"/>
    <s v=""/>
    <n v="33082.654421762069"/>
    <x v="3"/>
    <n v="6.3004693639369675E-6"/>
    <s v=""/>
    <n v="5.7105822099185138E-4"/>
    <x v="2"/>
    <s v="DMR"/>
  </r>
  <r>
    <s v="110000595348"/>
    <s v="CITGO Petroleum Corp"/>
    <s v="BOD, 5-day, 20 deg. C"/>
    <s v=""/>
    <n v="39816.783607199999"/>
    <x v="3"/>
    <n v="5.9406335450018528E-6"/>
    <s v=""/>
    <n v="6.4804635712606071E-4"/>
    <x v="2"/>
    <s v="DMR"/>
  </r>
  <r>
    <s v="110000595348"/>
    <s v="CITGO Petroleum Corp"/>
    <s v="BOD, carbonaceous, 05 day, 20 C"/>
    <s v=""/>
    <n v="20174.981798199999"/>
    <x v="3"/>
    <n v="5.9406335450018528E-6"/>
    <s v=""/>
    <n v="3.2836211956216086E-4"/>
    <x v="33"/>
    <s v="DMR"/>
  </r>
  <r>
    <s v=""/>
    <s v="CITGO Petroleum Corp"/>
    <s v="Carbon, tot organic (TOC)"/>
    <s v="7440440"/>
    <n v="70994.501763640001"/>
    <x v="3"/>
    <n v="6.3004693639369675E-6"/>
    <s v=""/>
    <n v="1.22547584484872E-3"/>
    <x v="3"/>
    <s v="DMR"/>
  </r>
  <r>
    <s v="110000595348"/>
    <s v="CITGO Petroleum Corp"/>
    <s v="Chemical Oxygen Demand (COD)"/>
    <s v=""/>
    <n v="501059.523843"/>
    <x v="3"/>
    <n v="5.9406335450018528E-6"/>
    <s v=""/>
    <n v="8.1550986722859764E-3"/>
    <x v="18"/>
    <s v="DMR"/>
  </r>
  <r>
    <s v="110000595348"/>
    <s v="CITGO Petroleum Corp"/>
    <s v="Chlorine, total residual"/>
    <s v="7782505"/>
    <n v="25.1962908"/>
    <x v="3"/>
    <n v="5.9406335450018528E-6"/>
    <s v=""/>
    <n v="4.1008748037288101E-7"/>
    <x v="53"/>
    <s v="DMR"/>
  </r>
  <r>
    <s v=""/>
    <s v="CITGO Petroleum Corp"/>
    <s v="Chlorine, total residual"/>
    <s v="7782505"/>
    <n v="1233.2719247"/>
    <x v="3"/>
    <n v="6.3004693639369675E-6"/>
    <s v=""/>
    <n v="2.1288197202673777E-5"/>
    <x v="53"/>
    <s v="DMR"/>
  </r>
  <r>
    <s v="110000595348"/>
    <s v="CITGO Petroleum Corp"/>
    <s v="CHROMIUM AND CHROMIUM COMPOUNDS"/>
    <s v="N090"/>
    <m/>
    <x v="3"/>
    <n v="5.9406335450018528E-6"/>
    <s v="75"/>
    <n v="7.3766145012440235E-2"/>
    <x v="59"/>
    <s v="TRI"/>
  </r>
  <r>
    <s v=""/>
    <s v="CITGO Petroleum Corp"/>
    <s v="Chromium, hexavalent (as Cr)"/>
    <s v="18540299"/>
    <n v="32.557823129280003"/>
    <x v="3"/>
    <n v="6.3004693639369675E-6"/>
    <s v=""/>
    <n v="5.6199881419864946E-7"/>
    <x v="4"/>
    <s v="DMR"/>
  </r>
  <r>
    <s v="110000595348"/>
    <s v="CITGO Petroleum Corp"/>
    <s v="Chromium, hexavalent (as Cr)"/>
    <s v="18540299"/>
    <n v="3.83075680468"/>
    <x v="3"/>
    <n v="5.9406335450018528E-6"/>
    <s v=""/>
    <n v="6.2348280483907177E-8"/>
    <x v="4"/>
    <s v="DMR"/>
  </r>
  <r>
    <s v=""/>
    <s v="CITGO Petroleum Corp"/>
    <s v="Chromium, total (as Cr)"/>
    <s v="7440473"/>
    <n v="20.689342403669997"/>
    <x v="3"/>
    <n v="6.3004693639369675E-6"/>
    <s v=""/>
    <n v="3.571303232173283E-7"/>
    <x v="5"/>
    <s v="DMR"/>
  </r>
  <r>
    <s v="110000595348"/>
    <s v="CITGO Petroleum Corp"/>
    <s v="Chromium, total (as Cr)"/>
    <s v="7440473"/>
    <n v="89.448652129599992"/>
    <x v="3"/>
    <n v="5.9406335450018528E-6"/>
    <s v=""/>
    <n v="1.4558401736885017E-6"/>
    <x v="5"/>
    <s v="DMR"/>
  </r>
  <r>
    <s v=""/>
    <s v="CITGO Petroleum Corp"/>
    <s v="COBALT AND COBALT COMPOUNDS"/>
    <s v="7440484"/>
    <m/>
    <x v="3"/>
    <n v="6.3004693639369675E-6"/>
    <s v="130"/>
    <n v="1.0178729870069999E-6"/>
    <x v="76"/>
    <s v="TRI"/>
  </r>
  <r>
    <s v=""/>
    <s v="CITGO Petroleum Corp"/>
    <s v="Copper, total (as Cu)"/>
    <s v="7440508"/>
    <n v="485.59663988560004"/>
    <x v="3"/>
    <n v="6.3004693639369675E-6"/>
    <s v=""/>
    <n v="8.3821554872053563E-6"/>
    <x v="68"/>
    <s v="DMR"/>
  </r>
  <r>
    <s v=""/>
    <s v="CITGO Petroleum Corp"/>
    <s v="CUMENE"/>
    <s v="98828"/>
    <m/>
    <x v="3"/>
    <n v="6.3004693639369675E-6"/>
    <s v="30"/>
    <n v="2.3489376623238461E-7"/>
    <x v="6"/>
    <s v="TRI"/>
  </r>
  <r>
    <s v=""/>
    <s v="CITGO Petroleum Corp"/>
    <s v="Cyanide, free (amen. to chlorination)"/>
    <s v="57125"/>
    <n v="0"/>
    <x v="3"/>
    <n v="6.3004693639369675E-6"/>
    <s v=""/>
    <n v="0"/>
    <x v="93"/>
    <s v="DMR"/>
  </r>
  <r>
    <s v="110000595348"/>
    <s v="CITGO Petroleum Corp"/>
    <s v="Cyanide, total (as CN)"/>
    <s v="57125"/>
    <n v="52.395618154399997"/>
    <x v="3"/>
    <n v="5.9406335450018528E-6"/>
    <s v=""/>
    <n v="8.5277579950448403E-7"/>
    <x v="85"/>
    <s v="DMR"/>
  </r>
  <r>
    <s v=""/>
    <s v="CITGO Petroleum Corp"/>
    <s v="Cyanide, total (as CN)"/>
    <s v="57125"/>
    <n v="5.6825396825399999"/>
    <x v="3"/>
    <n v="6.3004693639369675E-6"/>
    <s v=""/>
    <n v="9.8089499121094169E-8"/>
    <x v="85"/>
    <s v="DMR"/>
  </r>
  <r>
    <s v="110000595348"/>
    <s v="CITGO Petroleum Corp"/>
    <s v="CYCLOHEXANE"/>
    <s v="110827"/>
    <m/>
    <x v="3"/>
    <n v="5.9406335450018528E-6"/>
    <s v="75"/>
    <n v="7.3766145012440235E-2"/>
    <x v="8"/>
    <s v="TRI"/>
  </r>
  <r>
    <s v=""/>
    <s v="CITGO Petroleum Corp"/>
    <s v="DIETHANOLAMINE"/>
    <s v="111422"/>
    <m/>
    <x v="3"/>
    <n v="6.3004693639369675E-6"/>
    <s v="10044"/>
    <n v="7.8642432934602363E-5"/>
    <x v="9"/>
    <s v="TRI"/>
  </r>
  <r>
    <s v="110000595348"/>
    <s v="CITGO Petroleum Corp"/>
    <s v="ETHYLBENZENE"/>
    <s v="100414"/>
    <m/>
    <x v="3"/>
    <n v="5.9406335450018528E-6"/>
    <s v="38"/>
    <n v="3.7374846806303048E-2"/>
    <x v="10"/>
    <s v="TRI"/>
  </r>
  <r>
    <s v=""/>
    <s v="CITGO Petroleum Corp"/>
    <s v="ETHYLENE GLYCOL"/>
    <s v="107211"/>
    <m/>
    <x v="3"/>
    <n v="6.3004693639369675E-6"/>
    <s v="583"/>
    <n v="4.5647688571160078E-6"/>
    <x v="39"/>
    <s v="TRI"/>
  </r>
  <r>
    <s v="110000595348"/>
    <s v="CITGO Petroleum Corp"/>
    <s v="Fluoride, total (as F)"/>
    <s v="16984488"/>
    <n v="16402.584542199998"/>
    <x v="3"/>
    <n v="5.9406335450018528E-6"/>
    <s v=""/>
    <n v="2.6696368207156757E-4"/>
    <x v="94"/>
    <s v="DMR"/>
  </r>
  <r>
    <s v=""/>
    <s v="CITGO Petroleum Corp"/>
    <s v="Fluoride, total (as F)"/>
    <s v="16984488"/>
    <n v="16894.847444430001"/>
    <x v="3"/>
    <n v="6.3004693639369675E-6"/>
    <s v=""/>
    <n v="2.916314211836164E-4"/>
    <x v="94"/>
    <s v="DMR"/>
  </r>
  <r>
    <s v=""/>
    <s v="CITGO Petroleum Corp"/>
    <s v="Lead, total (as Pb)"/>
    <s v="7439921"/>
    <n v="5.9546485260799997"/>
    <x v="3"/>
    <n v="6.3004693639369675E-6"/>
    <s v=""/>
    <n v="1.0278652222350536E-7"/>
    <x v="57"/>
    <s v="DMR"/>
  </r>
  <r>
    <s v="110000595348"/>
    <s v="CITGO Petroleum Corp"/>
    <s v="MERCURY AND MERCURY COMPOUNDS"/>
    <s v="N458"/>
    <m/>
    <x v="3"/>
    <n v="5.9406335450018528E-6"/>
    <s v="1.55"/>
    <n v="1.5245003302570982E-3"/>
    <x v="12"/>
    <s v="TRI"/>
  </r>
  <r>
    <s v=""/>
    <s v="CITGO Petroleum Corp"/>
    <s v="Mercury, total (as Hg)"/>
    <s v="7439976"/>
    <n v="0"/>
    <x v="3"/>
    <n v="6.3004693639369675E-6"/>
    <s v=""/>
    <n v="0"/>
    <x v="64"/>
    <s v="DMR"/>
  </r>
  <r>
    <s v=""/>
    <s v="CITGO Petroleum Corp"/>
    <s v="METHANOL"/>
    <s v="67561"/>
    <m/>
    <x v="3"/>
    <n v="6.3004693639369675E-6"/>
    <s v="3"/>
    <n v="2.3489376623238462E-8"/>
    <x v="42"/>
    <s v="TRI"/>
  </r>
  <r>
    <s v="110000595348"/>
    <s v="CITGO Petroleum Corp"/>
    <s v="MOLYBDENUM TRIOXIDE"/>
    <s v="1313275"/>
    <m/>
    <x v="3"/>
    <n v="5.9406335450018528E-6"/>
    <s v="532"/>
    <n v="0.52324785528824269"/>
    <x v="44"/>
    <s v="TRI"/>
  </r>
  <r>
    <s v=""/>
    <s v="CITGO Petroleum Corp"/>
    <s v="M-XYLENE"/>
    <s v="108383"/>
    <m/>
    <x v="3"/>
    <n v="6.3004693639369675E-6"/>
    <s v="0"/>
    <n v="0"/>
    <x v="87"/>
    <s v="TRI"/>
  </r>
  <r>
    <s v="110000595348"/>
    <s v="CITGO Petroleum Corp"/>
    <s v="NAPHTHALENE"/>
    <s v="91203"/>
    <m/>
    <x v="3"/>
    <n v="5.9406335450018528E-6"/>
    <s v="38"/>
    <n v="3.7374846806303048E-2"/>
    <x v="13"/>
    <s v="TRI"/>
  </r>
  <r>
    <s v="110000595348"/>
    <s v="CITGO Petroleum Corp"/>
    <s v="N-HEXANE"/>
    <s v="110543"/>
    <m/>
    <x v="3"/>
    <n v="5.9406335450018528E-6"/>
    <s v="38"/>
    <n v="3.7374846806303048E-2"/>
    <x v="14"/>
    <s v="TRI"/>
  </r>
  <r>
    <s v="110000595348"/>
    <s v="CITGO Petroleum Corp"/>
    <s v="NICKEL AND NICKEL COMPOUNDS"/>
    <s v="N495"/>
    <m/>
    <x v="3"/>
    <n v="5.9406335450018528E-6"/>
    <s v="162"/>
    <n v="0.1593348732268709"/>
    <x v="45"/>
    <s v="TRI"/>
  </r>
  <r>
    <s v="110000595348"/>
    <s v="CITGO Petroleum Corp"/>
    <s v="NITRATE COMPOUNDS"/>
    <s v="14797558"/>
    <m/>
    <x v="3"/>
    <n v="5.9406335450018528E-6"/>
    <s v="5413"/>
    <n v="5.3239485726978533"/>
    <x v="15"/>
    <s v="TRI"/>
  </r>
  <r>
    <s v=""/>
    <s v="CITGO Petroleum Corp"/>
    <s v="Nitrogen, ammonia total (as N)"/>
    <s v="7664417"/>
    <n v="7923.5464852592004"/>
    <x v="3"/>
    <n v="6.3004693639369675E-6"/>
    <s v=""/>
    <n v="1.36772772285222E-4"/>
    <x v="16"/>
    <s v="DMR"/>
  </r>
  <r>
    <s v="110000595348"/>
    <s v="CITGO Petroleum Corp"/>
    <s v="Nitrogen, ammonia total (as N)"/>
    <s v="7664417"/>
    <n v="6166.8530200000005"/>
    <x v="3"/>
    <n v="5.9406335450018528E-6"/>
    <s v=""/>
    <n v="1.0036990114440543E-4"/>
    <x v="16"/>
    <s v="DMR"/>
  </r>
  <r>
    <s v=""/>
    <s v="CITGO Petroleum Corp"/>
    <s v="Oil &amp; grease"/>
    <s v=""/>
    <n v="46525.879519115995"/>
    <x v="3"/>
    <n v="6.3004693639369675E-6"/>
    <s v=""/>
    <n v="8.0310925627510344E-4"/>
    <x v="28"/>
    <s v="DMR"/>
  </r>
  <r>
    <s v="110000595348"/>
    <s v="CITGO Petroleum Corp"/>
    <s v="Oil &amp; grease"/>
    <s v=""/>
    <n v="24234.9310491"/>
    <x v="3"/>
    <n v="5.9406335450018528E-6"/>
    <s v=""/>
    <n v="3.9444066945504215E-4"/>
    <x v="28"/>
    <s v="DMR"/>
  </r>
  <r>
    <s v=""/>
    <s v="CITGO Petroleum Corp"/>
    <s v="Chemical Oxygen Demand (COD)"/>
    <s v=""/>
    <n v="2996672.3420353997"/>
    <x v="3"/>
    <n v="6.3004693639369675E-6"/>
    <s v=""/>
    <n v="5.1727239136304871E-2"/>
    <x v="18"/>
    <s v="DMR"/>
  </r>
  <r>
    <s v=""/>
    <s v="CITGO Petroleum Corp"/>
    <s v="O-XYLENE"/>
    <s v="95476"/>
    <m/>
    <x v="3"/>
    <n v="6.3004693639369675E-6"/>
    <s v="0"/>
    <n v="0"/>
    <x v="88"/>
    <s v="TRI"/>
  </r>
  <r>
    <s v="110000595348"/>
    <s v="CITGO Petroleum Corp"/>
    <s v="PHENOL"/>
    <s v="108952"/>
    <m/>
    <x v="3"/>
    <n v="5.9406335450018528E-6"/>
    <s v="197"/>
    <n v="0.19375907423267633"/>
    <x v="19"/>
    <s v="TRI"/>
  </r>
  <r>
    <s v=""/>
    <s v="CITGO Petroleum Corp"/>
    <s v="Phenolic compounds, total"/>
    <s v=""/>
    <n v="2.72108843537"/>
    <x v="3"/>
    <n v="6.3004693639369675E-6"/>
    <s v=""/>
    <n v="4.6970231023594143E-8"/>
    <x v="47"/>
    <s v="DMR"/>
  </r>
  <r>
    <s v=""/>
    <s v="CITGO Petroleum Corp"/>
    <s v="Phenolics, total recoverable"/>
    <s v=""/>
    <n v="6.5029478457999996"/>
    <x v="3"/>
    <n v="6.3004693639369675E-6"/>
    <s v=""/>
    <n v="1.122510237746378E-7"/>
    <x v="20"/>
    <s v="DMR"/>
  </r>
  <r>
    <s v="110000595348"/>
    <s v="CITGO Petroleum Corp"/>
    <s v="Phenolics, total recoverable"/>
    <s v=""/>
    <n v="77.440408873300001"/>
    <x v="3"/>
    <n v="5.9406335450018528E-6"/>
    <s v=""/>
    <n v="1.2603975087435208E-6"/>
    <x v="20"/>
    <s v="DMR"/>
  </r>
  <r>
    <s v=""/>
    <s v="CITGO Petroleum Corp"/>
    <s v="Phenols"/>
    <s v=""/>
    <n v="44.06802721092"/>
    <x v="3"/>
    <n v="6.3004693639369675E-6"/>
    <s v=""/>
    <n v="7.6068289142888249E-7"/>
    <x v="73"/>
    <s v="DMR"/>
  </r>
  <r>
    <s v="110000595348"/>
    <s v="CITGO Petroleum Corp"/>
    <s v="POLYCYCLIC AROMATIC COMPOUNDS"/>
    <s v="N590"/>
    <m/>
    <x v="3"/>
    <n v="5.9406335450018528E-6"/>
    <s v="12"/>
    <n v="1.1802583201990437E-2"/>
    <x v="21"/>
    <s v="TRI"/>
  </r>
  <r>
    <s v=""/>
    <s v="CITGO Petroleum Corp"/>
    <s v="P-XYLENE"/>
    <s v="106423"/>
    <m/>
    <x v="3"/>
    <n v="6.3004693639369675E-6"/>
    <s v="0"/>
    <n v="0"/>
    <x v="89"/>
    <s v="TRI"/>
  </r>
  <r>
    <s v=""/>
    <s v="CITGO Petroleum Corp"/>
    <s v="SELENIUM AND SELENIUM COMPOUNDS"/>
    <s v="7782492"/>
    <m/>
    <x v="3"/>
    <n v="6.3004693639369675E-6"/>
    <s v="1396"/>
    <n v="1.0930389922013631E-5"/>
    <x v="95"/>
    <s v="TRI"/>
  </r>
  <r>
    <s v="110000595348"/>
    <s v="CITGO Petroleum Corp"/>
    <s v="Solids, total dissolved"/>
    <s v=""/>
    <n v="41036938.371200003"/>
    <x v="3"/>
    <n v="5.9406335450018528E-6"/>
    <s v=""/>
    <n v="0.66790524019760111"/>
    <x v="96"/>
    <s v="DMR"/>
  </r>
  <r>
    <s v=""/>
    <s v="CITGO Petroleum Corp"/>
    <s v="Solids, total suspended"/>
    <s v=""/>
    <n v="108467.759637229"/>
    <x v="3"/>
    <n v="6.3004693639369675E-6"/>
    <s v=""/>
    <n v="1.8723227303266852E-3"/>
    <x v="22"/>
    <s v="DMR"/>
  </r>
  <r>
    <s v="110000595348"/>
    <s v="CITGO Petroleum Corp"/>
    <s v="Solids, total suspended"/>
    <s v=""/>
    <n v="170634.97167659999"/>
    <x v="3"/>
    <n v="5.9406335450018528E-6"/>
    <s v=""/>
    <n v="2.7772050320341119E-3"/>
    <x v="22"/>
    <s v="DMR"/>
  </r>
  <r>
    <s v="110000595348"/>
    <s v="CITGO Petroleum Corp"/>
    <s v="Sulfate (as S)"/>
    <s v="14808798"/>
    <n v="20989726.7905"/>
    <x v="3"/>
    <n v="5.9406335450018528E-6"/>
    <s v=""/>
    <n v="0.34162267143032432"/>
    <x v="97"/>
    <s v="DMR"/>
  </r>
  <r>
    <s v="110000595348"/>
    <s v="CITGO Petroleum Corp"/>
    <s v="Sulfide, total (as S)"/>
    <s v="18496258"/>
    <n v="29.286745520300002"/>
    <x v="3"/>
    <n v="5.9406335450018528E-6"/>
    <s v=""/>
    <n v="4.7666252838856688E-7"/>
    <x v="23"/>
    <s v="DMR"/>
  </r>
  <r>
    <s v=""/>
    <s v="CITGO Petroleum Corp"/>
    <s v="Sulfide, total (as S)"/>
    <s v="18496258"/>
    <n v="235.92743764139999"/>
    <x v="3"/>
    <n v="6.3004693639369675E-6"/>
    <s v=""/>
    <n v="4.0724755971829861E-6"/>
    <x v="23"/>
    <s v="DMR"/>
  </r>
  <r>
    <s v=""/>
    <s v="CITGO Petroleum Corp"/>
    <s v="TETRACHLOROETHYLENE"/>
    <s v="127184"/>
    <m/>
    <x v="3"/>
    <n v="6.3004693639369675E-6"/>
    <s v="71"/>
    <n v="5.5591524674997693E-7"/>
    <x v="50"/>
    <s v="TRI"/>
  </r>
  <r>
    <s v="110000595348"/>
    <s v="CITGO Petroleum Corp"/>
    <s v="TOLUENE"/>
    <s v="108883"/>
    <m/>
    <x v="3"/>
    <n v="5.9406335450018528E-6"/>
    <s v="38"/>
    <n v="3.7374846806303048E-2"/>
    <x v="24"/>
    <s v="TRI"/>
  </r>
  <r>
    <s v=""/>
    <s v="CITGO Petroleum Corp"/>
    <s v="TRICHLOROETHYLENE"/>
    <s v="79016"/>
    <m/>
    <x v="3"/>
    <n v="6.3004693639369675E-6"/>
    <s v="65"/>
    <n v="5.0893649350349993E-7"/>
    <x v="51"/>
    <s v="TRI"/>
  </r>
  <r>
    <s v="110000595348"/>
    <s v="CITGO Petroleum Corp"/>
    <s v="VANADIUM AND VANADIUM COMPOUNDS"/>
    <s v="7440622"/>
    <m/>
    <x v="3"/>
    <n v="5.9406335450018528E-6"/>
    <s v="4198"/>
    <n v="4.128937023496321"/>
    <x v="78"/>
    <s v="TRI"/>
  </r>
  <r>
    <s v="110000595348"/>
    <s v="CITGO Petroleum Corp"/>
    <s v="XYLENE (MIXED ISOMERS)"/>
    <s v="1330207"/>
    <m/>
    <x v="3"/>
    <n v="5.9406335450018528E-6"/>
    <s v="75"/>
    <n v="7.3766145012440235E-2"/>
    <x v="25"/>
    <s v="TRI"/>
  </r>
  <r>
    <s v=""/>
    <s v="CITGO Petroleum Corp"/>
    <s v="Zinc, total (as Zn)"/>
    <s v="7440666"/>
    <n v="18699.778782107001"/>
    <x v="3"/>
    <n v="6.3004693639369675E-6"/>
    <s v=""/>
    <n v="3.2278735158647591E-4"/>
    <x v="98"/>
    <s v="DMR"/>
  </r>
  <r>
    <s v="110013703206"/>
    <s v="COFFEYVILLE RESOURCES REFIN. &amp; MKTNG.,LLC"/>
    <s v="1,2,4-TRIMETHYLBENZENE"/>
    <s v="95636"/>
    <m/>
    <x v="3"/>
    <n v="8.3333333333333337E-6"/>
    <s v="21"/>
    <n v="2.8973509933774833E-2"/>
    <x v="0"/>
    <s v="TRI"/>
  </r>
  <r>
    <s v="110013703206"/>
    <s v="COFFEYVILLE RESOURCES REFIN. &amp; MKTNG.,LLC"/>
    <s v="BENZENE"/>
    <s v="71432"/>
    <m/>
    <x v="3"/>
    <n v="8.3333333333333337E-6"/>
    <s v="21"/>
    <n v="2.8973509933774833E-2"/>
    <x v="1"/>
    <s v="TRI"/>
  </r>
  <r>
    <s v="110013703206"/>
    <s v="COFFEYVILLE RESOURCES REFIN. &amp; MKTNG.,LLC"/>
    <s v="BOD, 5-day, 20 deg. C"/>
    <s v=""/>
    <n v="18548.322947799999"/>
    <x v="3"/>
    <n v="8.3333333333333337E-6"/>
    <s v=""/>
    <n v="4.2347769287214612E-4"/>
    <x v="2"/>
    <s v="DMR"/>
  </r>
  <r>
    <s v="110013703206"/>
    <s v="COFFEYVILLE RESOURCES REFIN. &amp; MKTNG.,LLC"/>
    <s v="Chloride (as Cl)"/>
    <s v="16887006"/>
    <n v="1517246.3228"/>
    <x v="3"/>
    <n v="8.3333333333333337E-6"/>
    <s v=""/>
    <n v="3.4640327004566207E-2"/>
    <x v="69"/>
    <s v="DMR"/>
  </r>
  <r>
    <s v="110013703206"/>
    <s v="COFFEYVILLE RESOURCES REFIN. &amp; MKTNG.,LLC"/>
    <s v="CHROMIUM AND CHROMIUM COMPOUNDS"/>
    <s v="N090"/>
    <m/>
    <x v="3"/>
    <n v="8.3333333333333337E-6"/>
    <s v="65"/>
    <n v="8.9679911699779249E-2"/>
    <x v="59"/>
    <s v="TRI"/>
  </r>
  <r>
    <s v="110013703206"/>
    <s v="COFFEYVILLE RESOURCES REFIN. &amp; MKTNG.,LLC"/>
    <s v="Chromium, hexavalent (as Cr)"/>
    <s v="18540299"/>
    <n v="2.1909297052199999E-2"/>
    <x v="3"/>
    <n v="8.3333333333333337E-6"/>
    <s v=""/>
    <n v="5.002122614657534E-10"/>
    <x v="4"/>
    <s v="DMR"/>
  </r>
  <r>
    <s v="110013703206"/>
    <s v="COFFEYVILLE RESOURCES REFIN. &amp; MKTNG.,LLC"/>
    <s v="Chromium, total (as Cr)"/>
    <s v="7440473"/>
    <n v="10.7653605442"/>
    <x v="3"/>
    <n v="8.3333333333333337E-6"/>
    <s v=""/>
    <n v="2.4578448731050226E-7"/>
    <x v="5"/>
    <s v="DMR"/>
  </r>
  <r>
    <s v="110013703206"/>
    <s v="COFFEYVILLE RESOURCES REFIN. &amp; MKTNG.,LLC"/>
    <s v="CYCLOHEXANE"/>
    <s v="110827"/>
    <m/>
    <x v="3"/>
    <n v="8.3333333333333337E-6"/>
    <s v="41"/>
    <n v="5.65673289183223E-2"/>
    <x v="8"/>
    <s v="TRI"/>
  </r>
  <r>
    <s v="110013703206"/>
    <s v="COFFEYVILLE RESOURCES REFIN. &amp; MKTNG.,LLC"/>
    <s v="ETHYLBENZENE"/>
    <s v="100414"/>
    <m/>
    <x v="3"/>
    <n v="8.3333333333333337E-6"/>
    <s v="21"/>
    <n v="2.8973509933774833E-2"/>
    <x v="10"/>
    <s v="TRI"/>
  </r>
  <r>
    <s v="110013703206"/>
    <s v="COFFEYVILLE RESOURCES REFIN. &amp; MKTNG.,LLC"/>
    <s v="Fluoride, total (as F)"/>
    <s v="16984488"/>
    <n v="12143.4534563"/>
    <x v="3"/>
    <n v="8.3333333333333337E-6"/>
    <s v=""/>
    <n v="2.7724779580593607E-4"/>
    <x v="94"/>
    <s v="DMR"/>
  </r>
  <r>
    <s v="110013703206"/>
    <s v="COFFEYVILLE RESOURCES REFIN. &amp; MKTNG.,LLC"/>
    <s v="NAPHTHALENE"/>
    <s v="91203"/>
    <m/>
    <x v="3"/>
    <n v="8.3333333333333337E-6"/>
    <s v="10"/>
    <n v="1.3796909492273732E-2"/>
    <x v="13"/>
    <s v="TRI"/>
  </r>
  <r>
    <s v="110013703206"/>
    <s v="COFFEYVILLE RESOURCES REFIN. &amp; MKTNG.,LLC"/>
    <s v="Nitrogen, ammonia total (as N)"/>
    <s v="7664417"/>
    <n v="923.50546031700003"/>
    <x v="3"/>
    <n v="8.3333333333333337E-6"/>
    <s v=""/>
    <n v="2.1084599550616439E-5"/>
    <x v="16"/>
    <s v="DMR"/>
  </r>
  <r>
    <s v="110013703206"/>
    <s v="COFFEYVILLE RESOURCES REFIN. &amp; MKTNG.,LLC"/>
    <s v="Nitrogen, nitrate total (as N)"/>
    <s v="14797558"/>
    <n v="59005.519234400002"/>
    <x v="3"/>
    <n v="8.3333333333333337E-6"/>
    <s v=""/>
    <n v="1.3471579733881278E-3"/>
    <x v="15"/>
    <s v="DMR"/>
  </r>
  <r>
    <s v="110013703206"/>
    <s v="COFFEYVILLE RESOURCES REFIN. &amp; MKTNG.,LLC"/>
    <s v="Nitrogen, organic total (as N)"/>
    <s v="7727379"/>
    <n v="9957.1944809500001"/>
    <x v="3"/>
    <n v="8.3333333333333337E-6"/>
    <s v=""/>
    <n v="2.2733320732762558E-4"/>
    <x v="79"/>
    <s v="DMR"/>
  </r>
  <r>
    <s v="110013703206"/>
    <s v="COFFEYVILLE RESOURCES REFIN. &amp; MKTNG.,LLC"/>
    <s v="Oil and grease (soxhlet extr.) tot."/>
    <s v=""/>
    <n v="10754.464898"/>
    <x v="3"/>
    <n v="8.3333333333333337E-6"/>
    <s v=""/>
    <n v="2.4553572826484016E-4"/>
    <x v="82"/>
    <s v="DMR"/>
  </r>
  <r>
    <s v="110013703206"/>
    <s v="COFFEYVILLE RESOURCES REFIN. &amp; MKTNG.,LLC"/>
    <s v="Chemical Oxygen Demand (COD)"/>
    <s v=""/>
    <n v="247281.04399100001"/>
    <x v="3"/>
    <n v="8.3333333333333337E-6"/>
    <s v=""/>
    <n v="5.6456859358675797E-3"/>
    <x v="18"/>
    <s v="DMR"/>
  </r>
  <r>
    <s v="110013703206"/>
    <s v="COFFEYVILLE RESOURCES REFIN. &amp; MKTNG.,LLC"/>
    <s v="Phenol"/>
    <s v="108952"/>
    <n v="182.43829478500001"/>
    <x v="3"/>
    <n v="8.3333333333333337E-6"/>
    <s v=""/>
    <n v="4.1652578718036529E-6"/>
    <x v="19"/>
    <s v="DMR"/>
  </r>
  <r>
    <s v="110013703206"/>
    <s v="COFFEYVILLE RESOURCES REFIN. &amp; MKTNG.,LLC"/>
    <s v="Phosphorus, total (as P)"/>
    <s v="7723140"/>
    <n v="757.72151884000004"/>
    <x v="3"/>
    <n v="8.3333333333333337E-6"/>
    <s v=""/>
    <n v="1.7299578055707764E-5"/>
    <x v="66"/>
    <s v="DMR"/>
  </r>
  <r>
    <s v="110013703206"/>
    <s v="COFFEYVILLE RESOURCES REFIN. &amp; MKTNG.,LLC"/>
    <s v="Solids, total suspended"/>
    <s v=""/>
    <n v="130885.941559"/>
    <x v="3"/>
    <n v="8.3333333333333337E-6"/>
    <s v=""/>
    <n v="2.988263505913242E-3"/>
    <x v="22"/>
    <s v="DMR"/>
  </r>
  <r>
    <s v="110013703206"/>
    <s v="COFFEYVILLE RESOURCES REFIN. &amp; MKTNG.,LLC"/>
    <s v="Sulfate, total (as SO4)"/>
    <s v="14808798"/>
    <n v="1302871.9347300001"/>
    <x v="3"/>
    <n v="8.3333333333333337E-6"/>
    <s v=""/>
    <n v="2.9745934582876714E-2"/>
    <x v="99"/>
    <s v="DMR"/>
  </r>
  <r>
    <s v="110013703206"/>
    <s v="COFFEYVILLE RESOURCES REFIN. &amp; MKTNG.,LLC"/>
    <s v="Sulfide, total (as S)"/>
    <s v="18496258"/>
    <n v="115.245628118"/>
    <x v="3"/>
    <n v="8.3333333333333337E-6"/>
    <s v=""/>
    <n v="2.6311787241552512E-6"/>
    <x v="23"/>
    <s v="DMR"/>
  </r>
  <r>
    <s v="110013703206"/>
    <s v="COFFEYVILLE RESOURCES REFIN. &amp; MKTNG.,LLC"/>
    <s v="TOLUENE"/>
    <s v="108883"/>
    <m/>
    <x v="3"/>
    <n v="8.3333333333333337E-6"/>
    <s v="21"/>
    <n v="2.8973509933774833E-2"/>
    <x v="24"/>
    <s v="TRI"/>
  </r>
  <r>
    <s v="110013703206"/>
    <s v="COFFEYVILLE RESOURCES REFIN. &amp; MKTNG.,LLC"/>
    <s v="XYLENE (MIXED ISOMERS)"/>
    <s v="1330207"/>
    <m/>
    <x v="3"/>
    <n v="8.3333333333333337E-6"/>
    <s v="41"/>
    <n v="5.65673289183223E-2"/>
    <x v="25"/>
    <s v="TRI"/>
  </r>
  <r>
    <s v="110000490139"/>
    <s v="CONOCO PHILLIPS"/>
    <s v="1,2,4-TRIMETHYLBENZENE"/>
    <s v="95636"/>
    <m/>
    <x v="0"/>
    <n v="1.0000000000000001E-5"/>
    <s v="0"/>
    <n v="0"/>
    <x v="0"/>
    <s v="TRI"/>
  </r>
  <r>
    <s v="110000490139"/>
    <s v="CONOCO PHILLIPS"/>
    <s v="AMMONIA"/>
    <s v="7664417"/>
    <m/>
    <x v="0"/>
    <n v="1.0000000000000001E-5"/>
    <s v="62"/>
    <n v="0.10264900662251657"/>
    <x v="16"/>
    <s v="TRI"/>
  </r>
  <r>
    <s v="110000490139"/>
    <s v="CONOCO PHILLIPS"/>
    <s v="ANTHRACENE"/>
    <s v="120127"/>
    <m/>
    <x v="0"/>
    <n v="1.0000000000000001E-5"/>
    <s v="0"/>
    <n v="0"/>
    <x v="31"/>
    <s v="TRI"/>
  </r>
  <r>
    <s v="110000490139"/>
    <s v="CONOCO PHILLIPS"/>
    <s v="BENZENE"/>
    <s v="71432"/>
    <m/>
    <x v="0"/>
    <n v="1.0000000000000001E-5"/>
    <s v="0"/>
    <n v="0"/>
    <x v="1"/>
    <s v="TRI"/>
  </r>
  <r>
    <s v="110000490139"/>
    <s v="CONOCO PHILLIPS"/>
    <s v="BENZO(G,H,I)PERYLENE"/>
    <s v="191242"/>
    <m/>
    <x v="0"/>
    <n v="1.0000000000000001E-5"/>
    <s v="0"/>
    <n v="0"/>
    <x v="32"/>
    <s v="TRI"/>
  </r>
  <r>
    <s v="110000490139"/>
    <s v="CONOCO PHILLIPS"/>
    <s v="BIPHENYL"/>
    <s v="92524"/>
    <m/>
    <x v="0"/>
    <n v="1.0000000000000001E-5"/>
    <s v="0"/>
    <n v="0"/>
    <x v="52"/>
    <s v="TRI"/>
  </r>
  <r>
    <s v="110000490139"/>
    <s v="CONOCO PHILLIPS"/>
    <s v="CRESOL (MIXED ISOMERS)"/>
    <s v="1319773"/>
    <m/>
    <x v="0"/>
    <n v="1.0000000000000001E-5"/>
    <s v="0"/>
    <n v="0"/>
    <x v="61"/>
    <s v="TRI"/>
  </r>
  <r>
    <s v="110000490139"/>
    <s v="CONOCO PHILLIPS"/>
    <s v="CUMENE"/>
    <s v="98828"/>
    <m/>
    <x v="0"/>
    <n v="1.0000000000000001E-5"/>
    <s v="0"/>
    <n v="0"/>
    <x v="6"/>
    <s v="TRI"/>
  </r>
  <r>
    <s v="110000490139"/>
    <s v="CONOCO PHILLIPS"/>
    <s v="CYCLOHEXANE"/>
    <s v="110827"/>
    <m/>
    <x v="0"/>
    <n v="1.0000000000000001E-5"/>
    <s v="0"/>
    <n v="0"/>
    <x v="8"/>
    <s v="TRI"/>
  </r>
  <r>
    <s v="110000490139"/>
    <s v="CONOCO PHILLIPS"/>
    <s v="DIOXIN AND DIOXIN-LIKE COMPOUNDS"/>
    <s v="N150"/>
    <m/>
    <x v="0"/>
    <n v="1.0000000000000001E-5"/>
    <s v="0"/>
    <n v="0"/>
    <x v="37"/>
    <s v="TRI"/>
  </r>
  <r>
    <s v="110000490139"/>
    <s v="CONOCO PHILLIPS"/>
    <s v="ETHYLBENZENE"/>
    <s v="100414"/>
    <m/>
    <x v="0"/>
    <n v="1.0000000000000001E-5"/>
    <s v="0"/>
    <n v="0"/>
    <x v="10"/>
    <s v="TRI"/>
  </r>
  <r>
    <s v="110000490139"/>
    <s v="CONOCO PHILLIPS"/>
    <s v="ETHYLENE"/>
    <s v="74851"/>
    <m/>
    <x v="0"/>
    <n v="1.0000000000000001E-5"/>
    <s v="0"/>
    <n v="0"/>
    <x v="38"/>
    <s v="TRI"/>
  </r>
  <r>
    <s v="110000490139"/>
    <s v="CONOCO PHILLIPS"/>
    <s v="LEAD AND LEAD COMPOUNDS"/>
    <s v="7439921"/>
    <m/>
    <x v="0"/>
    <n v="1.0000000000000001E-5"/>
    <s v="11"/>
    <n v="1.8211920529801324E-2"/>
    <x v="11"/>
    <s v="TRI"/>
  </r>
  <r>
    <s v="110000490139"/>
    <s v="CONOCO PHILLIPS"/>
    <s v="MERCURY AND MERCURY COMPOUNDS"/>
    <s v="N458"/>
    <m/>
    <x v="0"/>
    <n v="1.0000000000000001E-5"/>
    <s v="0.2"/>
    <n v="3.3112582781456959E-4"/>
    <x v="12"/>
    <s v="TRI"/>
  </r>
  <r>
    <s v="110000490139"/>
    <s v="CONOCO PHILLIPS"/>
    <s v="NAPHTHALENE"/>
    <s v="91203"/>
    <m/>
    <x v="0"/>
    <n v="1.0000000000000001E-5"/>
    <s v="0"/>
    <n v="0"/>
    <x v="13"/>
    <s v="TRI"/>
  </r>
  <r>
    <s v="110000490139"/>
    <s v="CONOCO PHILLIPS"/>
    <s v="N-HEXANE"/>
    <s v="110543"/>
    <m/>
    <x v="0"/>
    <n v="1.0000000000000001E-5"/>
    <s v="0"/>
    <n v="0"/>
    <x v="14"/>
    <s v="TRI"/>
  </r>
  <r>
    <s v="110000490139"/>
    <s v="CONOCO PHILLIPS"/>
    <s v="NICKEL AND NICKEL COMPOUNDS"/>
    <s v="N495"/>
    <m/>
    <x v="0"/>
    <n v="1.0000000000000001E-5"/>
    <s v="50"/>
    <n v="8.2781456953642391E-2"/>
    <x v="45"/>
    <s v="TRI"/>
  </r>
  <r>
    <s v="110000490139"/>
    <s v="CONOCO PHILLIPS"/>
    <s v="NITRATE COMPOUNDS"/>
    <s v="14797558"/>
    <m/>
    <x v="0"/>
    <n v="1.0000000000000001E-5"/>
    <s v="24777"/>
    <n v="41.021523178807946"/>
    <x v="15"/>
    <s v="TRI"/>
  </r>
  <r>
    <s v="110000490139"/>
    <s v="CONOCO PHILLIPS"/>
    <s v="PHENANTHRENE"/>
    <s v="85018"/>
    <m/>
    <x v="0"/>
    <n v="1.0000000000000001E-5"/>
    <s v="0"/>
    <n v="0"/>
    <x v="46"/>
    <s v="TRI"/>
  </r>
  <r>
    <s v="110000490139"/>
    <s v="CONOCO PHILLIPS"/>
    <s v="PHENOL"/>
    <s v="108952"/>
    <m/>
    <x v="0"/>
    <n v="1.0000000000000001E-5"/>
    <s v="55"/>
    <n v="9.105960264900663E-2"/>
    <x v="19"/>
    <s v="TRI"/>
  </r>
  <r>
    <s v="110000490139"/>
    <s v="CONOCO PHILLIPS"/>
    <s v="POLYCYCLIC AROMATIC COMPOUNDS"/>
    <s v="N590"/>
    <m/>
    <x v="0"/>
    <n v="1.0000000000000001E-5"/>
    <s v="0"/>
    <n v="0"/>
    <x v="21"/>
    <s v="TRI"/>
  </r>
  <r>
    <s v="110000490139"/>
    <s v="CONOCO PHILLIPS"/>
    <s v="PROPYLENE"/>
    <s v="115071"/>
    <m/>
    <x v="0"/>
    <n v="1.0000000000000001E-5"/>
    <s v="0"/>
    <n v="0"/>
    <x v="54"/>
    <s v="TRI"/>
  </r>
  <r>
    <s v="110000490139"/>
    <s v="CONOCO PHILLIPS"/>
    <s v="TOLUENE"/>
    <s v="108883"/>
    <m/>
    <x v="0"/>
    <n v="1.0000000000000001E-5"/>
    <s v="0"/>
    <n v="0"/>
    <x v="24"/>
    <s v="TRI"/>
  </r>
  <r>
    <s v="110000490139"/>
    <s v="CONOCO PHILLIPS"/>
    <s v="XYLENE (MIXED ISOMERS)"/>
    <s v="1330207"/>
    <m/>
    <x v="0"/>
    <n v="1.0000000000000001E-5"/>
    <s v="0"/>
    <n v="0"/>
    <x v="25"/>
    <s v="TRI"/>
  </r>
  <r>
    <s v="110000490139"/>
    <s v="CONOCO PHILLIPS"/>
    <s v="ZINC AND ZINC COMPOUNDS"/>
    <s v="7440666"/>
    <m/>
    <x v="0"/>
    <n v="1.0000000000000001E-5"/>
    <s v="286"/>
    <n v="0.47350993377483441"/>
    <x v="29"/>
    <s v="TRI"/>
  </r>
  <r>
    <s v="110041962873"/>
    <s v="ConocoPhillips Co"/>
    <s v="1,2,4-TRIMETHYLBENZENE"/>
    <s v="95636"/>
    <m/>
    <x v="2"/>
    <n v="3.0800049408972026E-6"/>
    <s v="0"/>
    <n v="0"/>
    <x v="0"/>
    <s v="TRI"/>
  </r>
  <r>
    <s v="110041962873"/>
    <s v="ConocoPhillips Co"/>
    <s v="BENZENE"/>
    <s v="71432"/>
    <m/>
    <x v="2"/>
    <n v="3.0800049408972026E-6"/>
    <s v="0"/>
    <n v="0"/>
    <x v="1"/>
    <s v="TRI"/>
  </r>
  <r>
    <s v="110041962873"/>
    <s v="ConocoPhillips Co"/>
    <s v="BENZO(G,H,I)PERYLENE"/>
    <s v="191242"/>
    <m/>
    <x v="2"/>
    <n v="3.0800049408972026E-6"/>
    <s v="0"/>
    <n v="0"/>
    <x v="32"/>
    <s v="TRI"/>
  </r>
  <r>
    <s v="110041962873"/>
    <s v="ConocoPhillips Co"/>
    <s v="BIPHENYL"/>
    <s v="92524"/>
    <m/>
    <x v="2"/>
    <n v="3.0800049408972026E-6"/>
    <s v="0"/>
    <n v="0"/>
    <x v="52"/>
    <s v="TRI"/>
  </r>
  <r>
    <s v="110041962873"/>
    <s v="ConocoPhillips Co"/>
    <s v="BOD, 5-day, 20 deg. C"/>
    <s v=""/>
    <n v="195443.0839005"/>
    <x v="2"/>
    <n v="3.0800049408972026E-6"/>
    <s v=""/>
    <n v="1.6492209974732234E-3"/>
    <x v="2"/>
    <s v="DMR"/>
  </r>
  <r>
    <s v="110041962873"/>
    <s v="ConocoPhillips Co"/>
    <s v="CHROMIUM AND CHROMIUM COMPOUNDS"/>
    <s v="N090"/>
    <m/>
    <x v="2"/>
    <n v="3.0800049408972026E-6"/>
    <s v="276"/>
    <n v="0.14074194763040196"/>
    <x v="59"/>
    <s v="TRI"/>
  </r>
  <r>
    <s v="110041962873"/>
    <s v="ConocoPhillips Co"/>
    <s v="Chromium, hexavalent (as Cr)"/>
    <s v="18540299"/>
    <n v="31.791383219930001"/>
    <x v="2"/>
    <n v="3.0800049408972026E-6"/>
    <s v=""/>
    <n v="2.6826744491874201E-7"/>
    <x v="4"/>
    <s v="DMR"/>
  </r>
  <r>
    <s v="110041962873"/>
    <s v="ConocoPhillips Co"/>
    <s v="Chromium, total (as Cr)"/>
    <s v="7440473"/>
    <n v="106.7755102041"/>
    <x v="2"/>
    <n v="3.0800049408972026E-6"/>
    <s v=""/>
    <n v="9.0101123012451427E-7"/>
    <x v="5"/>
    <s v="DMR"/>
  </r>
  <r>
    <s v="110041962873"/>
    <s v="ConocoPhillips Co"/>
    <s v="COBALT AND COBALT COMPOUNDS"/>
    <s v="7440484"/>
    <m/>
    <x v="2"/>
    <n v="3.0800049408972026E-6"/>
    <s v="0"/>
    <n v="0"/>
    <x v="76"/>
    <s v="TRI"/>
  </r>
  <r>
    <s v="110041962873"/>
    <s v="ConocoPhillips Co"/>
    <s v="COPPER AND COPPER COMPOUNDS"/>
    <s v="7440508"/>
    <m/>
    <x v="2"/>
    <n v="3.0800049408972026E-6"/>
    <s v="98"/>
    <n v="4.9973590100649966E-2"/>
    <x v="60"/>
    <s v="TRI"/>
  </r>
  <r>
    <s v="110041962873"/>
    <s v="ConocoPhillips Co"/>
    <s v="CRESOL (MIXED ISOMERS)"/>
    <s v="1319773"/>
    <m/>
    <x v="2"/>
    <n v="3.0800049408972026E-6"/>
    <s v="0"/>
    <n v="0"/>
    <x v="61"/>
    <s v="TRI"/>
  </r>
  <r>
    <s v="110041962873"/>
    <s v="ConocoPhillips Co"/>
    <s v="CUMENE"/>
    <s v="98828"/>
    <m/>
    <x v="2"/>
    <n v="3.0800049408972026E-6"/>
    <s v="0"/>
    <n v="0"/>
    <x v="6"/>
    <s v="TRI"/>
  </r>
  <r>
    <s v="110041962873"/>
    <s v="ConocoPhillips Co"/>
    <s v="Cyanide, total (as CN)"/>
    <s v="57125"/>
    <n v="458.04988662100004"/>
    <x v="2"/>
    <n v="3.0800049408972026E-6"/>
    <s v=""/>
    <n v="3.8651942848495443E-6"/>
    <x v="85"/>
    <s v="DMR"/>
  </r>
  <r>
    <s v="110041962873"/>
    <s v="ConocoPhillips Co"/>
    <s v="CYCLOHEXANE"/>
    <s v="110827"/>
    <m/>
    <x v="2"/>
    <n v="3.0800049408972026E-6"/>
    <s v="0"/>
    <n v="0"/>
    <x v="8"/>
    <s v="TRI"/>
  </r>
  <r>
    <s v="110041962873"/>
    <s v="ConocoPhillips Co"/>
    <s v="DIETHANOLAMINE"/>
    <s v="111422"/>
    <m/>
    <x v="2"/>
    <n v="3.0800049408972026E-6"/>
    <s v="0"/>
    <n v="0"/>
    <x v="9"/>
    <s v="TRI"/>
  </r>
  <r>
    <s v="110041962873"/>
    <s v="ConocoPhillips Co"/>
    <s v="DIOXIN AND DIOXIN-LIKE COMPOUNDS"/>
    <s v="N150"/>
    <m/>
    <x v="2"/>
    <n v="3.0800049408972026E-6"/>
    <s v="0"/>
    <n v="0"/>
    <x v="37"/>
    <s v="TRI"/>
  </r>
  <r>
    <s v="110041962873"/>
    <s v="ConocoPhillips Co"/>
    <s v="ETHYLBENZENE"/>
    <s v="100414"/>
    <m/>
    <x v="2"/>
    <n v="3.0800049408972026E-6"/>
    <s v="0"/>
    <n v="0"/>
    <x v="10"/>
    <s v="TRI"/>
  </r>
  <r>
    <s v="110041962873"/>
    <s v="ConocoPhillips Co"/>
    <s v="LEAD AND LEAD COMPOUNDS"/>
    <s v="7439921"/>
    <m/>
    <x v="2"/>
    <n v="3.0800049408972026E-6"/>
    <s v="33.6"/>
    <n v="1.7133802320222848E-2"/>
    <x v="11"/>
    <s v="TRI"/>
  </r>
  <r>
    <s v="110041962873"/>
    <s v="ConocoPhillips Co"/>
    <s v="MERCURY AND MERCURY COMPOUNDS"/>
    <s v="N458"/>
    <m/>
    <x v="2"/>
    <n v="3.0800049408972026E-6"/>
    <s v="0.38"/>
    <n v="1.9377514528823458E-4"/>
    <x v="12"/>
    <s v="TRI"/>
  </r>
  <r>
    <s v="110041962873"/>
    <s v="ConocoPhillips Co"/>
    <s v="METHANOL"/>
    <s v="67561"/>
    <m/>
    <x v="2"/>
    <n v="3.0800049408972026E-6"/>
    <s v="0"/>
    <n v="0"/>
    <x v="42"/>
    <s v="TRI"/>
  </r>
  <r>
    <s v="110041962873"/>
    <s v="ConocoPhillips Co"/>
    <s v="MOLYBDENUM TRIOXIDE"/>
    <s v="1313275"/>
    <m/>
    <x v="2"/>
    <n v="3.0800049408972026E-6"/>
    <s v="1397"/>
    <n v="0.71237862623069392"/>
    <x v="44"/>
    <s v="TRI"/>
  </r>
  <r>
    <s v="110041962873"/>
    <s v="ConocoPhillips Co"/>
    <s v="NAPHTHALENE"/>
    <s v="91203"/>
    <m/>
    <x v="2"/>
    <n v="3.0800049408972026E-6"/>
    <s v="0"/>
    <n v="0"/>
    <x v="13"/>
    <s v="TRI"/>
  </r>
  <r>
    <s v="110041962873"/>
    <s v="ConocoPhillips Co"/>
    <s v="N-BUTYL ALCOHOL"/>
    <s v="71363"/>
    <m/>
    <x v="2"/>
    <n v="3.0800049408972026E-6"/>
    <s v="0"/>
    <n v="0"/>
    <x v="100"/>
    <s v="TRI"/>
  </r>
  <r>
    <s v="110041962873"/>
    <s v="ConocoPhillips Co"/>
    <s v="N-HEXANE"/>
    <s v="110543"/>
    <m/>
    <x v="2"/>
    <n v="3.0800049408972026E-6"/>
    <s v="0"/>
    <n v="0"/>
    <x v="14"/>
    <s v="TRI"/>
  </r>
  <r>
    <s v="110041962873"/>
    <s v="ConocoPhillips Co"/>
    <s v="NICKEL AND NICKEL COMPOUNDS"/>
    <s v="N495"/>
    <m/>
    <x v="2"/>
    <n v="3.0800049408972026E-6"/>
    <s v="2502"/>
    <n v="1.2758563513451657"/>
    <x v="45"/>
    <s v="TRI"/>
  </r>
  <r>
    <s v="110041962873"/>
    <s v="ConocoPhillips Co"/>
    <s v="Nickel, total (as Ni)"/>
    <s v="7440020"/>
    <n v="1449.6145124720001"/>
    <x v="2"/>
    <n v="3.0800049408972026E-6"/>
    <s v=""/>
    <n v="1.2232383180301507E-5"/>
    <x v="71"/>
    <s v="DMR"/>
  </r>
  <r>
    <s v="110041962873"/>
    <s v="ConocoPhillips Co"/>
    <s v="NITRATE COMPOUNDS"/>
    <s v="14797558"/>
    <m/>
    <x v="2"/>
    <n v="3.0800049408972026E-6"/>
    <s v="33847"/>
    <n v="17.2597561646602"/>
    <x v="15"/>
    <s v="TRI"/>
  </r>
  <r>
    <s v="110041962873"/>
    <s v="ConocoPhillips Co"/>
    <s v="Nitrogen, ammonia total (as N)"/>
    <s v="7664417"/>
    <n v="106481.63265310001"/>
    <x v="2"/>
    <n v="3.0800049408972026E-6"/>
    <s v=""/>
    <n v="8.9853138270232593E-4"/>
    <x v="16"/>
    <s v="DMR"/>
  </r>
  <r>
    <s v="110041962873"/>
    <s v="ConocoPhillips Co"/>
    <s v="Oil and grease"/>
    <s v=""/>
    <n v="103445.35147389999"/>
    <x v="2"/>
    <n v="3.0800049408972026E-6"/>
    <s v=""/>
    <n v="8.7291011959578007E-4"/>
    <x v="17"/>
    <s v="DMR"/>
  </r>
  <r>
    <s v="110041962873"/>
    <s v="ConocoPhillips Co"/>
    <s v="Chemical Oxygen Demand (COD)"/>
    <s v=""/>
    <n v="1947686.1678010002"/>
    <x v="2"/>
    <n v="3.0800049408972026E-6"/>
    <s v=""/>
    <n v="1.64352959456006E-2"/>
    <x v="18"/>
    <s v="DMR"/>
  </r>
  <r>
    <s v="110041962873"/>
    <s v="ConocoPhillips Co"/>
    <s v="PHENOL"/>
    <s v="108952"/>
    <m/>
    <x v="2"/>
    <n v="3.0800049408972026E-6"/>
    <s v="413"/>
    <n v="0.21060298685273915"/>
    <x v="19"/>
    <s v="TRI"/>
  </r>
  <r>
    <s v="110041962873"/>
    <s v="ConocoPhillips Co"/>
    <s v="Phenolics, total recoverable"/>
    <s v=""/>
    <n v="253.142857142"/>
    <x v="2"/>
    <n v="3.0800049408972026E-6"/>
    <s v=""/>
    <n v="2.1361130157539581E-6"/>
    <x v="20"/>
    <s v="DMR"/>
  </r>
  <r>
    <s v="110041962873"/>
    <s v="ConocoPhillips Co"/>
    <s v="Phosphorus, total (as P)"/>
    <s v="7723140"/>
    <n v="6347.3922227700004"/>
    <x v="2"/>
    <n v="3.0800049408972026E-6"/>
    <s v=""/>
    <n v="5.3561642213545423E-5"/>
    <x v="66"/>
    <s v="DMR"/>
  </r>
  <r>
    <s v="110041962873"/>
    <s v="ConocoPhillips Co"/>
    <s v="POLYCYCLIC AROMATIC COMPOUNDS"/>
    <s v="N590"/>
    <m/>
    <x v="2"/>
    <n v="3.0800049408972026E-6"/>
    <s v="13"/>
    <n v="6.6291497072290774E-3"/>
    <x v="21"/>
    <s v="TRI"/>
  </r>
  <r>
    <s v="110041962873"/>
    <s v="ConocoPhillips Co"/>
    <s v="Solids, total suspended"/>
    <s v=""/>
    <n v="569947.84580500005"/>
    <x v="2"/>
    <n v="3.0800049408972026E-6"/>
    <s v=""/>
    <n v="4.8094306332414167E-3"/>
    <x v="22"/>
    <s v="DMR"/>
  </r>
  <r>
    <s v="110041962873"/>
    <s v="ConocoPhillips Co"/>
    <s v="STYRENE"/>
    <s v="100425"/>
    <m/>
    <x v="2"/>
    <n v="3.0800049408972026E-6"/>
    <s v="0"/>
    <n v="0"/>
    <x v="48"/>
    <s v="TRI"/>
  </r>
  <r>
    <s v="110041962873"/>
    <s v="ConocoPhillips Co"/>
    <s v="Sulfide, total (as S)"/>
    <s v="18496258"/>
    <n v="1264.408163265"/>
    <x v="2"/>
    <n v="3.0800049408972026E-6"/>
    <s v=""/>
    <n v="1.0669543534703993E-5"/>
    <x v="23"/>
    <s v="DMR"/>
  </r>
  <r>
    <s v="110041962873"/>
    <s v="ConocoPhillips Co"/>
    <s v="TETRACHLOROETHYLENE"/>
    <s v="127184"/>
    <m/>
    <x v="2"/>
    <n v="3.0800049408972026E-6"/>
    <s v="0"/>
    <n v="0"/>
    <x v="50"/>
    <s v="TRI"/>
  </r>
  <r>
    <s v="110041962873"/>
    <s v="ConocoPhillips Co"/>
    <s v="TOLUENE"/>
    <s v="108883"/>
    <m/>
    <x v="2"/>
    <n v="3.0800049408972026E-6"/>
    <s v="0"/>
    <n v="0"/>
    <x v="24"/>
    <s v="TRI"/>
  </r>
  <r>
    <s v="110041962873"/>
    <s v="ConocoPhillips Co"/>
    <s v="VANADIUM AND VANADIUM COMPOUNDS"/>
    <s v="7440622"/>
    <m/>
    <x v="2"/>
    <n v="3.0800049408972026E-6"/>
    <s v="2823"/>
    <n v="1.4395453556544375"/>
    <x v="78"/>
    <s v="TRI"/>
  </r>
  <r>
    <s v="110041962873"/>
    <s v="ConocoPhillips Co"/>
    <s v="XYLENE (MIXED ISOMERS)"/>
    <s v="1330207"/>
    <m/>
    <x v="2"/>
    <n v="3.0800049408972026E-6"/>
    <s v="0"/>
    <n v="0"/>
    <x v="25"/>
    <s v="TRI"/>
  </r>
  <r>
    <s v="110041962873"/>
    <s v="ConocoPhillips Co"/>
    <s v="ZINC AND ZINC COMPOUNDS"/>
    <s v="7440666"/>
    <m/>
    <x v="2"/>
    <n v="3.0800049408972026E-6"/>
    <s v="2920"/>
    <n v="1.4890090111622236"/>
    <x v="29"/>
    <s v="TRI"/>
  </r>
  <r>
    <s v="110000744473"/>
    <s v="ConocoPhillips Co - Alliance Refinery"/>
    <s v="1,2,4-TRIMETHYLBENZENE"/>
    <s v="95636"/>
    <m/>
    <x v="3"/>
    <n v="3.9794198707720958E-6"/>
    <s v="4"/>
    <n v="2.6353773978623151E-3"/>
    <x v="0"/>
    <s v="TRI"/>
  </r>
  <r>
    <s v="110000744473"/>
    <s v="ConocoPhillips Co - Alliance Refinery"/>
    <s v="1,3-BUTADIENE"/>
    <s v="106990"/>
    <m/>
    <x v="3"/>
    <n v="3.9794198707720958E-6"/>
    <s v="0"/>
    <n v="0"/>
    <x v="30"/>
    <s v="TRI"/>
  </r>
  <r>
    <s v="110000744473"/>
    <s v="ConocoPhillips Co - Alliance Refinery"/>
    <s v="ANTIMONY AND ANTIMONY COMPOUNDS"/>
    <s v="7440360"/>
    <m/>
    <x v="3"/>
    <n v="3.9794198707720958E-6"/>
    <s v="85"/>
    <n v="5.6001769704574197E-2"/>
    <x v="92"/>
    <s v="TRI"/>
  </r>
  <r>
    <s v="110000744473"/>
    <s v="ConocoPhillips Co - Alliance Refinery"/>
    <s v="BENZENE"/>
    <s v="71432"/>
    <m/>
    <x v="3"/>
    <n v="3.9794198707720958E-6"/>
    <s v="42"/>
    <n v="2.7671462677554305E-2"/>
    <x v="1"/>
    <s v="TRI"/>
  </r>
  <r>
    <s v="110000744473"/>
    <s v="ConocoPhillips Co - Alliance Refinery"/>
    <s v="BENZO(G,H,I)PERYLENE"/>
    <s v="191242"/>
    <m/>
    <x v="3"/>
    <n v="3.9794198707720958E-6"/>
    <s v="0"/>
    <n v="0"/>
    <x v="32"/>
    <s v="TRI"/>
  </r>
  <r>
    <s v="110000744473"/>
    <s v="ConocoPhillips Co - Alliance Refinery"/>
    <s v="BOD, 5-day, 20 deg. C"/>
    <s v=""/>
    <n v="54872.108843499998"/>
    <x v="3"/>
    <n v="3.9794198707720958E-6"/>
    <s v=""/>
    <n v="5.982442747479264E-4"/>
    <x v="2"/>
    <s v="DMR"/>
  </r>
  <r>
    <s v="110000744473"/>
    <s v="ConocoPhillips Co - Alliance Refinery"/>
    <s v="Carbon, tot organic (TOC)"/>
    <s v="7440440"/>
    <n v="66300.07362000001"/>
    <x v="3"/>
    <n v="3.9794198707720958E-6"/>
    <s v=""/>
    <n v="7.2283789149885167E-4"/>
    <x v="3"/>
    <s v="DMR"/>
  </r>
  <r>
    <s v="110000744473"/>
    <s v="ConocoPhillips Co - Alliance Refinery"/>
    <s v="Chromium, hexavalent (as Cr)"/>
    <s v="18540299"/>
    <n v="16.870748299300001"/>
    <x v="3"/>
    <n v="3.9794198707720958E-6"/>
    <s v=""/>
    <n v="1.8393367401925742E-7"/>
    <x v="4"/>
    <s v="DMR"/>
  </r>
  <r>
    <s v="110000744473"/>
    <s v="ConocoPhillips Co - Alliance Refinery"/>
    <s v="Chromium, total (as Cr)"/>
    <s v="7440473"/>
    <n v="0"/>
    <x v="3"/>
    <n v="3.9794198707720958E-6"/>
    <s v=""/>
    <n v="0"/>
    <x v="5"/>
    <s v="DMR"/>
  </r>
  <r>
    <s v="110000744473"/>
    <s v="ConocoPhillips Co - Alliance Refinery"/>
    <s v="COBALT AND COBALT COMPOUNDS"/>
    <s v="7440484"/>
    <m/>
    <x v="3"/>
    <n v="3.9794198707720958E-6"/>
    <s v="212"/>
    <n v="0.13967500208670269"/>
    <x v="76"/>
    <s v="TRI"/>
  </r>
  <r>
    <s v="110000744473"/>
    <s v="ConocoPhillips Co - Alliance Refinery"/>
    <s v="CRESOL (MIXED ISOMERS)"/>
    <s v="1319773"/>
    <m/>
    <x v="3"/>
    <n v="3.9794198707720958E-6"/>
    <s v="0"/>
    <n v="0"/>
    <x v="61"/>
    <s v="TRI"/>
  </r>
  <r>
    <s v="110000744473"/>
    <s v="ConocoPhillips Co - Alliance Refinery"/>
    <s v="CUMENE"/>
    <s v="98828"/>
    <m/>
    <x v="3"/>
    <n v="3.9794198707720958E-6"/>
    <s v="0"/>
    <n v="0"/>
    <x v="6"/>
    <s v="TRI"/>
  </r>
  <r>
    <s v="110000744473"/>
    <s v="ConocoPhillips Co - Alliance Refinery"/>
    <s v="CYCLOHEXANE"/>
    <s v="110827"/>
    <m/>
    <x v="3"/>
    <n v="3.9794198707720958E-6"/>
    <s v="0"/>
    <n v="0"/>
    <x v="8"/>
    <s v="TRI"/>
  </r>
  <r>
    <s v="110000744473"/>
    <s v="ConocoPhillips Co - Alliance Refinery"/>
    <s v="DIETHANOLAMINE"/>
    <s v="111422"/>
    <m/>
    <x v="3"/>
    <n v="3.9794198707720958E-6"/>
    <s v="53"/>
    <n v="3.4918750521675673E-2"/>
    <x v="9"/>
    <s v="TRI"/>
  </r>
  <r>
    <s v="110000744473"/>
    <s v="ConocoPhillips Co - Alliance Refinery"/>
    <s v="DIOXIN AND DIOXIN-LIKE COMPOUNDS"/>
    <s v="N150"/>
    <m/>
    <x v="3"/>
    <n v="3.9794198707720958E-6"/>
    <s v="0"/>
    <n v="0"/>
    <x v="37"/>
    <s v="TRI"/>
  </r>
  <r>
    <s v="110000744473"/>
    <s v="ConocoPhillips Co - Alliance Refinery"/>
    <s v="ETHYLBENZENE"/>
    <s v="100414"/>
    <m/>
    <x v="3"/>
    <n v="3.9794198707720958E-6"/>
    <s v="42"/>
    <n v="2.7671462677554305E-2"/>
    <x v="10"/>
    <s v="TRI"/>
  </r>
  <r>
    <s v="110000744473"/>
    <s v="ConocoPhillips Co - Alliance Refinery"/>
    <s v="FORMIC ACID"/>
    <s v="64186"/>
    <m/>
    <x v="3"/>
    <n v="3.9794198707720958E-6"/>
    <s v="0"/>
    <n v="0"/>
    <x v="101"/>
    <s v="TRI"/>
  </r>
  <r>
    <s v="110000744473"/>
    <s v="ConocoPhillips Co - Alliance Refinery"/>
    <s v="HYDROGEN FLUORIDE"/>
    <s v="7664393"/>
    <m/>
    <x v="3"/>
    <n v="3.9794198707720958E-6"/>
    <s v="0"/>
    <n v="0"/>
    <x v="77"/>
    <s v="TRI"/>
  </r>
  <r>
    <s v="110000744473"/>
    <s v="ConocoPhillips Co - Alliance Refinery"/>
    <s v="LEAD AND LEAD COMPOUNDS"/>
    <s v="7439921"/>
    <m/>
    <x v="3"/>
    <n v="3.9794198707720958E-6"/>
    <s v="21.1565"/>
    <n v="1.3938840479468518E-2"/>
    <x v="11"/>
    <s v="TRI"/>
  </r>
  <r>
    <s v="110000744473"/>
    <s v="ConocoPhillips Co - Alliance Refinery"/>
    <s v="MERCURY AND MERCURY COMPOUNDS"/>
    <s v="N458"/>
    <m/>
    <x v="3"/>
    <n v="3.9794198707720958E-6"/>
    <s v="0.85"/>
    <n v="5.6001769704574198E-4"/>
    <x v="12"/>
    <s v="TRI"/>
  </r>
  <r>
    <s v="110000744473"/>
    <s v="ConocoPhillips Co - Alliance Refinery"/>
    <s v="MOLYBDENUM TRIOXIDE"/>
    <s v="1313275"/>
    <m/>
    <x v="3"/>
    <n v="3.9794198707720958E-6"/>
    <s v="63"/>
    <n v="4.1507194016331461E-2"/>
    <x v="44"/>
    <s v="TRI"/>
  </r>
  <r>
    <s v="110000744473"/>
    <s v="ConocoPhillips Co - Alliance Refinery"/>
    <s v="NAPHTHALENE"/>
    <s v="91203"/>
    <m/>
    <x v="3"/>
    <n v="3.9794198707720958E-6"/>
    <s v="42"/>
    <n v="2.7671462677554305E-2"/>
    <x v="13"/>
    <s v="TRI"/>
  </r>
  <r>
    <s v="110000744473"/>
    <s v="ConocoPhillips Co - Alliance Refinery"/>
    <s v="N-HEXANE"/>
    <s v="110543"/>
    <m/>
    <x v="3"/>
    <n v="3.9794198707720958E-6"/>
    <s v="0"/>
    <n v="0"/>
    <x v="14"/>
    <s v="TRI"/>
  </r>
  <r>
    <s v="110000744473"/>
    <s v="ConocoPhillips Co - Alliance Refinery"/>
    <s v="NICKEL AND NICKEL COMPOUNDS"/>
    <s v="N495"/>
    <m/>
    <x v="3"/>
    <n v="3.9794198707720958E-6"/>
    <s v="169"/>
    <n v="0.11134469505968281"/>
    <x v="45"/>
    <s v="TRI"/>
  </r>
  <r>
    <s v="110000744473"/>
    <s v="ConocoPhillips Co - Alliance Refinery"/>
    <s v="NITRATE COMPOUNDS"/>
    <s v="14797558"/>
    <m/>
    <x v="3"/>
    <n v="3.9794198707720958E-6"/>
    <s v="64301"/>
    <n v="42.364350514986178"/>
    <x v="15"/>
    <s v="TRI"/>
  </r>
  <r>
    <s v="110000744473"/>
    <s v="ConocoPhillips Co - Alliance Refinery"/>
    <s v="Nitrogen, ammonia total (as N)"/>
    <s v="7664417"/>
    <n v="94358.276643999998"/>
    <x v="3"/>
    <n v="3.9794198707720958E-6"/>
    <s v=""/>
    <n v="1.0287430165724497E-3"/>
    <x v="16"/>
    <s v="DMR"/>
  </r>
  <r>
    <s v="110000744473"/>
    <s v="ConocoPhillips Co - Alliance Refinery"/>
    <s v="Oil and grease"/>
    <s v=""/>
    <n v="2690.4915500000002"/>
    <x v="3"/>
    <n v="3.9794198707720958E-6"/>
    <s v=""/>
    <n v="2.9333138455381961E-5"/>
    <x v="17"/>
    <s v="DMR"/>
  </r>
  <r>
    <s v="110000744473"/>
    <s v="ConocoPhillips Co - Alliance Refinery"/>
    <s v="Chemical Oxygen Demand (COD)"/>
    <s v=""/>
    <n v="658682.53968299995"/>
    <x v="3"/>
    <n v="3.9794198707720958E-6"/>
    <s v=""/>
    <n v="7.1812996902607109E-3"/>
    <x v="18"/>
    <s v="DMR"/>
  </r>
  <r>
    <s v="110000744473"/>
    <s v="ConocoPhillips Co - Alliance Refinery"/>
    <s v="PHENOL"/>
    <s v="108952"/>
    <m/>
    <x v="3"/>
    <n v="3.9794198707720958E-6"/>
    <s v="42"/>
    <n v="2.7671462677554305E-2"/>
    <x v="19"/>
    <s v="TRI"/>
  </r>
  <r>
    <s v="110000744473"/>
    <s v="ConocoPhillips Co - Alliance Refinery"/>
    <s v="POLYCYCLIC AROMATIC COMPOUNDS"/>
    <s v="N590"/>
    <m/>
    <x v="3"/>
    <n v="3.9794198707720958E-6"/>
    <s v="42.313"/>
    <n v="2.7877680958937036E-2"/>
    <x v="21"/>
    <s v="TRI"/>
  </r>
  <r>
    <s v="110000744473"/>
    <s v="ConocoPhillips Co - Alliance Refinery"/>
    <s v="Solids, total suspended"/>
    <s v=""/>
    <n v="84559.637188199995"/>
    <x v="3"/>
    <n v="3.9794198707720958E-6"/>
    <s v=""/>
    <n v="9.2191315203288249E-4"/>
    <x v="22"/>
    <s v="DMR"/>
  </r>
  <r>
    <s v="110000744473"/>
    <s v="ConocoPhillips Co - Alliance Refinery"/>
    <s v="Sulfide, total (as S)"/>
    <s v="18496258"/>
    <n v="170.702947846"/>
    <x v="3"/>
    <n v="3.9794198707720958E-6"/>
    <s v=""/>
    <n v="1.8610923360486167E-6"/>
    <x v="23"/>
    <s v="DMR"/>
  </r>
  <r>
    <s v="110000744473"/>
    <s v="ConocoPhillips Co - Alliance Refinery"/>
    <s v="TOLUENE"/>
    <s v="108883"/>
    <m/>
    <x v="3"/>
    <n v="3.9794198707720958E-6"/>
    <s v="42"/>
    <n v="2.7671462677554305E-2"/>
    <x v="24"/>
    <s v="TRI"/>
  </r>
  <r>
    <s v="110000744473"/>
    <s v="ConocoPhillips Co - Alliance Refinery"/>
    <s v="VANADIUM AND VANADIUM COMPOUNDS"/>
    <s v="7440622"/>
    <m/>
    <x v="3"/>
    <n v="3.9794198707720958E-6"/>
    <s v="0"/>
    <n v="0"/>
    <x v="78"/>
    <s v="TRI"/>
  </r>
  <r>
    <s v="110000744473"/>
    <s v="ConocoPhillips Co - Alliance Refinery"/>
    <s v="XYLENE (MIXED ISOMERS)"/>
    <s v="1330207"/>
    <m/>
    <x v="3"/>
    <n v="3.9794198707720958E-6"/>
    <s v="42"/>
    <n v="2.7671462677554305E-2"/>
    <x v="25"/>
    <s v="TRI"/>
  </r>
  <r>
    <s v="110000539757"/>
    <s v="ConocoPhillips Co - Lake Charles Refinery"/>
    <s v="1,2,4-TRIMETHYLBENZENE"/>
    <s v="95636"/>
    <m/>
    <x v="2"/>
    <n v="4.1126222095427099E-6"/>
    <s v="40"/>
    <n v="2.7235908672468275E-2"/>
    <x v="0"/>
    <s v="TRI"/>
  </r>
  <r>
    <s v="110000539757"/>
    <s v="ConocoPhillips Co - Lake Charles Refinery"/>
    <s v="1,2-Dichloroethane"/>
    <s v="107062"/>
    <n v="5.5026455026500001"/>
    <x v="2"/>
    <n v="4.1126222095427099E-6"/>
    <s v=""/>
    <n v="6.2000827686133422E-8"/>
    <x v="102"/>
    <s v="DMR"/>
  </r>
  <r>
    <s v="110000539757"/>
    <s v="ConocoPhillips Co - Lake Charles Refinery"/>
    <s v="1,3-BUTADIENE"/>
    <s v="106990"/>
    <m/>
    <x v="2"/>
    <n v="4.1126222095427099E-6"/>
    <s v="40"/>
    <n v="2.7235908672468275E-2"/>
    <x v="30"/>
    <s v="TRI"/>
  </r>
  <r>
    <s v="110000539757"/>
    <s v="ConocoPhillips Co - Lake Charles Refinery"/>
    <s v="2-Methylnaphthalene"/>
    <s v="91576"/>
    <n v="74.920634920599994"/>
    <x v="2"/>
    <n v="4.1126222095427099E-6"/>
    <s v=""/>
    <n v="8.441651154178101E-7"/>
    <x v="103"/>
    <s v="DMR"/>
  </r>
  <r>
    <s v="110000539757"/>
    <s v="ConocoPhillips Co - Lake Charles Refinery"/>
    <s v="AMMONIA"/>
    <s v="7664417"/>
    <m/>
    <x v="2"/>
    <n v="4.1126222095427099E-6"/>
    <s v="9463"/>
    <n v="6.4433350941891829"/>
    <x v="16"/>
    <s v="TRI"/>
  </r>
  <r>
    <s v="110000539757"/>
    <s v="ConocoPhillips Co - Lake Charles Refinery"/>
    <s v="Anthracene"/>
    <s v="120127"/>
    <n v="1.6507936507900001"/>
    <x v="2"/>
    <n v="4.1126222095427099E-6"/>
    <s v=""/>
    <n v="1.8600248305783689E-8"/>
    <x v="31"/>
    <s v="DMR"/>
  </r>
  <r>
    <s v="110000539757"/>
    <s v="ConocoPhillips Co - Lake Charles Refinery"/>
    <s v="BENZENE"/>
    <s v="71432"/>
    <m/>
    <x v="2"/>
    <n v="4.1126222095427099E-6"/>
    <s v="82"/>
    <n v="5.5833612778559971E-2"/>
    <x v="1"/>
    <s v="TRI"/>
  </r>
  <r>
    <s v="110000539757"/>
    <s v="ConocoPhillips Co - Lake Charles Refinery"/>
    <s v="Benzo(a)anthracene"/>
    <s v="56553"/>
    <n v="0"/>
    <x v="2"/>
    <n v="4.1126222095427099E-6"/>
    <s v=""/>
    <n v="0"/>
    <x v="104"/>
    <s v="DMR"/>
  </r>
  <r>
    <s v="110000539757"/>
    <s v="ConocoPhillips Co - Lake Charles Refinery"/>
    <s v="Benzo(a)pyrene"/>
    <s v="50328"/>
    <n v="2.2010582010599999"/>
    <x v="2"/>
    <n v="4.1126222095427099E-6"/>
    <s v=""/>
    <n v="2.4800331074453369E-8"/>
    <x v="105"/>
    <s v="DMR"/>
  </r>
  <r>
    <s v="110000539757"/>
    <s v="ConocoPhillips Co - Lake Charles Refinery"/>
    <s v="BENZO(G,H,I)PERYLENE"/>
    <s v="191242"/>
    <m/>
    <x v="2"/>
    <n v="4.1126222095427099E-6"/>
    <s v="0.5"/>
    <n v="3.4044885840585343E-4"/>
    <x v="32"/>
    <s v="TRI"/>
  </r>
  <r>
    <s v="110000539757"/>
    <s v="ConocoPhillips Co - Lake Charles Refinery"/>
    <s v="BIPHENYL"/>
    <s v="92524"/>
    <m/>
    <x v="2"/>
    <n v="4.1126222095427099E-6"/>
    <s v="40"/>
    <n v="2.7235908672468275E-2"/>
    <x v="52"/>
    <s v="TRI"/>
  </r>
  <r>
    <s v="110000539757"/>
    <s v="ConocoPhillips Co - Lake Charles Refinery"/>
    <s v="CARBON DISULFIDE"/>
    <s v="75150"/>
    <m/>
    <x v="2"/>
    <n v="4.1126222095427099E-6"/>
    <s v="81"/>
    <n v="5.5152715061748257E-2"/>
    <x v="34"/>
    <s v="TRI"/>
  </r>
  <r>
    <s v="110000539757"/>
    <s v="ConocoPhillips Co - Lake Charles Refinery"/>
    <s v="Carbon, tot organic (TOC)"/>
    <s v="7440440"/>
    <n v="25317.425940000001"/>
    <x v="2"/>
    <n v="4.1126222095427099E-6"/>
    <s v=""/>
    <n v="2.8526303618985402E-4"/>
    <x v="3"/>
    <s v="DMR"/>
  </r>
  <r>
    <s v="110000539757"/>
    <s v="ConocoPhillips Co - Lake Charles Refinery"/>
    <s v="CARBONYL SULFIDE"/>
    <s v="463581"/>
    <m/>
    <x v="2"/>
    <n v="4.1126222095427099E-6"/>
    <s v="876"/>
    <n v="0.59646639992705519"/>
    <x v="35"/>
    <s v="TRI"/>
  </r>
  <r>
    <s v="110000539757"/>
    <s v="ConocoPhillips Co - Lake Charles Refinery"/>
    <s v="Chrysene"/>
    <s v="218019"/>
    <n v="5.5026455026500001"/>
    <x v="2"/>
    <n v="4.1126222095427099E-6"/>
    <s v=""/>
    <n v="6.2000827686133422E-8"/>
    <x v="106"/>
    <s v="DMR"/>
  </r>
  <r>
    <s v="110000539757"/>
    <s v="ConocoPhillips Co - Lake Charles Refinery"/>
    <s v="COBALT AND COBALT COMPOUNDS"/>
    <s v="7440484"/>
    <m/>
    <x v="2"/>
    <n v="4.1126222095427099E-6"/>
    <s v="404"/>
    <n v="0.27508267759192956"/>
    <x v="76"/>
    <s v="TRI"/>
  </r>
  <r>
    <s v="110000539757"/>
    <s v="ConocoPhillips Co - Lake Charles Refinery"/>
    <s v="Copper, total (as Cu)"/>
    <s v="7440508"/>
    <n v="19.0113378685"/>
    <x v="2"/>
    <n v="4.1126222095427099E-6"/>
    <s v=""/>
    <n v="2.1420945301674921E-7"/>
    <x v="68"/>
    <s v="DMR"/>
  </r>
  <r>
    <s v="110000539757"/>
    <s v="ConocoPhillips Co - Lake Charles Refinery"/>
    <s v="CUMENE"/>
    <s v="98828"/>
    <m/>
    <x v="2"/>
    <n v="4.1126222095427099E-6"/>
    <s v="40"/>
    <n v="2.7235908672468275E-2"/>
    <x v="6"/>
    <s v="TRI"/>
  </r>
  <r>
    <s v="110000539757"/>
    <s v="ConocoPhillips Co - Lake Charles Refinery"/>
    <s v="CYCLOHEXANE"/>
    <s v="110827"/>
    <m/>
    <x v="2"/>
    <n v="4.1126222095427099E-6"/>
    <s v="40"/>
    <n v="2.7235908672468275E-2"/>
    <x v="8"/>
    <s v="TRI"/>
  </r>
  <r>
    <s v="110000539757"/>
    <s v="ConocoPhillips Co - Lake Charles Refinery"/>
    <s v="Dibenzo(a,h)anthracene"/>
    <s v="53703"/>
    <n v="5.5026455026500001"/>
    <x v="2"/>
    <n v="4.1126222095427099E-6"/>
    <s v=""/>
    <n v="6.2000827686133422E-8"/>
    <x v="107"/>
    <s v="DMR"/>
  </r>
  <r>
    <s v="110000539757"/>
    <s v="ConocoPhillips Co - Lake Charles Refinery"/>
    <s v="ETHYLBENZENE"/>
    <s v="100414"/>
    <m/>
    <x v="2"/>
    <n v="4.1126222095427099E-6"/>
    <s v="82"/>
    <n v="5.5833612778559971E-2"/>
    <x v="10"/>
    <s v="TRI"/>
  </r>
  <r>
    <s v="110000539757"/>
    <s v="ConocoPhillips Co - Lake Charles Refinery"/>
    <s v="Fluoranthene"/>
    <s v="206440"/>
    <n v="0"/>
    <x v="2"/>
    <n v="4.1126222095427099E-6"/>
    <s v=""/>
    <n v="0"/>
    <x v="108"/>
    <s v="DMR"/>
  </r>
  <r>
    <s v="110000539757"/>
    <s v="ConocoPhillips Co - Lake Charles Refinery"/>
    <s v="LEAD AND LEAD COMPOUNDS"/>
    <s v="7439921"/>
    <m/>
    <x v="2"/>
    <n v="4.1126222095427099E-6"/>
    <s v="40.4"/>
    <n v="2.7508267759192954E-2"/>
    <x v="11"/>
    <s v="TRI"/>
  </r>
  <r>
    <s v="110000539757"/>
    <s v="ConocoPhillips Co - Lake Charles Refinery"/>
    <s v="MERCURY AND MERCURY COMPOUNDS"/>
    <s v="N458"/>
    <m/>
    <x v="2"/>
    <n v="4.1126222095427099E-6"/>
    <s v="1.6"/>
    <n v="1.0894363468987311E-3"/>
    <x v="12"/>
    <s v="TRI"/>
  </r>
  <r>
    <s v="110000539757"/>
    <s v="ConocoPhillips Co - Lake Charles Refinery"/>
    <s v="Mercury, total (as Hg)"/>
    <s v="7439976"/>
    <n v="0"/>
    <x v="2"/>
    <n v="4.1126222095427099E-6"/>
    <s v=""/>
    <n v="0"/>
    <x v="64"/>
    <s v="DMR"/>
  </r>
  <r>
    <s v="110000539757"/>
    <s v="ConocoPhillips Co - Lake Charles Refinery"/>
    <s v="MOLYBDENUM TRIOXIDE"/>
    <s v="1313275"/>
    <m/>
    <x v="2"/>
    <n v="4.1126222095427099E-6"/>
    <s v="40"/>
    <n v="2.7235908672468275E-2"/>
    <x v="44"/>
    <s v="TRI"/>
  </r>
  <r>
    <s v="110000539757"/>
    <s v="ConocoPhillips Co - Lake Charles Refinery"/>
    <s v="NAPHTHALENE"/>
    <s v="91203"/>
    <m/>
    <x v="2"/>
    <n v="4.1126222095427099E-6"/>
    <s v="81"/>
    <n v="5.5152715061748257E-2"/>
    <x v="13"/>
    <s v="TRI"/>
  </r>
  <r>
    <s v="110000539757"/>
    <s v="ConocoPhillips Co - Lake Charles Refinery"/>
    <s v="NICKEL AND NICKEL COMPOUNDS"/>
    <s v="N495"/>
    <m/>
    <x v="2"/>
    <n v="4.1126222095427099E-6"/>
    <s v="323"/>
    <n v="0.21992996253018132"/>
    <x v="45"/>
    <s v="TRI"/>
  </r>
  <r>
    <s v="110000539757"/>
    <s v="ConocoPhillips Co - Lake Charles Refinery"/>
    <s v="Nickel, total (as Ni)"/>
    <s v="7440020"/>
    <n v="38.934240362799997"/>
    <x v="2"/>
    <n v="4.1126222095427099E-6"/>
    <s v=""/>
    <n v="4.3868992226774108E-7"/>
    <x v="71"/>
    <s v="DMR"/>
  </r>
  <r>
    <s v="110000539757"/>
    <s v="ConocoPhillips Co - Lake Charles Refinery"/>
    <s v="NITRATE COMPOUNDS"/>
    <s v="14797558"/>
    <m/>
    <x v="2"/>
    <n v="4.1126222095427099E-6"/>
    <s v="822272"/>
    <n v="559.88312739819582"/>
    <x v="15"/>
    <s v="TRI"/>
  </r>
  <r>
    <s v="110000539757"/>
    <s v="ConocoPhillips Co - Lake Charles Refinery"/>
    <s v="Nitrogen, total (as N)"/>
    <s v="7727379"/>
    <n v="26949.581936359002"/>
    <x v="2"/>
    <n v="4.1126222095427099E-6"/>
    <s v=""/>
    <n v="3.0365328550509881E-4"/>
    <x v="79"/>
    <s v="DMR"/>
  </r>
  <r>
    <s v="110000539757"/>
    <s v="ConocoPhillips Co - Lake Charles Refinery"/>
    <s v="Oil and grease"/>
    <s v=""/>
    <n v="13671.840134999999"/>
    <x v="2"/>
    <n v="4.1126222095427099E-6"/>
    <s v=""/>
    <n v="1.5404688598498191E-4"/>
    <x v="17"/>
    <s v="DMR"/>
  </r>
  <r>
    <s v="110000539757"/>
    <s v="ConocoPhillips Co - Lake Charles Refinery"/>
    <s v="Phenanthrene"/>
    <s v="85018"/>
    <n v="5.5026455026500001"/>
    <x v="2"/>
    <n v="4.1126222095427099E-6"/>
    <s v=""/>
    <n v="6.2000827686133422E-8"/>
    <x v="46"/>
    <s v="DMR"/>
  </r>
  <r>
    <s v="110000539757"/>
    <s v="ConocoPhillips Co - Lake Charles Refinery"/>
    <s v="Phenol"/>
    <s v="108952"/>
    <n v="2.7815570672700001"/>
    <x v="2"/>
    <n v="4.1126222095427099E-6"/>
    <s v=""/>
    <n v="3.13410777314112E-8"/>
    <x v="19"/>
    <s v="DMR"/>
  </r>
  <r>
    <s v="110000539757"/>
    <s v="ConocoPhillips Co - Lake Charles Refinery"/>
    <s v="POLYCYCLIC AROMATIC COMPOUNDS"/>
    <s v="N590"/>
    <m/>
    <x v="2"/>
    <n v="4.1126222095427099E-6"/>
    <s v="4.5"/>
    <n v="3.0640397256526805E-3"/>
    <x v="21"/>
    <s v="TRI"/>
  </r>
  <r>
    <s v="110000539757"/>
    <s v="ConocoPhillips Co - Lake Charles Refinery"/>
    <s v="Pyrene"/>
    <s v="129000"/>
    <n v="5.5026455026500001"/>
    <x v="2"/>
    <n v="4.1126222095427099E-6"/>
    <s v=""/>
    <n v="6.2000827686133422E-8"/>
    <x v="109"/>
    <s v="DMR"/>
  </r>
  <r>
    <s v="110000539757"/>
    <s v="ConocoPhillips Co - Lake Charles Refinery"/>
    <s v="STYRENE"/>
    <s v="100425"/>
    <m/>
    <x v="2"/>
    <n v="4.1126222095427099E-6"/>
    <s v="40"/>
    <n v="2.7235908672468275E-2"/>
    <x v="48"/>
    <s v="TRI"/>
  </r>
  <r>
    <s v="110000539757"/>
    <s v="ConocoPhillips Co - Lake Charles Refinery"/>
    <s v="TETRACHLOROETHYLENE"/>
    <s v="127184"/>
    <m/>
    <x v="2"/>
    <n v="4.1126222095427099E-6"/>
    <s v="81"/>
    <n v="5.5152715061748257E-2"/>
    <x v="50"/>
    <s v="TRI"/>
  </r>
  <r>
    <s v="110000539757"/>
    <s v="ConocoPhillips Co - Lake Charles Refinery"/>
    <s v="TOLUENE"/>
    <s v="108883"/>
    <m/>
    <x v="2"/>
    <n v="4.1126222095427099E-6"/>
    <s v="85"/>
    <n v="5.7876305928995085E-2"/>
    <x v="24"/>
    <s v="TRI"/>
  </r>
  <r>
    <s v="110000539757"/>
    <s v="ConocoPhillips Co - Lake Charles Refinery"/>
    <s v="VANADIUM AND VANADIUM COMPOUNDS"/>
    <s v="7440622"/>
    <m/>
    <x v="2"/>
    <n v="4.1126222095427099E-6"/>
    <s v="161"/>
    <n v="0.10962453240668481"/>
    <x v="78"/>
    <s v="TRI"/>
  </r>
  <r>
    <s v="110000539757"/>
    <s v="ConocoPhillips Co - Lake Charles Refinery"/>
    <s v="XYLENE (MIXED ISOMERS)"/>
    <s v="1330207"/>
    <m/>
    <x v="2"/>
    <n v="4.1126222095427099E-6"/>
    <s v="87"/>
    <n v="5.9238101362618506E-2"/>
    <x v="25"/>
    <s v="TRI"/>
  </r>
  <r>
    <s v="110000539757"/>
    <s v="ConocoPhillips Co - Lake Charles Refinery"/>
    <s v="Zinc, total (as Zn)"/>
    <s v="7440666"/>
    <n v="8697.0113378700007"/>
    <x v="2"/>
    <n v="4.1126222095427099E-6"/>
    <s v=""/>
    <n v="9.7993210917175132E-5"/>
    <x v="98"/>
    <s v="DMR"/>
  </r>
  <r>
    <s v="110000381113"/>
    <s v="Continental Refining Company LLC"/>
    <s v="BOD, 5-day, 20 deg. C"/>
    <s v=""/>
    <n v="3.7959183673500001"/>
    <x v="1"/>
    <n v="1.7722048066875652E-4"/>
    <s v=""/>
    <n v="1.8430533634003519E-6"/>
    <x v="2"/>
    <s v="DMR"/>
  </r>
  <r>
    <s v="110000381113"/>
    <s v="Continental Refining Company LLC"/>
    <s v="Chemical Oxygen Demand (COD)"/>
    <s v=""/>
    <n v="119.124716553"/>
    <x v="1"/>
    <n v="1.7722048066875652E-4"/>
    <s v=""/>
    <n v="5.7839286375485025E-5"/>
    <x v="18"/>
    <s v="DMR"/>
  </r>
  <r>
    <s v="110000381113"/>
    <s v="Continental Refining Company LLC"/>
    <s v="Chloride (as Cl)"/>
    <s v="16887006"/>
    <n v="2380.1170080000002"/>
    <x v="1"/>
    <n v="1.7722048066875652E-4"/>
    <s v=""/>
    <n v="1.1556314526181988E-3"/>
    <x v="69"/>
    <s v="DMR"/>
  </r>
  <r>
    <s v="110000381113"/>
    <s v="Continental Refining Company LLC"/>
    <s v="Iron, total (as Fe)"/>
    <s v="7439896"/>
    <n v="57.326243615000003"/>
    <x v="1"/>
    <n v="1.7722048066875652E-4"/>
    <s v=""/>
    <n v="2.7833929995574067E-5"/>
    <x v="110"/>
    <s v="DMR"/>
  </r>
  <r>
    <s v="110000381113"/>
    <s v="Continental Refining Company LLC"/>
    <s v="Nitrogen, ammonia total (as N)"/>
    <s v="7664417"/>
    <n v="0.69138321995499996"/>
    <x v="1"/>
    <n v="1.7722048066875652E-4"/>
    <s v=""/>
    <n v="3.3569114127873342E-7"/>
    <x v="16"/>
    <s v="DMR"/>
  </r>
  <r>
    <s v="110000381113"/>
    <s v="Continental Refining Company LLC"/>
    <s v="Oil and grease"/>
    <s v=""/>
    <n v="31.041322879630002"/>
    <x v="1"/>
    <n v="1.7722048066875652E-4"/>
    <s v=""/>
    <n v="1.5071666195403007E-5"/>
    <x v="17"/>
    <s v="DMR"/>
  </r>
  <r>
    <s v="110000381113"/>
    <s v="Continental Refining Company LLC"/>
    <s v="Phenol"/>
    <s v="108952"/>
    <n v="8.0136054421799996E-2"/>
    <x v="1"/>
    <n v="1.7722048066875652E-4"/>
    <s v=""/>
    <n v="3.8908904338435684E-8"/>
    <x v="19"/>
    <s v="DMR"/>
  </r>
  <r>
    <s v="110000381113"/>
    <s v="Continental Refining Company LLC"/>
    <s v="Solids, total suspended"/>
    <s v=""/>
    <n v="117.33583662480001"/>
    <x v="1"/>
    <n v="1.7722048066875652E-4"/>
    <s v=""/>
    <n v="5.6970721551555455E-5"/>
    <x v="22"/>
    <s v="DMR"/>
  </r>
  <r>
    <s v="110017438334"/>
    <s v="CORPUS CHRISTI EAST PLANT"/>
    <s v="BENZENE"/>
    <s v="71432"/>
    <m/>
    <x v="2"/>
    <n v="3.5359777042503386E-6"/>
    <s v="16"/>
    <n v="9.3668283556300365E-3"/>
    <x v="1"/>
    <s v="TRI"/>
  </r>
  <r>
    <s v="110017438334"/>
    <s v="CORPUS CHRISTI EAST PLANT"/>
    <s v="BENZO(G,H,I)PERYLENE"/>
    <s v="191242"/>
    <m/>
    <x v="2"/>
    <n v="3.5359777042503386E-6"/>
    <s v="0.1"/>
    <n v="5.8542677222687728E-5"/>
    <x v="32"/>
    <s v="TRI"/>
  </r>
  <r>
    <s v="110017438334"/>
    <s v="CORPUS CHRISTI EAST PLANT"/>
    <s v="BOD, 5-day, 20 deg. C"/>
    <s v=""/>
    <n v="295.23809523800003"/>
    <x v="2"/>
    <n v="3.5359777042503386E-6"/>
    <s v=""/>
    <n v="2.8601515676901539E-6"/>
    <x v="2"/>
    <s v="DMR"/>
  </r>
  <r>
    <s v="110017438334"/>
    <s v="CORPUS CHRISTI EAST PLANT"/>
    <s v="COBALT AND COBALT COMPOUNDS"/>
    <s v="7440484"/>
    <m/>
    <x v="2"/>
    <n v="3.5359777042503386E-6"/>
    <s v="8"/>
    <n v="4.6834141778150182E-3"/>
    <x v="76"/>
    <s v="TRI"/>
  </r>
  <r>
    <s v="110017438334"/>
    <s v="CORPUS CHRISTI EAST PLANT"/>
    <s v="Copper, total (as Cu)"/>
    <s v="7440508"/>
    <n v="1.2166720285700001E-2"/>
    <x v="2"/>
    <n v="3.5359777042503386E-6"/>
    <s v=""/>
    <n v="1.1786644291530278E-10"/>
    <x v="68"/>
    <s v="DMR"/>
  </r>
  <r>
    <s v="110017438334"/>
    <s v="CORPUS CHRISTI EAST PLANT"/>
    <s v="Cyanide, free (amen. to chlorination)"/>
    <s v="57125"/>
    <n v="1.2269888571400001E-3"/>
    <x v="2"/>
    <n v="3.5359777042503386E-6"/>
    <s v=""/>
    <n v="1.1886589704686697E-11"/>
    <x v="93"/>
    <s v="DMR"/>
  </r>
  <r>
    <s v="110017438334"/>
    <s v="CORPUS CHRISTI EAST PLANT"/>
    <s v="CYCLOHEXANE"/>
    <s v="110827"/>
    <m/>
    <x v="2"/>
    <n v="3.5359777042503386E-6"/>
    <s v="3"/>
    <n v="1.7562803166806318E-3"/>
    <x v="8"/>
    <s v="TRI"/>
  </r>
  <r>
    <s v="110017438334"/>
    <s v="CORPUS CHRISTI EAST PLANT"/>
    <s v="DIETHANOLAMINE"/>
    <s v="111422"/>
    <m/>
    <x v="2"/>
    <n v="3.5359777042503386E-6"/>
    <s v="3078"/>
    <n v="1.801943604914328"/>
    <x v="9"/>
    <s v="TRI"/>
  </r>
  <r>
    <s v="110017438334"/>
    <s v="CORPUS CHRISTI EAST PLANT"/>
    <s v="ETHYLBENZENE"/>
    <s v="100414"/>
    <m/>
    <x v="2"/>
    <n v="3.5359777042503386E-6"/>
    <s v="16"/>
    <n v="9.3668283556300365E-3"/>
    <x v="10"/>
    <s v="TRI"/>
  </r>
  <r>
    <s v="110017438334"/>
    <s v="CORPUS CHRISTI EAST PLANT"/>
    <s v="LEAD AND LEAD COMPOUNDS"/>
    <s v="7439921"/>
    <m/>
    <x v="2"/>
    <n v="3.5359777042503386E-6"/>
    <s v="8"/>
    <n v="4.6834141778150182E-3"/>
    <x v="11"/>
    <s v="TRI"/>
  </r>
  <r>
    <s v="110017438334"/>
    <s v="CORPUS CHRISTI EAST PLANT"/>
    <s v="MERCURY AND MERCURY COMPOUNDS"/>
    <s v="N458"/>
    <m/>
    <x v="2"/>
    <n v="3.5359777042503386E-6"/>
    <s v="0.5"/>
    <n v="2.9271338611343864E-4"/>
    <x v="12"/>
    <s v="TRI"/>
  </r>
  <r>
    <s v="110017438334"/>
    <s v="CORPUS CHRISTI EAST PLANT"/>
    <s v="NAPHTHALENE"/>
    <s v="91203"/>
    <m/>
    <x v="2"/>
    <n v="3.5359777042503386E-6"/>
    <s v="0"/>
    <n v="0"/>
    <x v="13"/>
    <s v="TRI"/>
  </r>
  <r>
    <s v="110017438334"/>
    <s v="CORPUS CHRISTI EAST PLANT"/>
    <s v="NICKEL AND NICKEL COMPOUNDS"/>
    <s v="N495"/>
    <m/>
    <x v="2"/>
    <n v="3.5359777042503386E-6"/>
    <s v="51"/>
    <n v="2.9856765383570742E-2"/>
    <x v="45"/>
    <s v="TRI"/>
  </r>
  <r>
    <s v="110017438334"/>
    <s v="CORPUS CHRISTI EAST PLANT"/>
    <s v="NITRATE COMPOUNDS"/>
    <s v="14797558"/>
    <m/>
    <x v="2"/>
    <n v="3.5359777042503386E-6"/>
    <s v="110200"/>
    <n v="64.514030299401881"/>
    <x v="15"/>
    <s v="TRI"/>
  </r>
  <r>
    <s v="110017438334"/>
    <s v="CORPUS CHRISTI EAST PLANT"/>
    <s v="Nitrogen, ammonia total (as N)"/>
    <s v="7664417"/>
    <n v="243.89569161"/>
    <x v="2"/>
    <n v="3.5359777042503386E-6"/>
    <s v=""/>
    <n v="2.3627663772484284E-6"/>
    <x v="16"/>
    <s v="DMR"/>
  </r>
  <r>
    <s v="110017438334"/>
    <s v="CORPUS CHRISTI EAST PLANT"/>
    <s v="Oil &amp; grease"/>
    <s v=""/>
    <n v="694.18442835600013"/>
    <x v="2"/>
    <n v="3.5359777042503386E-6"/>
    <s v=""/>
    <n v="6.7249881131632414E-6"/>
    <x v="28"/>
    <s v="DMR"/>
  </r>
  <r>
    <s v="110017438334"/>
    <s v="CORPUS CHRISTI EAST PLANT"/>
    <s v="Chemical Oxygen Demand (COD)"/>
    <s v=""/>
    <n v="95448.181792800009"/>
    <x v="2"/>
    <n v="3.5359777042503386E-6"/>
    <s v=""/>
    <n v="9.2466477460431218E-4"/>
    <x v="18"/>
    <s v="DMR"/>
  </r>
  <r>
    <s v="110017438334"/>
    <s v="CORPUS CHRISTI EAST PLANT"/>
    <s v="PHENOL"/>
    <s v="108952"/>
    <m/>
    <x v="2"/>
    <n v="3.5359777042503386E-6"/>
    <s v="20"/>
    <n v="1.1708535444537545E-2"/>
    <x v="19"/>
    <s v="TRI"/>
  </r>
  <r>
    <s v="110017438334"/>
    <s v="CORPUS CHRISTI EAST PLANT"/>
    <s v="Phenols"/>
    <s v=""/>
    <n v="1.96825396825"/>
    <x v="2"/>
    <n v="3.5359777042503386E-6"/>
    <s v=""/>
    <n v="1.9067677117902065E-8"/>
    <x v="73"/>
    <s v="DMR"/>
  </r>
  <r>
    <s v="110017438334"/>
    <s v="CORPUS CHRISTI EAST PLANT"/>
    <s v="POLYCYCLIC AROMATIC COMPOUNDS"/>
    <s v="N590"/>
    <m/>
    <x v="2"/>
    <n v="3.5359777042503386E-6"/>
    <s v="31"/>
    <n v="1.8148229939033197E-2"/>
    <x v="21"/>
    <s v="TRI"/>
  </r>
  <r>
    <s v="110017438334"/>
    <s v="CORPUS CHRISTI EAST PLANT"/>
    <s v="Solids, total suspended"/>
    <s v=""/>
    <n v="847.39229024899998"/>
    <x v="2"/>
    <n v="3.5359777042503386E-6"/>
    <s v=""/>
    <n v="8.2092061508879342E-6"/>
    <x v="22"/>
    <s v="DMR"/>
  </r>
  <r>
    <s v="110017438334"/>
    <s v="CORPUS CHRISTI EAST PLANT"/>
    <s v="Sulfide, total (as S)"/>
    <s v="18496258"/>
    <n v="26.1678004535"/>
    <x v="2"/>
    <n v="3.5359777042503386E-6"/>
    <s v=""/>
    <n v="2.5350344924067918E-7"/>
    <x v="23"/>
    <s v="DMR"/>
  </r>
  <r>
    <s v="110017438334"/>
    <s v="CORPUS CHRISTI EAST PLANT"/>
    <s v="TOLUENE"/>
    <s v="108883"/>
    <m/>
    <x v="2"/>
    <n v="3.5359777042503386E-6"/>
    <s v="16"/>
    <n v="9.3668283556300365E-3"/>
    <x v="24"/>
    <s v="TRI"/>
  </r>
  <r>
    <s v="110017438334"/>
    <s v="CORPUS CHRISTI EAST PLANT"/>
    <s v="XYLENE (MIXED ISOMERS)"/>
    <s v="1330207"/>
    <m/>
    <x v="2"/>
    <n v="3.5359777042503386E-6"/>
    <s v="4"/>
    <n v="2.3417070889075091E-3"/>
    <x v="25"/>
    <s v="TRI"/>
  </r>
  <r>
    <s v="110017866727"/>
    <s v="COUNTRYMARK REFINING AND LOGISTICS, LLC (REFINERY)"/>
    <s v="1,2,4-TRIMETHYLBENZENE"/>
    <s v="95636"/>
    <m/>
    <x v="0"/>
    <n v="3.7735849056603776E-5"/>
    <s v="0"/>
    <n v="0"/>
    <x v="0"/>
    <s v="TRI"/>
  </r>
  <r>
    <s v="110017866727"/>
    <s v="COUNTRYMARK REFINING AND LOGISTICS, LLC (REFINERY)"/>
    <s v="BENZENE"/>
    <s v="71432"/>
    <m/>
    <x v="0"/>
    <n v="3.7735849056603776E-5"/>
    <s v="1"/>
    <n v="6.247657128576784E-3"/>
    <x v="1"/>
    <s v="TRI"/>
  </r>
  <r>
    <s v="110017866727"/>
    <s v="COUNTRYMARK REFINING AND LOGISTICS, LLC (REFINERY)"/>
    <s v="BIPHENYL"/>
    <s v="92524"/>
    <m/>
    <x v="0"/>
    <n v="3.7735849056603776E-5"/>
    <s v="1"/>
    <n v="6.247657128576784E-3"/>
    <x v="52"/>
    <s v="TRI"/>
  </r>
  <r>
    <s v="110017866727"/>
    <s v="COUNTRYMARK REFINING AND LOGISTICS, LLC (REFINERY)"/>
    <s v="BOD, 5-day, 20 deg. C"/>
    <s v=""/>
    <n v="8350.361887233601"/>
    <x v="0"/>
    <n v="3.7735849056603776E-5"/>
    <s v=""/>
    <n v="8.6330957738264163E-4"/>
    <x v="2"/>
    <s v="DMR"/>
  </r>
  <r>
    <s v="110017866727"/>
    <s v="COUNTRYMARK REFINING AND LOGISTICS, LLC (REFINERY)"/>
    <s v="BOD, carbonaceous, 05 day, 20 C"/>
    <s v=""/>
    <n v="104.61247950000001"/>
    <x v="0"/>
    <n v="3.7735849056603776E-5"/>
    <s v=""/>
    <n v="1.0815454070819335E-5"/>
    <x v="33"/>
    <s v="DMR"/>
  </r>
  <r>
    <s v="110017866727"/>
    <s v="COUNTRYMARK REFINING AND LOGISTICS, LLC (REFINERY)"/>
    <s v="Chemical Oxygen Demand (COD)"/>
    <s v=""/>
    <n v="46143.414530802896"/>
    <x v="0"/>
    <n v="3.7735849056603776E-5"/>
    <s v=""/>
    <n v="4.7705778786045899E-3"/>
    <x v="18"/>
    <s v="DMR"/>
  </r>
  <r>
    <s v="110017866727"/>
    <s v="COUNTRYMARK REFINING AND LOGISTICS, LLC (REFINERY)"/>
    <s v="Chloride (as Cl)"/>
    <s v="16887006"/>
    <n v="196675.49308654931"/>
    <x v="0"/>
    <n v="3.7735849056603776E-5"/>
    <s v=""/>
    <n v="2.0333470466430532E-2"/>
    <x v="69"/>
    <s v="DMR"/>
  </r>
  <r>
    <s v="110017866727"/>
    <s v="COUNTRYMARK REFINING AND LOGISTICS, LLC (REFINERY)"/>
    <s v="Chromium, total (as Cr)"/>
    <s v="7440473"/>
    <n v="0.83752287080566001"/>
    <x v="0"/>
    <n v="3.7735849056603776E-5"/>
    <s v=""/>
    <n v="8.6588045573084518E-8"/>
    <x v="5"/>
    <s v="DMR"/>
  </r>
  <r>
    <s v="110017866727"/>
    <s v="COUNTRYMARK REFINING AND LOGISTICS, LLC (REFINERY)"/>
    <s v="CUMENE"/>
    <s v="98828"/>
    <m/>
    <x v="0"/>
    <n v="3.7735849056603776E-5"/>
    <s v="0"/>
    <n v="0"/>
    <x v="6"/>
    <s v="TRI"/>
  </r>
  <r>
    <s v="110017866727"/>
    <s v="COUNTRYMARK REFINING AND LOGISTICS, LLC (REFINERY)"/>
    <s v="CYCLOHEXANE"/>
    <s v="110827"/>
    <m/>
    <x v="0"/>
    <n v="3.7735849056603776E-5"/>
    <s v="2"/>
    <n v="1.2495314257153568E-2"/>
    <x v="8"/>
    <s v="TRI"/>
  </r>
  <r>
    <s v="110017866727"/>
    <s v="COUNTRYMARK REFINING AND LOGISTICS, LLC (REFINERY)"/>
    <s v="ETHYLBENZENE"/>
    <s v="100414"/>
    <m/>
    <x v="0"/>
    <n v="3.7735849056603776E-5"/>
    <s v="2"/>
    <n v="1.2495314257153568E-2"/>
    <x v="10"/>
    <s v="TRI"/>
  </r>
  <r>
    <s v="110017866727"/>
    <s v="COUNTRYMARK REFINING AND LOGISTICS, LLC (REFINERY)"/>
    <s v="Fluoride, total (as F)"/>
    <s v="16984488"/>
    <n v="2358.7176573686297"/>
    <x v="0"/>
    <n v="3.7735849056603776E-5"/>
    <s v=""/>
    <n v="2.4385811913865389E-4"/>
    <x v="94"/>
    <s v="DMR"/>
  </r>
  <r>
    <s v="110017866727"/>
    <s v="COUNTRYMARK REFINING AND LOGISTICS, LLC (REFINERY)"/>
    <s v="HYDROGEN FLUORIDE"/>
    <s v="7664393"/>
    <m/>
    <x v="0"/>
    <n v="3.7735849056603776E-5"/>
    <s v="0"/>
    <n v="0"/>
    <x v="77"/>
    <s v="TRI"/>
  </r>
  <r>
    <s v="110017866727"/>
    <s v="COUNTRYMARK REFINING AND LOGISTICS, LLC (REFINERY)"/>
    <s v="LEAD AND LEAD COMPOUNDS"/>
    <s v="7439921"/>
    <m/>
    <x v="0"/>
    <n v="3.7735849056603776E-5"/>
    <s v="0"/>
    <n v="0"/>
    <x v="11"/>
    <s v="TRI"/>
  </r>
  <r>
    <s v="110017866727"/>
    <s v="COUNTRYMARK REFINING AND LOGISTICS, LLC (REFINERY)"/>
    <s v="Mercury, total (as Hg)"/>
    <s v="7439976"/>
    <n v="1.5974421768699999E-3"/>
    <x v="0"/>
    <n v="3.7735849056603776E-5"/>
    <s v=""/>
    <n v="1.65152977706901E-10"/>
    <x v="64"/>
    <s v="DMR"/>
  </r>
  <r>
    <s v="110017866727"/>
    <s v="COUNTRYMARK REFINING AND LOGISTICS, LLC (REFINERY)"/>
    <s v="NAPHTHALENE"/>
    <s v="91203"/>
    <m/>
    <x v="0"/>
    <n v="3.7735849056603776E-5"/>
    <s v="0"/>
    <n v="0"/>
    <x v="13"/>
    <s v="TRI"/>
  </r>
  <r>
    <s v="110017866727"/>
    <s v="COUNTRYMARK REFINING AND LOGISTICS, LLC (REFINERY)"/>
    <s v="N-HEXANE"/>
    <s v="110543"/>
    <m/>
    <x v="0"/>
    <n v="3.7735849056603776E-5"/>
    <s v="5"/>
    <n v="3.1238285642883921E-2"/>
    <x v="14"/>
    <s v="TRI"/>
  </r>
  <r>
    <s v="110017866727"/>
    <s v="COUNTRYMARK REFINING AND LOGISTICS, LLC (REFINERY)"/>
    <s v="Nitrogen, ammonia total (as N)"/>
    <s v="7664417"/>
    <n v="2947.5445423022397"/>
    <x v="0"/>
    <n v="3.7735849056603776E-5"/>
    <s v=""/>
    <n v="3.0473450941351666E-4"/>
    <x v="16"/>
    <s v="DMR"/>
  </r>
  <r>
    <s v="110017866727"/>
    <s v="COUNTRYMARK REFINING AND LOGISTICS, LLC (REFINERY)"/>
    <s v="Oil &amp; grease"/>
    <s v=""/>
    <n v="2325.9410430799999"/>
    <x v="0"/>
    <n v="3.7735849056603776E-5"/>
    <s v=""/>
    <n v="2.4046947977048332E-4"/>
    <x v="28"/>
    <s v="DMR"/>
  </r>
  <r>
    <s v="110017866727"/>
    <s v="COUNTRYMARK REFINING AND LOGISTICS, LLC (REFINERY)"/>
    <s v="Oil and grease, hexane extr method"/>
    <s v=""/>
    <n v="131.81172416999999"/>
    <x v="0"/>
    <n v="3.7735849056603776E-5"/>
    <s v=""/>
    <n v="1.362747212923236E-5"/>
    <x v="65"/>
    <s v="DMR"/>
  </r>
  <r>
    <s v="110017866727"/>
    <s v="COUNTRYMARK REFINING AND LOGISTICS, LLC (REFINERY)"/>
    <s v="Phenolics, total recoverable"/>
    <s v=""/>
    <n v="29.157909988294698"/>
    <x v="0"/>
    <n v="3.7735849056603776E-5"/>
    <s v=""/>
    <n v="3.0145164112995295E-6"/>
    <x v="20"/>
    <s v="DMR"/>
  </r>
  <r>
    <s v="110017866727"/>
    <s v="COUNTRYMARK REFINING AND LOGISTICS, LLC (REFINERY)"/>
    <s v="Solids, total suspended"/>
    <s v=""/>
    <n v="56031.94454082664"/>
    <x v="0"/>
    <n v="3.7735849056603776E-5"/>
    <s v=""/>
    <n v="5.7929123329880216E-3"/>
    <x v="22"/>
    <s v="DMR"/>
  </r>
  <r>
    <s v="110017866727"/>
    <s v="COUNTRYMARK REFINING AND LOGISTICS, LLC (REFINERY)"/>
    <s v="Sulfide, total (as S)"/>
    <s v="18496258"/>
    <n v="31.194274002274998"/>
    <x v="0"/>
    <n v="3.7735849056603776E-5"/>
    <s v=""/>
    <n v="3.2250477128224346E-6"/>
    <x v="23"/>
    <s v="DMR"/>
  </r>
  <r>
    <s v="110017866727"/>
    <s v="COUNTRYMARK REFINING AND LOGISTICS, LLC (REFINERY)"/>
    <s v="TOLUENE"/>
    <s v="108883"/>
    <m/>
    <x v="0"/>
    <n v="3.7735849056603776E-5"/>
    <s v="2"/>
    <n v="1.2495314257153568E-2"/>
    <x v="24"/>
    <s v="TRI"/>
  </r>
  <r>
    <s v="110017866727"/>
    <s v="COUNTRYMARK REFINING AND LOGISTICS, LLC (REFINERY)"/>
    <s v="XYLENE (MIXED ISOMERS)"/>
    <s v="1330207"/>
    <m/>
    <x v="0"/>
    <n v="3.7735849056603776E-5"/>
    <s v="1"/>
    <n v="6.247657128576784E-3"/>
    <x v="25"/>
    <s v="TRI"/>
  </r>
  <r>
    <s v="110017866727"/>
    <s v="COUNTRYMARK REFINING AND LOGISTICS, LLC (REFINERY)"/>
    <s v="Zinc, total (as Cr)"/>
    <s v="7440666"/>
    <n v="32.541566537891001"/>
    <x v="0"/>
    <n v="3.7735849056603776E-5"/>
    <s v=""/>
    <n v="3.364338747778858E-6"/>
    <x v="74"/>
    <s v="DMR"/>
  </r>
  <r>
    <s v="110000599424"/>
    <s v="DEER PARK PLANT"/>
    <s v="ACETONITRILE"/>
    <s v="75058"/>
    <m/>
    <x v="2"/>
    <n v="3.0201791217037297E-6"/>
    <s v="953"/>
    <n v="0.47652826208338644"/>
    <x v="111"/>
    <s v="TRI"/>
  </r>
  <r>
    <s v="110000599424"/>
    <s v="DEER PARK PLANT"/>
    <s v="BARIUM AND BARIUM COMPOUNDS"/>
    <s v="7440393"/>
    <m/>
    <x v="2"/>
    <n v="3.0201791217037297E-6"/>
    <s v="1858"/>
    <n v="0.92905510068303454"/>
    <x v="112"/>
    <s v="TRI"/>
  </r>
  <r>
    <s v="110000599424"/>
    <s v="DEER PARK PLANT"/>
    <s v="BENZENE"/>
    <s v="71432"/>
    <m/>
    <x v="2"/>
    <n v="3.0201791217037297E-6"/>
    <s v="1.1"/>
    <n v="5.5003262150233483E-4"/>
    <x v="1"/>
    <s v="TRI"/>
  </r>
  <r>
    <s v="110000599424"/>
    <s v="DEER PARK PLANT"/>
    <s v="BOD, 5-day, 20 deg. C"/>
    <s v=""/>
    <n v="22683.9002268"/>
    <x v="2"/>
    <n v="3.0201791217037297E-6"/>
    <s v=""/>
    <n v="1.8769710099669003E-4"/>
    <x v="2"/>
    <s v="DMR"/>
  </r>
  <r>
    <s v="110000599424"/>
    <s v="DEER PARK PLANT"/>
    <s v="Carbon, tot organic (TOC)"/>
    <s v="7440440"/>
    <n v="233513.30743699998"/>
    <x v="2"/>
    <n v="3.0201791217037297E-6"/>
    <s v=""/>
    <n v="1.9321973034553744E-3"/>
    <x v="3"/>
    <s v="DMR"/>
  </r>
  <r>
    <s v="110000599424"/>
    <s v="DEER PARK PLANT"/>
    <s v="CHROMIUM AND CHROMIUM COMPOUNDS"/>
    <s v="N090"/>
    <m/>
    <x v="2"/>
    <n v="3.0201791217037297E-6"/>
    <s v="247"/>
    <n v="0.12350732501006972"/>
    <x v="59"/>
    <s v="TRI"/>
  </r>
  <r>
    <s v="110000599424"/>
    <s v="DEER PARK PLANT"/>
    <s v="Chromium, hexavalent (as Cr)"/>
    <s v="18540299"/>
    <n v="0"/>
    <x v="2"/>
    <n v="3.0201791217037297E-6"/>
    <s v=""/>
    <n v="0"/>
    <x v="4"/>
    <s v="DMR"/>
  </r>
  <r>
    <s v="110000599424"/>
    <s v="DEER PARK PLANT"/>
    <s v="Chromium, total (as Cr)"/>
    <s v="7440473"/>
    <n v="11.8367346939"/>
    <x v="2"/>
    <n v="3.0201791217037297E-6"/>
    <s v=""/>
    <n v="9.7942627374419098E-8"/>
    <x v="5"/>
    <s v="DMR"/>
  </r>
  <r>
    <s v="110000599424"/>
    <s v="DEER PARK PLANT"/>
    <s v="Copper, total (as Cu)"/>
    <s v="7440508"/>
    <n v="14.554081999999999"/>
    <x v="2"/>
    <n v="3.0201791217037297E-6"/>
    <s v=""/>
    <n v="1.2042721806017552E-7"/>
    <x v="68"/>
    <s v="DMR"/>
  </r>
  <r>
    <s v="110000599424"/>
    <s v="DEER PARK PLANT"/>
    <s v="DIOXIN AND DIOXIN-LIKE COMPOUNDS"/>
    <s v="N150"/>
    <m/>
    <x v="2"/>
    <n v="3.0201791217037297E-6"/>
    <s v="0.001045432"/>
    <n v="5.2274700323857173E-7"/>
    <x v="37"/>
    <s v="TRI"/>
  </r>
  <r>
    <s v="110000599424"/>
    <s v="DEER PARK PLANT"/>
    <s v="LEAD AND LEAD COMPOUNDS"/>
    <s v="7439921"/>
    <m/>
    <x v="2"/>
    <n v="3.0201791217037297E-6"/>
    <s v="54"/>
    <n v="2.7001601419205528E-2"/>
    <x v="11"/>
    <s v="TRI"/>
  </r>
  <r>
    <s v="110000599424"/>
    <s v="DEER PARK PLANT"/>
    <s v="MERCURY AND MERCURY COMPOUNDS"/>
    <s v="N458"/>
    <m/>
    <x v="2"/>
    <n v="3.0201791217037297E-6"/>
    <s v="1"/>
    <n v="5.0002965591121351E-4"/>
    <x v="12"/>
    <s v="TRI"/>
  </r>
  <r>
    <s v="110000599424"/>
    <s v="DEER PARK PLANT"/>
    <s v="METHANOL"/>
    <s v="67561"/>
    <m/>
    <x v="2"/>
    <n v="3.0201791217037297E-6"/>
    <s v="6611"/>
    <n v="3.3056960552290322"/>
    <x v="42"/>
    <s v="TRI"/>
  </r>
  <r>
    <s v="110000599424"/>
    <s v="DEER PARK PLANT"/>
    <s v="NICKEL AND NICKEL COMPOUNDS"/>
    <s v="N495"/>
    <m/>
    <x v="2"/>
    <n v="3.0201791217037297E-6"/>
    <s v="118"/>
    <n v="5.9003499397523189E-2"/>
    <x v="45"/>
    <s v="TRI"/>
  </r>
  <r>
    <s v="110000599424"/>
    <s v="DEER PARK PLANT"/>
    <s v="NITRATE COMPOUNDS"/>
    <s v="14797558"/>
    <m/>
    <x v="2"/>
    <n v="3.0201791217037297E-6"/>
    <s v="1112117"/>
    <n v="556.09148084301103"/>
    <x v="15"/>
    <s v="TRI"/>
  </r>
  <r>
    <s v="110000599424"/>
    <s v="DEER PARK PLANT"/>
    <s v="Nitrogen, ammonia total (as N)"/>
    <s v="7664417"/>
    <n v="2299.2244897999999"/>
    <x v="2"/>
    <n v="3.0201791217037297E-6"/>
    <s v=""/>
    <n v="1.9024848767681836E-5"/>
    <x v="16"/>
    <s v="DMR"/>
  </r>
  <r>
    <s v="110000599424"/>
    <s v="DEER PARK PLANT"/>
    <s v="Oil &amp; grease"/>
    <s v=""/>
    <n v="13985.918367300001"/>
    <x v="2"/>
    <n v="3.0201791217037297E-6"/>
    <s v=""/>
    <n v="1.1572596890622514E-4"/>
    <x v="28"/>
    <s v="DMR"/>
  </r>
  <r>
    <s v="110000599424"/>
    <s v="DEER PARK PLANT"/>
    <s v="PHENOL"/>
    <s v="108952"/>
    <m/>
    <x v="2"/>
    <n v="3.0201791217037297E-6"/>
    <s v="46.5"/>
    <n v="2.3251378999871425E-2"/>
    <x v="19"/>
    <s v="TRI"/>
  </r>
  <r>
    <s v="110000599424"/>
    <s v="DEER PARK PLANT"/>
    <s v="Phenolics, total recoverable"/>
    <s v=""/>
    <n v="158.594104308"/>
    <x v="2"/>
    <n v="3.0201791217037297E-6"/>
    <s v=""/>
    <n v="1.3122811031680141E-6"/>
    <x v="20"/>
    <s v="DMR"/>
  </r>
  <r>
    <s v="110000599424"/>
    <s v="DEER PARK PLANT"/>
    <s v="Solids, total suspended"/>
    <s v=""/>
    <n v="99521.147392300001"/>
    <x v="2"/>
    <n v="3.0201791217037297E-6"/>
    <s v=""/>
    <n v="8.2348408636225771E-4"/>
    <x v="22"/>
    <s v="DMR"/>
  </r>
  <r>
    <s v="110000599424"/>
    <s v="DEER PARK PLANT"/>
    <s v="Sulfide, total (as S)"/>
    <s v="18496258"/>
    <n v="606.09977324299996"/>
    <x v="2"/>
    <n v="3.0201791217037297E-6"/>
    <s v=""/>
    <n v="5.0151503584051329E-6"/>
    <x v="23"/>
    <s v="DMR"/>
  </r>
  <r>
    <s v="110000599424"/>
    <s v="DEER PARK PLANT"/>
    <s v="TOLUENE"/>
    <s v="108883"/>
    <m/>
    <x v="2"/>
    <n v="3.0201791217037297E-6"/>
    <s v="0.52"/>
    <n v="2.6001542107383102E-4"/>
    <x v="24"/>
    <s v="TRI"/>
  </r>
  <r>
    <s v="110000599424"/>
    <s v="DEER PARK PLANT"/>
    <s v="ZINC AND ZINC COMPOUNDS"/>
    <s v="7440666"/>
    <m/>
    <x v="2"/>
    <n v="3.0201791217037297E-6"/>
    <s v="1190"/>
    <n v="0.59503529053434401"/>
    <x v="29"/>
    <s v="TRI"/>
  </r>
  <r>
    <s v="110000458488"/>
    <s v="DELEK TYLER REFINERY"/>
    <s v="Aluminum, total (as Al)"/>
    <s v="7429905"/>
    <n v="13144.203300000001"/>
    <x v="3"/>
    <n v="1.6459976213285328E-5"/>
    <s v=""/>
    <n v="5.9274869496051105E-4"/>
    <x v="91"/>
    <s v="DMR"/>
  </r>
  <r>
    <s v="110000458488"/>
    <s v="DELEK TYLER REFINERY"/>
    <s v="BENZENE"/>
    <s v="71432"/>
    <m/>
    <x v="3"/>
    <n v="1.6459976213285328E-5"/>
    <s v="1.29"/>
    <n v="3.5154584958837871E-3"/>
    <x v="1"/>
    <s v="TRI"/>
  </r>
  <r>
    <s v="110000458488"/>
    <s v="DELEK TYLER REFINERY"/>
    <s v="Bromide (as Br)"/>
    <s v="24959679"/>
    <n v="2523.3253974499999"/>
    <x v="3"/>
    <n v="1.6459976213285328E-5"/>
    <s v=""/>
    <n v="1.1379144115179657E-4"/>
    <x v="113"/>
    <s v="DMR"/>
  </r>
  <r>
    <s v="110000458488"/>
    <s v="DELEK TYLER REFINERY"/>
    <s v="Carbon, tot organic (TOC)"/>
    <s v="7440440"/>
    <n v="25635.823925000001"/>
    <x v="3"/>
    <n v="1.6459976213285328E-5"/>
    <s v=""/>
    <n v="1.156068635653345E-3"/>
    <x v="3"/>
    <s v="DMR"/>
  </r>
  <r>
    <s v="110000458488"/>
    <s v="DELEK TYLER REFINERY"/>
    <s v="CYCLOHEXANE"/>
    <s v="110827"/>
    <m/>
    <x v="3"/>
    <n v="1.6459976213285328E-5"/>
    <s v="1.18"/>
    <n v="3.2156907171650147E-3"/>
    <x v="8"/>
    <s v="TRI"/>
  </r>
  <r>
    <s v="110000458488"/>
    <s v="DELEK TYLER REFINERY"/>
    <s v="ETHYLBENZENE"/>
    <s v="100414"/>
    <m/>
    <x v="3"/>
    <n v="1.6459976213285328E-5"/>
    <s v="1.4"/>
    <n v="3.8152262746025591E-3"/>
    <x v="10"/>
    <s v="TRI"/>
  </r>
  <r>
    <s v="110000458488"/>
    <s v="DELEK TYLER REFINERY"/>
    <s v="N-HEXANE"/>
    <s v="110543"/>
    <m/>
    <x v="3"/>
    <n v="1.6459976213285328E-5"/>
    <s v="1.16"/>
    <n v="3.1611874846706918E-3"/>
    <x v="14"/>
    <s v="TRI"/>
  </r>
  <r>
    <s v="110000458488"/>
    <s v="DELEK TYLER REFINERY"/>
    <s v="Nitrogen, total (as N)"/>
    <s v="7727379"/>
    <n v="6314.6177890100007"/>
    <x v="3"/>
    <n v="1.6459976213285328E-5"/>
    <s v=""/>
    <n v="2.8476290028244661E-4"/>
    <x v="79"/>
    <s v="DMR"/>
  </r>
  <r>
    <s v="110000458488"/>
    <s v="DELEK TYLER REFINERY"/>
    <s v="Oil &amp; grease"/>
    <s v=""/>
    <n v="0"/>
    <x v="3"/>
    <n v="1.6459976213285328E-5"/>
    <s v=""/>
    <n v="0"/>
    <x v="28"/>
    <s v="DMR"/>
  </r>
  <r>
    <s v="110000458488"/>
    <s v="DELEK TYLER REFINERY"/>
    <s v="Organics, total toxic (TTO)"/>
    <s v=""/>
    <n v="3.3398461500000001"/>
    <x v="3"/>
    <n v="1.6459976213285328E-5"/>
    <s v=""/>
    <n v="1.5061311831515778E-7"/>
    <x v="114"/>
    <s v="DMR"/>
  </r>
  <r>
    <s v="110000458488"/>
    <s v="DELEK TYLER REFINERY"/>
    <s v="Chemical Oxygen Demand (COD)"/>
    <s v=""/>
    <n v="419343.4094154"/>
    <x v="3"/>
    <n v="1.6459976213285328E-5"/>
    <s v=""/>
    <n v="1.8910637107330014E-2"/>
    <x v="18"/>
    <s v="DMR"/>
  </r>
  <r>
    <s v="110000458488"/>
    <s v="DELEK TYLER REFINERY"/>
    <s v="Phenols"/>
    <s v=""/>
    <n v="0"/>
    <x v="3"/>
    <n v="1.6459976213285328E-5"/>
    <s v=""/>
    <n v="0"/>
    <x v="73"/>
    <s v="DMR"/>
  </r>
  <r>
    <s v="110000458488"/>
    <s v="DELEK TYLER REFINERY"/>
    <s v="TOLUENE"/>
    <s v="108883"/>
    <m/>
    <x v="3"/>
    <n v="1.6459976213285328E-5"/>
    <s v="2"/>
    <n v="5.4503232494322283E-3"/>
    <x v="24"/>
    <s v="TRI"/>
  </r>
  <r>
    <s v="110000458488"/>
    <s v="DELEK TYLER REFINERY"/>
    <s v="XYLENE (MIXED ISOMERS)"/>
    <s v="1330207"/>
    <m/>
    <x v="3"/>
    <n v="1.6459976213285328E-5"/>
    <s v="3.05"/>
    <n v="8.3117429553841472E-3"/>
    <x v="25"/>
    <s v="TRI"/>
  </r>
  <r>
    <s v="110000458488"/>
    <s v="DELEK TYLER REFINERY"/>
    <s v="Zinc, total (as Zn)"/>
    <s v="7440666"/>
    <n v="454.32139252000002"/>
    <x v="3"/>
    <n v="1.6459976213285328E-5"/>
    <s v=""/>
    <n v="2.0487998120728404E-5"/>
    <x v="98"/>
    <s v="DMR"/>
  </r>
  <r>
    <s v="110000448944"/>
    <s v="Equilon Enterprises LLC dba Shell Oil Products US - St Rose Refinery"/>
    <s v="BOD, 5-day, 20 deg. C"/>
    <s v=""/>
    <n v="0"/>
    <x v="0"/>
    <n v="1.7871212874194684E-5"/>
    <s v=""/>
    <n v="0"/>
    <x v="2"/>
    <s v="DMR"/>
  </r>
  <r>
    <s v="110000448944"/>
    <s v="Equilon Enterprises LLC dba Shell Oil Products US - St Rose Refinery"/>
    <s v="Carbon, tot organic (TOC)"/>
    <s v="7440440"/>
    <n v="219.04001454499999"/>
    <x v="0"/>
    <n v="1.7871212874194684E-5"/>
    <s v=""/>
    <n v="1.0724686925754506E-5"/>
    <x v="3"/>
    <s v="DMR"/>
  </r>
  <r>
    <s v="110000448944"/>
    <s v="Equilon Enterprises LLC dba Shell Oil Products US - St Rose Refinery"/>
    <s v="Nitrogen, ammonia total (as N)"/>
    <s v="7664417"/>
    <n v="5.6235827664400002"/>
    <x v="0"/>
    <n v="1.7871212874194684E-5"/>
    <s v=""/>
    <n v="2.7534313625945723E-7"/>
    <x v="16"/>
    <s v="DMR"/>
  </r>
  <r>
    <s v="110000448944"/>
    <s v="Equilon Enterprises LLC dba Shell Oil Products US - St Rose Refinery"/>
    <s v="Oil and grease"/>
    <s v=""/>
    <n v="0"/>
    <x v="0"/>
    <n v="1.7871212874194684E-5"/>
    <s v=""/>
    <n v="0"/>
    <x v="17"/>
    <s v="DMR"/>
  </r>
  <r>
    <s v="110000448944"/>
    <s v="Equilon Enterprises LLC dba Shell Oil Products US - St Rose Refinery"/>
    <s v="Chemical Oxygen Demand (COD)"/>
    <s v=""/>
    <n v="833.56009070300001"/>
    <x v="0"/>
    <n v="1.7871212874194684E-5"/>
    <s v=""/>
    <n v="4.0812958422976279E-5"/>
    <x v="18"/>
    <s v="DMR"/>
  </r>
  <r>
    <s v="110000448944"/>
    <s v="Equilon Enterprises LLC dba Shell Oil Products US - St Rose Refinery"/>
    <s v="Phenolics, total recoverable"/>
    <s v=""/>
    <n v="0"/>
    <x v="0"/>
    <n v="1.7871212874194684E-5"/>
    <s v=""/>
    <n v="0"/>
    <x v="20"/>
    <s v="DMR"/>
  </r>
  <r>
    <s v="110000448944"/>
    <s v="Equilon Enterprises LLC dba Shell Oil Products US - St Rose Refinery"/>
    <s v="Solids, total suspended"/>
    <s v=""/>
    <n v="1825.8503401400001"/>
    <x v="0"/>
    <n v="1.7871212874194684E-5"/>
    <s v=""/>
    <n v="8.9397698917980035E-5"/>
    <x v="22"/>
    <s v="DMR"/>
  </r>
  <r>
    <s v="110000448944"/>
    <s v="Equilon Enterprises LLC dba Shell Oil Products US - St Rose Refinery"/>
    <s v="Sulfide, total (as S)"/>
    <s v="18496258"/>
    <n v="0.14058956916099999"/>
    <x v="0"/>
    <n v="1.7871212874194684E-5"/>
    <s v=""/>
    <n v="6.8835784064864297E-9"/>
    <x v="23"/>
    <s v="DMR"/>
  </r>
  <r>
    <s v="110027982565"/>
    <s v="ERGON - WEST VIRGINIA, INC."/>
    <s v="BENZENE"/>
    <s v="71432"/>
    <m/>
    <x v="0"/>
    <n v="5.1546391752577322E-5"/>
    <s v="0"/>
    <n v="0"/>
    <x v="1"/>
    <s v="TRI"/>
  </r>
  <r>
    <s v="110000376575"/>
    <s v="Ergon Refining Inc"/>
    <s v="AMMONIA"/>
    <s v="7664417"/>
    <m/>
    <x v="5"/>
    <n v="4.347826086956522E-5"/>
    <s v="26632"/>
    <n v="191.70745752951336"/>
    <x v="16"/>
    <s v="TRI"/>
  </r>
  <r>
    <s v="110000376575"/>
    <s v="Ergon Refining Inc"/>
    <s v="BENZO(G,H,I)PERYLENE"/>
    <s v="191242"/>
    <m/>
    <x v="5"/>
    <n v="4.347826086956522E-5"/>
    <s v="0"/>
    <n v="0"/>
    <x v="32"/>
    <s v="TRI"/>
  </r>
  <r>
    <s v="110000376575"/>
    <s v="Ergon Refining Inc"/>
    <s v="LEAD AND LEAD COMPOUNDS"/>
    <s v="7439921"/>
    <m/>
    <x v="5"/>
    <n v="4.347826086956522E-5"/>
    <s v="0"/>
    <n v="0"/>
    <x v="11"/>
    <s v="TRI"/>
  </r>
  <r>
    <s v="110000376575"/>
    <s v="Ergon Refining Inc"/>
    <s v="MERCURY AND MERCURY COMPOUNDS"/>
    <s v="N458"/>
    <m/>
    <x v="5"/>
    <n v="4.347826086956522E-5"/>
    <s v="0"/>
    <n v="0"/>
    <x v="12"/>
    <s v="TRI"/>
  </r>
  <r>
    <s v="110000376575"/>
    <s v="Ergon Refining Inc"/>
    <s v="NAPHTHALENE"/>
    <s v="91203"/>
    <m/>
    <x v="5"/>
    <n v="4.347826086956522E-5"/>
    <s v="92"/>
    <n v="0.66225165562913912"/>
    <x v="13"/>
    <s v="TRI"/>
  </r>
  <r>
    <s v="110000376575"/>
    <s v="Ergon Refining Inc"/>
    <s v="POLYCYCLIC AROMATIC COMPOUNDS"/>
    <s v="N590"/>
    <m/>
    <x v="5"/>
    <n v="4.347826086956522E-5"/>
    <s v="1"/>
    <n v="7.1983875611862942E-3"/>
    <x v="21"/>
    <s v="TRI"/>
  </r>
  <r>
    <s v="110000595339"/>
    <s v="Exxon Mobil Oil Corp"/>
    <s v="1,2,4-TRIMETHYLBENZENE"/>
    <s v="95636"/>
    <m/>
    <x v="3"/>
    <n v="3.9600063525821178E-6"/>
    <s v="0"/>
    <n v="0"/>
    <x v="0"/>
    <s v="TRI"/>
  </r>
  <r>
    <s v="110000595339"/>
    <s v="Exxon Mobil Oil Corp"/>
    <s v="1,3-BUTADIENE"/>
    <s v="106990"/>
    <m/>
    <x v="3"/>
    <n v="3.9600063525821178E-6"/>
    <s v="0"/>
    <n v="0"/>
    <x v="30"/>
    <s v="TRI"/>
  </r>
  <r>
    <s v="110000595339"/>
    <s v="Exxon Mobil Oil Corp"/>
    <s v="BENZENE"/>
    <s v="71432"/>
    <m/>
    <x v="3"/>
    <n v="3.9600063525821178E-6"/>
    <s v="5"/>
    <n v="3.2781509541242697E-3"/>
    <x v="1"/>
    <s v="TRI"/>
  </r>
  <r>
    <s v="110000595339"/>
    <s v="Exxon Mobil Oil Corp"/>
    <s v="BENZO(G,H,I)PERYLENE"/>
    <s v="191242"/>
    <m/>
    <x v="3"/>
    <n v="3.9600063525821178E-6"/>
    <s v="0"/>
    <n v="0"/>
    <x v="32"/>
    <s v="TRI"/>
  </r>
  <r>
    <s v="110000595339"/>
    <s v="Exxon Mobil Oil Corp"/>
    <s v="BOD, 5-day, 20 deg. C"/>
    <s v=""/>
    <n v="9344.6712018100006"/>
    <x v="3"/>
    <n v="3.9600063525821178E-6"/>
    <s v=""/>
    <n v="1.0138344471769529E-4"/>
    <x v="2"/>
    <s v="DMR"/>
  </r>
  <r>
    <s v="110000595339"/>
    <s v="Exxon Mobil Oil Corp"/>
    <s v="Carbon, tot organic (TOC)"/>
    <s v="7440440"/>
    <n v="16087.597043649999"/>
    <x v="3"/>
    <n v="3.9600063525821178E-6"/>
    <s v=""/>
    <n v="1.7453968901543919E-4"/>
    <x v="3"/>
    <s v="DMR"/>
  </r>
  <r>
    <s v="110000595339"/>
    <s v="Exxon Mobil Oil Corp"/>
    <s v="CHROMIUM AND CHROMIUM COMPOUNDS"/>
    <s v="N090"/>
    <m/>
    <x v="3"/>
    <n v="3.9600063525821178E-6"/>
    <s v="96"/>
    <n v="6.2940498319185981E-2"/>
    <x v="59"/>
    <s v="TRI"/>
  </r>
  <r>
    <s v="110000595339"/>
    <s v="Exxon Mobil Oil Corp"/>
    <s v="Chromium, hexavalent (as Cr)"/>
    <s v="18540299"/>
    <n v="0"/>
    <x v="3"/>
    <n v="3.9600063525821178E-6"/>
    <s v=""/>
    <n v="0"/>
    <x v="4"/>
    <s v="DMR"/>
  </r>
  <r>
    <s v="110000595339"/>
    <s v="Exxon Mobil Oil Corp"/>
    <s v="Chromium, total (as Cr)"/>
    <s v="7440473"/>
    <n v="0"/>
    <x v="3"/>
    <n v="3.9600063525821178E-6"/>
    <s v=""/>
    <n v="0"/>
    <x v="5"/>
    <s v="DMR"/>
  </r>
  <r>
    <s v="110000595339"/>
    <s v="Exxon Mobil Oil Corp"/>
    <s v="CRESOL (MIXED ISOMERS)"/>
    <s v="1319773"/>
    <m/>
    <x v="3"/>
    <n v="3.9600063525821178E-6"/>
    <s v="205"/>
    <n v="0.13440418911909505"/>
    <x v="61"/>
    <s v="TRI"/>
  </r>
  <r>
    <s v="110000595339"/>
    <s v="Exxon Mobil Oil Corp"/>
    <s v="Cyanide, total (as CN)"/>
    <s v="57125"/>
    <n v="110.879818594"/>
    <x v="3"/>
    <n v="3.9600063525821178E-6"/>
    <s v=""/>
    <n v="1.2029720164531312E-6"/>
    <x v="85"/>
    <s v="DMR"/>
  </r>
  <r>
    <s v="110000595339"/>
    <s v="Exxon Mobil Oil Corp"/>
    <s v="CYCLOHEXANE"/>
    <s v="110827"/>
    <m/>
    <x v="3"/>
    <n v="3.9600063525821178E-6"/>
    <s v="0"/>
    <n v="0"/>
    <x v="8"/>
    <s v="TRI"/>
  </r>
  <r>
    <s v="110000595339"/>
    <s v="Exxon Mobil Oil Corp"/>
    <s v="DIETHANOLAMINE"/>
    <s v="111422"/>
    <m/>
    <x v="3"/>
    <n v="3.9600063525821178E-6"/>
    <s v="485"/>
    <n v="0.31798064255005415"/>
    <x v="9"/>
    <s v="TRI"/>
  </r>
  <r>
    <s v="110000595339"/>
    <s v="Exxon Mobil Oil Corp"/>
    <s v="ETHYLBENZENE"/>
    <s v="100414"/>
    <m/>
    <x v="3"/>
    <n v="3.9600063525821178E-6"/>
    <s v="5"/>
    <n v="3.2781509541242697E-3"/>
    <x v="10"/>
    <s v="TRI"/>
  </r>
  <r>
    <s v="110000595339"/>
    <s v="Exxon Mobil Oil Corp"/>
    <s v="Fluoride, total (as F)"/>
    <s v="16984488"/>
    <n v="11425.396825399999"/>
    <x v="3"/>
    <n v="3.9600063525821178E-6"/>
    <s v=""/>
    <n v="1.2395792879275498E-4"/>
    <x v="94"/>
    <s v="DMR"/>
  </r>
  <r>
    <s v="110000595339"/>
    <s v="Exxon Mobil Oil Corp"/>
    <s v="HEXACHLOROBENZENE"/>
    <s v="118741"/>
    <m/>
    <x v="3"/>
    <n v="3.9600063525821178E-6"/>
    <s v="12"/>
    <n v="7.8675622898982476E-3"/>
    <x v="115"/>
    <s v="TRI"/>
  </r>
  <r>
    <s v="110000595339"/>
    <s v="Exxon Mobil Oil Corp"/>
    <s v="HYDROGEN CYANIDE"/>
    <s v="74908"/>
    <m/>
    <x v="3"/>
    <n v="3.9600063525821178E-6"/>
    <s v="0"/>
    <n v="0"/>
    <x v="41"/>
    <s v="TRI"/>
  </r>
  <r>
    <s v="110000595339"/>
    <s v="Exxon Mobil Oil Corp"/>
    <s v="HYDROGEN FLUORIDE"/>
    <s v="7664393"/>
    <m/>
    <x v="3"/>
    <n v="3.9600063525821178E-6"/>
    <s v="0"/>
    <n v="0"/>
    <x v="77"/>
    <s v="TRI"/>
  </r>
  <r>
    <s v="110000595339"/>
    <s v="Exxon Mobil Oil Corp"/>
    <s v="MERCURY AND MERCURY COMPOUNDS"/>
    <s v="N458"/>
    <m/>
    <x v="3"/>
    <n v="3.9600063525821178E-6"/>
    <s v="5"/>
    <n v="3.2781509541242697E-3"/>
    <x v="12"/>
    <s v="TRI"/>
  </r>
  <r>
    <s v="110000595339"/>
    <s v="Exxon Mobil Oil Corp"/>
    <s v="NAPHTHALENE"/>
    <s v="91203"/>
    <m/>
    <x v="3"/>
    <n v="3.9600063525821178E-6"/>
    <s v="5"/>
    <n v="3.2781509541242697E-3"/>
    <x v="13"/>
    <s v="TRI"/>
  </r>
  <r>
    <s v="110000595339"/>
    <s v="Exxon Mobil Oil Corp"/>
    <s v="N-HEXANE"/>
    <s v="110543"/>
    <m/>
    <x v="3"/>
    <n v="3.9600063525821178E-6"/>
    <s v="18"/>
    <n v="1.1801343434847369E-2"/>
    <x v="14"/>
    <s v="TRI"/>
  </r>
  <r>
    <s v="110000595339"/>
    <s v="Exxon Mobil Oil Corp"/>
    <s v="NITRATE COMPOUNDS"/>
    <s v="14797558"/>
    <m/>
    <x v="3"/>
    <n v="3.9600063525821178E-6"/>
    <s v="120796"/>
    <n v="79.197504530879058"/>
    <x v="15"/>
    <s v="TRI"/>
  </r>
  <r>
    <s v="110000595339"/>
    <s v="Exxon Mobil Oil Corp"/>
    <s v="Nitrogen, ammonia total (as N)"/>
    <s v="7664417"/>
    <n v="10.0680272109"/>
    <x v="3"/>
    <n v="3.9600063525821178E-6"/>
    <s v=""/>
    <n v="1.0923137455653048E-7"/>
    <x v="16"/>
    <s v="DMR"/>
  </r>
  <r>
    <s v="110000595339"/>
    <s v="Exxon Mobil Oil Corp"/>
    <s v="Oil and grease"/>
    <s v=""/>
    <n v="20098.788450660002"/>
    <x v="3"/>
    <n v="3.9600063525821178E-6"/>
    <s v=""/>
    <n v="2.1805843820224031E-4"/>
    <x v="17"/>
    <s v="DMR"/>
  </r>
  <r>
    <s v="110000595339"/>
    <s v="Exxon Mobil Oil Corp"/>
    <s v="Chemical Oxygen Demand (COD)"/>
    <s v=""/>
    <n v="320829.931973"/>
    <x v="3"/>
    <n v="3.9600063525821178E-6"/>
    <s v=""/>
    <n v="3.4807905992097774E-3"/>
    <x v="18"/>
    <s v="DMR"/>
  </r>
  <r>
    <s v="110000595339"/>
    <s v="Exxon Mobil Oil Corp"/>
    <s v="PHENOL"/>
    <s v="108952"/>
    <m/>
    <x v="3"/>
    <n v="3.9600063525821178E-6"/>
    <s v="52"/>
    <n v="3.4092769922892403E-2"/>
    <x v="19"/>
    <s v="TRI"/>
  </r>
  <r>
    <s v="110000595339"/>
    <s v="Exxon Mobil Oil Corp"/>
    <s v="Phenolics, total recoverable"/>
    <s v=""/>
    <n v="33.106575963700003"/>
    <x v="3"/>
    <n v="3.9600063525821178E-6"/>
    <s v=""/>
    <n v="3.5918424966710814E-7"/>
    <x v="20"/>
    <s v="DMR"/>
  </r>
  <r>
    <s v="110000595339"/>
    <s v="Exxon Mobil Oil Corp"/>
    <s v="POLYCYCLIC AROMATIC COMPOUNDS"/>
    <s v="N590"/>
    <m/>
    <x v="3"/>
    <n v="3.9600063525821178E-6"/>
    <s v="342"/>
    <n v="0.22422552526210004"/>
    <x v="21"/>
    <s v="TRI"/>
  </r>
  <r>
    <s v="110000595339"/>
    <s v="Exxon Mobil Oil Corp"/>
    <s v="Solids, total suspended"/>
    <s v=""/>
    <n v="18809.523809499999"/>
    <x v="3"/>
    <n v="3.9600063525821178E-6"/>
    <s v=""/>
    <n v="2.0407077746483453E-4"/>
    <x v="22"/>
    <s v="DMR"/>
  </r>
  <r>
    <s v="110000595339"/>
    <s v="Exxon Mobil Oil Corp"/>
    <s v="Sulfide, total (as S)"/>
    <s v="18496258"/>
    <n v="247.718820862"/>
    <x v="3"/>
    <n v="3.9600063525821178E-6"/>
    <s v=""/>
    <n v="2.6875838473086896E-6"/>
    <x v="23"/>
    <s v="DMR"/>
  </r>
  <r>
    <s v="110000595339"/>
    <s v="Exxon Mobil Oil Corp"/>
    <s v="TOLUENE"/>
    <s v="108883"/>
    <m/>
    <x v="3"/>
    <n v="3.9600063525821178E-6"/>
    <s v="5"/>
    <n v="3.2781509541242697E-3"/>
    <x v="24"/>
    <s v="TRI"/>
  </r>
  <r>
    <s v="110000595339"/>
    <s v="Exxon Mobil Oil Corp"/>
    <s v="XYLENE (MIXED ISOMERS)"/>
    <s v="1330207"/>
    <m/>
    <x v="3"/>
    <n v="3.9600063525821178E-6"/>
    <s v="72"/>
    <n v="4.7205373739389475E-2"/>
    <x v="25"/>
    <s v="TRI"/>
  </r>
  <r>
    <s v="110000595339"/>
    <s v="Exxon Mobil Oil Corp"/>
    <s v="ZINC AND ZINC COMPOUNDS"/>
    <s v="7440666"/>
    <m/>
    <x v="3"/>
    <n v="3.9600063525821178E-6"/>
    <s v="312"/>
    <n v="0.20455661953735441"/>
    <x v="29"/>
    <s v="TRI"/>
  </r>
  <r>
    <s v="110017300810"/>
    <s v="ExxonMobil Baton Rouge Refinery"/>
    <s v="1,2,4-TRIMETHYLBENZENE"/>
    <s v="95636"/>
    <m/>
    <x v="2"/>
    <n v="1.9521682384919715E-6"/>
    <s v="4"/>
    <n v="1.2928266480079281E-3"/>
    <x v="0"/>
    <s v="TRI"/>
  </r>
  <r>
    <s v="110017300810"/>
    <s v="ExxonMobil Baton Rouge Refinery"/>
    <s v="1,2-DIBROMOETHANE"/>
    <s v="106934"/>
    <m/>
    <x v="2"/>
    <n v="1.9521682384919715E-6"/>
    <s v="1"/>
    <n v="3.2320666200198202E-4"/>
    <x v="86"/>
    <s v="TRI"/>
  </r>
  <r>
    <s v="110017300810"/>
    <s v="ExxonMobil Baton Rouge Refinery"/>
    <s v="1,3-BUTADIENE"/>
    <s v="106990"/>
    <m/>
    <x v="2"/>
    <n v="1.9521682384919715E-6"/>
    <s v="0"/>
    <n v="0"/>
    <x v="30"/>
    <s v="TRI"/>
  </r>
  <r>
    <s v="110017300810"/>
    <s v="ExxonMobil Baton Rouge Refinery"/>
    <s v="ACETALDEHYDE"/>
    <s v="75070"/>
    <m/>
    <x v="2"/>
    <n v="1.9521682384919715E-6"/>
    <s v="0"/>
    <n v="0"/>
    <x v="116"/>
    <s v="TRI"/>
  </r>
  <r>
    <s v="110017300810"/>
    <s v="ExxonMobil Baton Rouge Refinery"/>
    <s v="AMMONIA"/>
    <s v="7664417"/>
    <m/>
    <x v="2"/>
    <n v="1.9521682384919715E-6"/>
    <s v="2500"/>
    <n v="0.80801665500495501"/>
    <x v="16"/>
    <s v="TRI"/>
  </r>
  <r>
    <s v="110017300810"/>
    <s v="ExxonMobil Baton Rouge Refinery"/>
    <s v="ANTHRACENE"/>
    <s v="120127"/>
    <m/>
    <x v="2"/>
    <n v="1.9521682384919715E-6"/>
    <s v="0"/>
    <n v="0"/>
    <x v="31"/>
    <s v="TRI"/>
  </r>
  <r>
    <s v="110017300810"/>
    <s v="ExxonMobil Baton Rouge Refinery"/>
    <s v="ANTIMONY AND ANTIMONY COMPOUNDS"/>
    <s v="7440360"/>
    <m/>
    <x v="2"/>
    <n v="1.9521682384919715E-6"/>
    <s v="0"/>
    <n v="0"/>
    <x v="92"/>
    <s v="TRI"/>
  </r>
  <r>
    <s v="110017300810"/>
    <s v="ExxonMobil Baton Rouge Refinery"/>
    <s v="BENZENE"/>
    <s v="71432"/>
    <m/>
    <x v="2"/>
    <n v="1.9521682384919715E-6"/>
    <s v="2"/>
    <n v="6.4641332400396405E-4"/>
    <x v="1"/>
    <s v="TRI"/>
  </r>
  <r>
    <s v="110017300810"/>
    <s v="ExxonMobil Baton Rouge Refinery"/>
    <s v="BENZO(G,H,I)PERYLENE"/>
    <s v="191242"/>
    <m/>
    <x v="2"/>
    <n v="1.9521682384919715E-6"/>
    <s v="0"/>
    <n v="0"/>
    <x v="32"/>
    <s v="TRI"/>
  </r>
  <r>
    <s v="110017300810"/>
    <s v="ExxonMobil Baton Rouge Refinery"/>
    <s v="BOD, 5-day, 20 deg. C"/>
    <s v=""/>
    <n v="148448.07256199999"/>
    <x v="2"/>
    <n v="1.9521682384919715E-6"/>
    <s v=""/>
    <n v="7.9396058170106267E-4"/>
    <x v="2"/>
    <s v="DMR"/>
  </r>
  <r>
    <s v="110017300810"/>
    <s v="ExxonMobil Baton Rouge Refinery"/>
    <s v="Carbon, tot organic (TOC)"/>
    <s v="7440440"/>
    <n v="36319.831236999999"/>
    <x v="2"/>
    <n v="1.9521682384919715E-6"/>
    <s v=""/>
    <n v="1.9425320813221909E-4"/>
    <x v="3"/>
    <s v="DMR"/>
  </r>
  <r>
    <s v="110017300810"/>
    <s v="ExxonMobil Baton Rouge Refinery"/>
    <s v="CERTAIN GLYCOL ETHERS"/>
    <s v="N230"/>
    <m/>
    <x v="2"/>
    <n v="1.9521682384919715E-6"/>
    <s v="130"/>
    <n v="4.201686606025766E-2"/>
    <x v="117"/>
    <s v="TRI"/>
  </r>
  <r>
    <s v="110017300810"/>
    <s v="ExxonMobil Baton Rouge Refinery"/>
    <s v="COBALT AND COBALT COMPOUNDS"/>
    <s v="7440484"/>
    <m/>
    <x v="2"/>
    <n v="1.9521682384919715E-6"/>
    <s v="250"/>
    <n v="8.0801665500495501E-2"/>
    <x v="76"/>
    <s v="TRI"/>
  </r>
  <r>
    <s v="110017300810"/>
    <s v="ExxonMobil Baton Rouge Refinery"/>
    <s v="CRESOL (MIXED ISOMERS)"/>
    <s v="1319773"/>
    <m/>
    <x v="2"/>
    <n v="1.9521682384919715E-6"/>
    <s v="0"/>
    <n v="0"/>
    <x v="61"/>
    <s v="TRI"/>
  </r>
  <r>
    <s v="110017300810"/>
    <s v="ExxonMobil Baton Rouge Refinery"/>
    <s v="CUMENE"/>
    <s v="98828"/>
    <m/>
    <x v="2"/>
    <n v="1.9521682384919715E-6"/>
    <s v="1"/>
    <n v="3.2320666200198202E-4"/>
    <x v="6"/>
    <s v="TRI"/>
  </r>
  <r>
    <s v="110017300810"/>
    <s v="ExxonMobil Baton Rouge Refinery"/>
    <s v="CYCLOHEXANE"/>
    <s v="110827"/>
    <m/>
    <x v="2"/>
    <n v="1.9521682384919715E-6"/>
    <s v="1"/>
    <n v="3.2320666200198202E-4"/>
    <x v="8"/>
    <s v="TRI"/>
  </r>
  <r>
    <s v="110017300810"/>
    <s v="ExxonMobil Baton Rouge Refinery"/>
    <s v="ETHYLBENZENE"/>
    <s v="100414"/>
    <m/>
    <x v="2"/>
    <n v="1.9521682384919715E-6"/>
    <s v="3"/>
    <n v="9.6961998600594618E-4"/>
    <x v="10"/>
    <s v="TRI"/>
  </r>
  <r>
    <s v="110017300810"/>
    <s v="ExxonMobil Baton Rouge Refinery"/>
    <s v="ETHYLENE GLYCOL"/>
    <s v="107211"/>
    <m/>
    <x v="2"/>
    <n v="1.9521682384919715E-6"/>
    <s v="25000"/>
    <n v="8.080166550049551"/>
    <x v="39"/>
    <s v="TRI"/>
  </r>
  <r>
    <s v="110017300810"/>
    <s v="ExxonMobil Baton Rouge Refinery"/>
    <s v="LEAD AND LEAD COMPOUNDS"/>
    <s v="7439921"/>
    <m/>
    <x v="2"/>
    <n v="1.9521682384919715E-6"/>
    <s v="77.3"/>
    <n v="2.4983874972753211E-2"/>
    <x v="11"/>
    <s v="TRI"/>
  </r>
  <r>
    <s v="110017300810"/>
    <s v="ExxonMobil Baton Rouge Refinery"/>
    <s v="MERCURY AND MERCURY COMPOUNDS"/>
    <s v="N458"/>
    <m/>
    <x v="2"/>
    <n v="1.9521682384919715E-6"/>
    <s v="897.2"/>
    <n v="0.28998101714817826"/>
    <x v="12"/>
    <s v="TRI"/>
  </r>
  <r>
    <s v="110017300810"/>
    <s v="ExxonMobil Baton Rouge Refinery"/>
    <s v="METHANOL"/>
    <s v="67561"/>
    <m/>
    <x v="2"/>
    <n v="1.9521682384919715E-6"/>
    <s v="1"/>
    <n v="3.2320666200198202E-4"/>
    <x v="42"/>
    <s v="TRI"/>
  </r>
  <r>
    <s v="110017300810"/>
    <s v="ExxonMobil Baton Rouge Refinery"/>
    <s v="METHYL ISOBUTYL KETONE"/>
    <s v="108101"/>
    <m/>
    <x v="2"/>
    <n v="1.9521682384919715E-6"/>
    <s v="1"/>
    <n v="3.2320666200198202E-4"/>
    <x v="43"/>
    <s v="TRI"/>
  </r>
  <r>
    <s v="110017300810"/>
    <s v="ExxonMobil Baton Rouge Refinery"/>
    <s v="METHYL TERT-BUTYL ETHER"/>
    <s v="1634044"/>
    <m/>
    <x v="2"/>
    <n v="1.9521682384919715E-6"/>
    <s v="1"/>
    <n v="3.2320666200198202E-4"/>
    <x v="118"/>
    <s v="TRI"/>
  </r>
  <r>
    <s v="110017300810"/>
    <s v="ExxonMobil Baton Rouge Refinery"/>
    <s v="N,N-DIMETHYLFORMAMIDE"/>
    <s v="68122"/>
    <m/>
    <x v="2"/>
    <n v="1.9521682384919715E-6"/>
    <s v="0"/>
    <n v="0"/>
    <x v="119"/>
    <s v="TRI"/>
  </r>
  <r>
    <s v="110017300810"/>
    <s v="ExxonMobil Baton Rouge Refinery"/>
    <s v="NAPHTHALENE"/>
    <s v="91203"/>
    <m/>
    <x v="2"/>
    <n v="1.9521682384919715E-6"/>
    <s v="1"/>
    <n v="3.2320666200198202E-4"/>
    <x v="13"/>
    <s v="TRI"/>
  </r>
  <r>
    <s v="110017300810"/>
    <s v="ExxonMobil Baton Rouge Refinery"/>
    <s v="N-HEXANE"/>
    <s v="110543"/>
    <m/>
    <x v="2"/>
    <n v="1.9521682384919715E-6"/>
    <s v="1"/>
    <n v="3.2320666200198202E-4"/>
    <x v="14"/>
    <s v="TRI"/>
  </r>
  <r>
    <s v="110017300810"/>
    <s v="ExxonMobil Baton Rouge Refinery"/>
    <s v="NICKEL AND NICKEL COMPOUNDS"/>
    <s v="N495"/>
    <m/>
    <x v="2"/>
    <n v="1.9521682384919715E-6"/>
    <s v="0"/>
    <n v="0"/>
    <x v="45"/>
    <s v="TRI"/>
  </r>
  <r>
    <s v="110017300810"/>
    <s v="ExxonMobil Baton Rouge Refinery"/>
    <s v="NITRATE COMPOUNDS"/>
    <s v="14797558"/>
    <m/>
    <x v="2"/>
    <n v="1.9521682384919715E-6"/>
    <s v="2000000"/>
    <n v="646.41332400396402"/>
    <x v="15"/>
    <s v="TRI"/>
  </r>
  <r>
    <s v="110017300810"/>
    <s v="ExxonMobil Baton Rouge Refinery"/>
    <s v="N-METHYL-2-PYRROLIDONE"/>
    <s v="872504"/>
    <m/>
    <x v="2"/>
    <n v="1.9521682384919715E-6"/>
    <s v="0"/>
    <n v="0"/>
    <x v="27"/>
    <s v="TRI"/>
  </r>
  <r>
    <s v="110017300810"/>
    <s v="ExxonMobil Baton Rouge Refinery"/>
    <s v="Oil and grease"/>
    <s v=""/>
    <n v="43823.617579769998"/>
    <x v="2"/>
    <n v="1.9521682384919715E-6"/>
    <s v=""/>
    <n v="2.3438650502752162E-4"/>
    <x v="17"/>
    <s v="DMR"/>
  </r>
  <r>
    <s v="110017300810"/>
    <s v="ExxonMobil Baton Rouge Refinery"/>
    <s v="Chemical Oxygen Demand (COD)"/>
    <s v=""/>
    <n v="1104205.44218"/>
    <x v="2"/>
    <n v="1.9521682384919715E-6"/>
    <s v=""/>
    <n v="5.905739158887066E-3"/>
    <x v="18"/>
    <s v="DMR"/>
  </r>
  <r>
    <s v="110017300810"/>
    <s v="ExxonMobil Baton Rouge Refinery"/>
    <s v="PHENANTHRENE"/>
    <s v="85018"/>
    <m/>
    <x v="2"/>
    <n v="1.9521682384919715E-6"/>
    <s v="0"/>
    <n v="0"/>
    <x v="46"/>
    <s v="TRI"/>
  </r>
  <r>
    <s v="110017300810"/>
    <s v="ExxonMobil Baton Rouge Refinery"/>
    <s v="PHENOL"/>
    <s v="108952"/>
    <m/>
    <x v="2"/>
    <n v="1.9521682384919715E-6"/>
    <s v="410"/>
    <n v="0.13251473142081263"/>
    <x v="19"/>
    <s v="TRI"/>
  </r>
  <r>
    <s v="110017300810"/>
    <s v="ExxonMobil Baton Rouge Refinery"/>
    <s v="POLYCYCLIC AROMATIC COMPOUNDS"/>
    <s v="N590"/>
    <m/>
    <x v="2"/>
    <n v="1.9521682384919715E-6"/>
    <s v="0"/>
    <n v="0"/>
    <x v="21"/>
    <s v="TRI"/>
  </r>
  <r>
    <s v="110017300810"/>
    <s v="ExxonMobil Baton Rouge Refinery"/>
    <s v="SEC-BUTYL ALCOHOL"/>
    <s v="78922"/>
    <m/>
    <x v="2"/>
    <n v="1.9521682384919715E-6"/>
    <s v="0"/>
    <n v="0"/>
    <x v="90"/>
    <s v="TRI"/>
  </r>
  <r>
    <s v="110017300810"/>
    <s v="ExxonMobil Baton Rouge Refinery"/>
    <s v="Solids, total suspended"/>
    <s v=""/>
    <n v="202660.31745999999"/>
    <x v="2"/>
    <n v="1.9521682384919715E-6"/>
    <s v=""/>
    <n v="1.0839096847893477E-3"/>
    <x v="22"/>
    <s v="DMR"/>
  </r>
  <r>
    <s v="110017300810"/>
    <s v="ExxonMobil Baton Rouge Refinery"/>
    <s v="STYRENE"/>
    <s v="100425"/>
    <m/>
    <x v="2"/>
    <n v="1.9521682384919715E-6"/>
    <s v="1"/>
    <n v="3.2320666200198202E-4"/>
    <x v="48"/>
    <s v="TRI"/>
  </r>
  <r>
    <s v="110017300810"/>
    <s v="ExxonMobil Baton Rouge Refinery"/>
    <s v="TERT-BUTYL ALCOHOL"/>
    <s v="75650"/>
    <m/>
    <x v="2"/>
    <n v="1.9521682384919715E-6"/>
    <s v="0"/>
    <n v="0"/>
    <x v="49"/>
    <s v="TRI"/>
  </r>
  <r>
    <s v="110017300810"/>
    <s v="ExxonMobil Baton Rouge Refinery"/>
    <s v="TETRACHLOROETHYLENE"/>
    <s v="127184"/>
    <m/>
    <x v="2"/>
    <n v="1.9521682384919715E-6"/>
    <s v="0"/>
    <n v="0"/>
    <x v="50"/>
    <s v="TRI"/>
  </r>
  <r>
    <s v="110017300810"/>
    <s v="ExxonMobil Baton Rouge Refinery"/>
    <s v="TOLUENE"/>
    <s v="108883"/>
    <m/>
    <x v="2"/>
    <n v="1.9521682384919715E-6"/>
    <s v="10"/>
    <n v="3.2320666200198202E-3"/>
    <x v="24"/>
    <s v="TRI"/>
  </r>
  <r>
    <s v="110017300810"/>
    <s v="ExxonMobil Baton Rouge Refinery"/>
    <s v="TRICHLOROETHYLENE"/>
    <s v="79016"/>
    <m/>
    <x v="2"/>
    <n v="1.9521682384919715E-6"/>
    <s v="0"/>
    <n v="0"/>
    <x v="51"/>
    <s v="TRI"/>
  </r>
  <r>
    <s v="110017300810"/>
    <s v="ExxonMobil Baton Rouge Refinery"/>
    <s v="VANADIUM AND VANADIUM COMPOUNDS"/>
    <s v="7440622"/>
    <m/>
    <x v="2"/>
    <n v="1.9521682384919715E-6"/>
    <s v="1100"/>
    <n v="0.35552732820218025"/>
    <x v="78"/>
    <s v="TRI"/>
  </r>
  <r>
    <s v="110017300810"/>
    <s v="ExxonMobil Baton Rouge Refinery"/>
    <s v="XYLENE (MIXED ISOMERS)"/>
    <s v="1330207"/>
    <m/>
    <x v="2"/>
    <n v="1.9521682384919715E-6"/>
    <s v="25"/>
    <n v="8.0801665500495508E-3"/>
    <x v="25"/>
    <s v="TRI"/>
  </r>
  <r>
    <s v="110017300810"/>
    <s v="ExxonMobil Baton Rouge Refinery"/>
    <s v="ZINC AND ZINC COMPOUNDS"/>
    <s v="7440666"/>
    <m/>
    <x v="2"/>
    <n v="1.9521682384919715E-6"/>
    <s v="2100"/>
    <n v="0.67873399020416225"/>
    <x v="29"/>
    <s v="TRI"/>
  </r>
  <r>
    <s v="110000428421"/>
    <s v="EXXONMOBIL BILLINGS REFINERY"/>
    <s v="1,2,4-TRIMETHYLBENZENE"/>
    <s v="95636"/>
    <m/>
    <x v="2"/>
    <n v="1.6666666666666667E-5"/>
    <s v="7"/>
    <n v="1.9315673289183224E-2"/>
    <x v="0"/>
    <s v="TRI"/>
  </r>
  <r>
    <s v="110000428421"/>
    <s v="EXXONMOBIL BILLINGS REFINERY"/>
    <s v="1,3-BUTADIENE"/>
    <s v="106990"/>
    <m/>
    <x v="2"/>
    <n v="1.6666666666666667E-5"/>
    <s v="1"/>
    <n v="2.7593818984547464E-3"/>
    <x v="30"/>
    <s v="TRI"/>
  </r>
  <r>
    <s v="110000428421"/>
    <s v="EXXONMOBIL BILLINGS REFINERY"/>
    <s v="ANTHRACENE"/>
    <s v="120127"/>
    <m/>
    <x v="2"/>
    <n v="1.6666666666666667E-5"/>
    <s v="0"/>
    <n v="0"/>
    <x v="31"/>
    <s v="TRI"/>
  </r>
  <r>
    <s v="110000428421"/>
    <s v="EXXONMOBIL BILLINGS REFINERY"/>
    <s v="BENZENE"/>
    <s v="71432"/>
    <m/>
    <x v="2"/>
    <n v="1.6666666666666667E-5"/>
    <s v="2"/>
    <n v="5.5187637969094927E-3"/>
    <x v="1"/>
    <s v="TRI"/>
  </r>
  <r>
    <s v="110000428421"/>
    <s v="EXXONMOBIL BILLINGS REFINERY"/>
    <s v="BENZO(G,H,I)PERYLENE"/>
    <s v="191242"/>
    <m/>
    <x v="2"/>
    <n v="1.6666666666666667E-5"/>
    <s v="0"/>
    <n v="0"/>
    <x v="32"/>
    <s v="TRI"/>
  </r>
  <r>
    <s v="110000428421"/>
    <s v="EXXONMOBIL BILLINGS REFINERY"/>
    <s v="BOD, 5-day, 20 deg. C"/>
    <s v=""/>
    <n v="34238.095238100002"/>
    <x v="2"/>
    <n v="1.6666666666666667E-5"/>
    <s v=""/>
    <n v="1.5633833442054794E-3"/>
    <x v="2"/>
    <s v="DMR"/>
  </r>
  <r>
    <s v="110000428421"/>
    <s v="EXXONMOBIL BILLINGS REFINERY"/>
    <s v="CARBONYL SULFIDE"/>
    <s v="463581"/>
    <m/>
    <x v="2"/>
    <n v="1.6666666666666667E-5"/>
    <s v="0"/>
    <n v="0"/>
    <x v="35"/>
    <s v="TRI"/>
  </r>
  <r>
    <s v="110000428421"/>
    <s v="EXXONMOBIL BILLINGS REFINERY"/>
    <s v="Chromium, hexavalent (as Cr)"/>
    <s v="18540299"/>
    <n v="3.0430839002300001"/>
    <x v="2"/>
    <n v="1.6666666666666667E-5"/>
    <s v=""/>
    <n v="1.389536027502283E-7"/>
    <x v="4"/>
    <s v="DMR"/>
  </r>
  <r>
    <s v="110000428421"/>
    <s v="EXXONMOBIL BILLINGS REFINERY"/>
    <s v="Chromium, total (as Cr)"/>
    <s v="7440473"/>
    <n v="2.3718820861699998"/>
    <x v="2"/>
    <n v="1.6666666666666667E-5"/>
    <s v=""/>
    <n v="1.0830511808995432E-7"/>
    <x v="5"/>
    <s v="DMR"/>
  </r>
  <r>
    <s v="110000428421"/>
    <s v="EXXONMOBIL BILLINGS REFINERY"/>
    <s v="CUMENE"/>
    <s v="98828"/>
    <m/>
    <x v="2"/>
    <n v="1.6666666666666667E-5"/>
    <s v="0"/>
    <n v="0"/>
    <x v="6"/>
    <s v="TRI"/>
  </r>
  <r>
    <s v="110000428421"/>
    <s v="EXXONMOBIL BILLINGS REFINERY"/>
    <s v="CYCLOHEXANE"/>
    <s v="110827"/>
    <m/>
    <x v="2"/>
    <n v="1.6666666666666667E-5"/>
    <s v="1"/>
    <n v="2.7593818984547464E-3"/>
    <x v="8"/>
    <s v="TRI"/>
  </r>
  <r>
    <s v="110000428421"/>
    <s v="EXXONMOBIL BILLINGS REFINERY"/>
    <s v="DIETHANOLAMINE"/>
    <s v="111422"/>
    <m/>
    <x v="2"/>
    <n v="1.6666666666666667E-5"/>
    <s v="510"/>
    <n v="1.4072847682119205"/>
    <x v="9"/>
    <s v="TRI"/>
  </r>
  <r>
    <s v="110000428421"/>
    <s v="EXXONMOBIL BILLINGS REFINERY"/>
    <s v="DIOXIN AND DIOXIN-LIKE COMPOUNDS"/>
    <s v="N150"/>
    <m/>
    <x v="2"/>
    <n v="1.6666666666666667E-5"/>
    <s v="0"/>
    <n v="0"/>
    <x v="37"/>
    <s v="TRI"/>
  </r>
  <r>
    <s v="110000428421"/>
    <s v="EXXONMOBIL BILLINGS REFINERY"/>
    <s v="ETHYLBENZENE"/>
    <s v="100414"/>
    <m/>
    <x v="2"/>
    <n v="1.6666666666666667E-5"/>
    <s v="1"/>
    <n v="2.7593818984547464E-3"/>
    <x v="10"/>
    <s v="TRI"/>
  </r>
  <r>
    <s v="110000428421"/>
    <s v="EXXONMOBIL BILLINGS REFINERY"/>
    <s v="ETHYLENE"/>
    <s v="74851"/>
    <m/>
    <x v="2"/>
    <n v="1.6666666666666667E-5"/>
    <s v="11"/>
    <n v="3.0353200883002206E-2"/>
    <x v="38"/>
    <s v="TRI"/>
  </r>
  <r>
    <s v="110000428421"/>
    <s v="EXXONMOBIL BILLINGS REFINERY"/>
    <s v="ETHYLENE GLYCOL"/>
    <s v="107211"/>
    <m/>
    <x v="2"/>
    <n v="1.6666666666666667E-5"/>
    <s v="1700"/>
    <n v="4.6909492273730686"/>
    <x v="39"/>
    <s v="TRI"/>
  </r>
  <r>
    <s v="110000428421"/>
    <s v="EXXONMOBIL BILLINGS REFINERY"/>
    <s v="HYDROGEN CYANIDE"/>
    <s v="74908"/>
    <m/>
    <x v="2"/>
    <n v="1.6666666666666667E-5"/>
    <s v="0"/>
    <n v="0"/>
    <x v="41"/>
    <s v="TRI"/>
  </r>
  <r>
    <s v="110000428421"/>
    <s v="EXXONMOBIL BILLINGS REFINERY"/>
    <s v="HYDROGEN FLUORIDE"/>
    <s v="7664393"/>
    <m/>
    <x v="2"/>
    <n v="1.6666666666666667E-5"/>
    <s v="0"/>
    <n v="0"/>
    <x v="77"/>
    <s v="TRI"/>
  </r>
  <r>
    <s v="110000428421"/>
    <s v="EXXONMOBIL BILLINGS REFINERY"/>
    <s v="LEAD AND LEAD COMPOUNDS"/>
    <s v="7439921"/>
    <m/>
    <x v="2"/>
    <n v="1.6666666666666667E-5"/>
    <s v="0"/>
    <n v="0"/>
    <x v="11"/>
    <s v="TRI"/>
  </r>
  <r>
    <s v="110000428421"/>
    <s v="EXXONMOBIL BILLINGS REFINERY"/>
    <s v="MERCURY AND MERCURY COMPOUNDS"/>
    <s v="N458"/>
    <m/>
    <x v="2"/>
    <n v="1.6666666666666667E-5"/>
    <s v="0"/>
    <n v="0"/>
    <x v="12"/>
    <s v="TRI"/>
  </r>
  <r>
    <s v="110000428421"/>
    <s v="EXXONMOBIL BILLINGS REFINERY"/>
    <s v="METHANOL"/>
    <s v="67561"/>
    <m/>
    <x v="2"/>
    <n v="1.6666666666666667E-5"/>
    <s v="0"/>
    <n v="0"/>
    <x v="42"/>
    <s v="TRI"/>
  </r>
  <r>
    <s v="110000428421"/>
    <s v="EXXONMOBIL BILLINGS REFINERY"/>
    <s v="MOLYBDENUM TRIOXIDE"/>
    <s v="1313275"/>
    <m/>
    <x v="2"/>
    <n v="1.6666666666666667E-5"/>
    <s v="0"/>
    <n v="0"/>
    <x v="44"/>
    <s v="TRI"/>
  </r>
  <r>
    <s v="110000428421"/>
    <s v="EXXONMOBIL BILLINGS REFINERY"/>
    <s v="NAPHTHALENE"/>
    <s v="91203"/>
    <m/>
    <x v="2"/>
    <n v="1.6666666666666667E-5"/>
    <s v="1"/>
    <n v="2.7593818984547464E-3"/>
    <x v="13"/>
    <s v="TRI"/>
  </r>
  <r>
    <s v="110000428421"/>
    <s v="EXXONMOBIL BILLINGS REFINERY"/>
    <s v="N-HEXANE"/>
    <s v="110543"/>
    <m/>
    <x v="2"/>
    <n v="1.6666666666666667E-5"/>
    <s v="3"/>
    <n v="8.2781456953642391E-3"/>
    <x v="14"/>
    <s v="TRI"/>
  </r>
  <r>
    <s v="110000428421"/>
    <s v="EXXONMOBIL BILLINGS REFINERY"/>
    <s v="NICKEL AND NICKEL COMPOUNDS"/>
    <s v="N495"/>
    <m/>
    <x v="2"/>
    <n v="1.6666666666666667E-5"/>
    <s v="19"/>
    <n v="5.2428256070640181E-2"/>
    <x v="45"/>
    <s v="TRI"/>
  </r>
  <r>
    <s v="110000428421"/>
    <s v="EXXONMOBIL BILLINGS REFINERY"/>
    <s v="Nitrogen, ammonia total (as N)"/>
    <s v="7664417"/>
    <n v="13290.2494331"/>
    <x v="2"/>
    <n v="1.6666666666666667E-5"/>
    <s v=""/>
    <n v="6.068607047077625E-4"/>
    <x v="16"/>
    <s v="DMR"/>
  </r>
  <r>
    <s v="110000428421"/>
    <s v="EXXONMOBIL BILLINGS REFINERY"/>
    <s v="Nitrogen, total (as N)"/>
    <s v="7727379"/>
    <n v="10964.951374300001"/>
    <x v="2"/>
    <n v="1.6666666666666667E-5"/>
    <s v=""/>
    <n v="5.0068271115525113E-4"/>
    <x v="79"/>
    <s v="DMR"/>
  </r>
  <r>
    <s v="110000428421"/>
    <s v="EXXONMOBIL BILLINGS REFINERY"/>
    <s v="Oil &amp; grease"/>
    <s v=""/>
    <n v="27986.770450110002"/>
    <x v="2"/>
    <n v="1.6666666666666667E-5"/>
    <s v=""/>
    <n v="1.2779347237493151E-3"/>
    <x v="28"/>
    <s v="DMR"/>
  </r>
  <r>
    <s v="110000428421"/>
    <s v="EXXONMOBIL BILLINGS REFINERY"/>
    <s v="Chemical Oxygen Demand (COD)"/>
    <s v=""/>
    <n v="130575.51020400001"/>
    <x v="2"/>
    <n v="1.6666666666666667E-5"/>
    <s v=""/>
    <n v="5.9623520641095889E-3"/>
    <x v="18"/>
    <s v="DMR"/>
  </r>
  <r>
    <s v="110000428421"/>
    <s v="EXXONMOBIL BILLINGS REFINERY"/>
    <s v="PHENANTHRENE"/>
    <s v="85018"/>
    <m/>
    <x v="2"/>
    <n v="1.6666666666666667E-5"/>
    <s v="0"/>
    <n v="0"/>
    <x v="46"/>
    <s v="TRI"/>
  </r>
  <r>
    <s v="110000428421"/>
    <s v="EXXONMOBIL BILLINGS REFINERY"/>
    <s v="PHENOL"/>
    <s v="108952"/>
    <m/>
    <x v="2"/>
    <n v="1.6666666666666667E-5"/>
    <s v="16"/>
    <n v="4.4150110375275942E-2"/>
    <x v="19"/>
    <s v="TRI"/>
  </r>
  <r>
    <s v="110000428421"/>
    <s v="EXXONMOBIL BILLINGS REFINERY"/>
    <s v="Phenols"/>
    <s v=""/>
    <n v="24.140589569199999"/>
    <x v="2"/>
    <n v="1.6666666666666667E-5"/>
    <s v=""/>
    <n v="1.1023100259908675E-6"/>
    <x v="73"/>
    <s v="DMR"/>
  </r>
  <r>
    <s v="110000428421"/>
    <s v="EXXONMOBIL BILLINGS REFINERY"/>
    <s v="POLYCYCLIC AROMATIC COMPOUNDS"/>
    <s v="N590"/>
    <m/>
    <x v="2"/>
    <n v="1.6666666666666667E-5"/>
    <s v="0"/>
    <n v="0"/>
    <x v="21"/>
    <s v="TRI"/>
  </r>
  <r>
    <s v="110000428421"/>
    <s v="EXXONMOBIL BILLINGS REFINERY"/>
    <s v="PROPYLENE"/>
    <s v="115071"/>
    <m/>
    <x v="2"/>
    <n v="1.6666666666666667E-5"/>
    <s v="4"/>
    <n v="1.1037527593818985E-2"/>
    <x v="54"/>
    <s v="TRI"/>
  </r>
  <r>
    <s v="110000428421"/>
    <s v="EXXONMOBIL BILLINGS REFINERY"/>
    <s v="Sulfide, total (as S)"/>
    <s v="18496258"/>
    <n v="145.08390022699999"/>
    <x v="2"/>
    <n v="1.6666666666666667E-5"/>
    <s v=""/>
    <n v="6.6248356268036521E-6"/>
    <x v="23"/>
    <s v="DMR"/>
  </r>
  <r>
    <s v="110000428421"/>
    <s v="EXXONMOBIL BILLINGS REFINERY"/>
    <s v="TOLUENE"/>
    <s v="108883"/>
    <m/>
    <x v="2"/>
    <n v="1.6666666666666667E-5"/>
    <s v="4"/>
    <n v="1.1037527593818985E-2"/>
    <x v="24"/>
    <s v="TRI"/>
  </r>
  <r>
    <s v="110000428421"/>
    <s v="EXXONMOBIL BILLINGS REFINERY"/>
    <s v="VANADIUM AND VANADIUM COMPOUNDS"/>
    <s v="7440622"/>
    <m/>
    <x v="2"/>
    <n v="1.6666666666666667E-5"/>
    <s v="140"/>
    <n v="0.38631346578366449"/>
    <x v="78"/>
    <s v="TRI"/>
  </r>
  <r>
    <s v="110000428421"/>
    <s v="EXXONMOBIL BILLINGS REFINERY"/>
    <s v="XYLENE (MIXED ISOMERS)"/>
    <s v="1330207"/>
    <m/>
    <x v="2"/>
    <n v="1.6666666666666667E-5"/>
    <s v="7"/>
    <n v="1.9315673289183224E-2"/>
    <x v="25"/>
    <s v="TRI"/>
  </r>
  <r>
    <s v="110000424611"/>
    <s v="Flint Hills Resources Pine Bend LLC"/>
    <s v="ANTHRACENE"/>
    <s v="120127"/>
    <m/>
    <x v="2"/>
    <n v="3.105107902499612E-6"/>
    <s v="1.1"/>
    <n v="5.6549978356781026E-4"/>
    <x v="31"/>
    <s v="TRI"/>
  </r>
  <r>
    <s v="110000424611"/>
    <s v="Flint Hills Resources Pine Bend LLC"/>
    <s v="BARIUM AND BARIUM COMPOUNDS"/>
    <s v="7440393"/>
    <m/>
    <x v="2"/>
    <n v="3.105107902499612E-6"/>
    <s v="2340"/>
    <n v="1.2029722668624323"/>
    <x v="112"/>
    <s v="TRI"/>
  </r>
  <r>
    <s v="110000424611"/>
    <s v="Flint Hills Resources Pine Bend LLC"/>
    <s v="BENZENE"/>
    <s v="71432"/>
    <m/>
    <x v="2"/>
    <n v="3.105107902499612E-6"/>
    <s v="4.5"/>
    <n v="2.3134082055046778E-3"/>
    <x v="1"/>
    <s v="TRI"/>
  </r>
  <r>
    <s v="110000424611"/>
    <s v="Flint Hills Resources Pine Bend LLC"/>
    <s v="BENZO(G,H,I)PERYLENE"/>
    <s v="191242"/>
    <m/>
    <x v="2"/>
    <n v="3.105107902499612E-6"/>
    <s v="9.4"/>
    <n v="4.8324526959431045E-3"/>
    <x v="32"/>
    <s v="TRI"/>
  </r>
  <r>
    <s v="110000424611"/>
    <s v="Flint Hills Resources Pine Bend LLC"/>
    <s v="BOD, 5-day, 20 deg. C"/>
    <s v=""/>
    <n v="757"/>
    <x v="2"/>
    <n v="3.105107902499612E-6"/>
    <s v=""/>
    <n v="6.4399087183348114E-6"/>
    <x v="2"/>
    <s v="DMR"/>
  </r>
  <r>
    <s v="110000424611"/>
    <s v="Flint Hills Resources Pine Bend LLC"/>
    <s v="Chemical Oxygen Demand (COD)"/>
    <s v=""/>
    <n v="298189"/>
    <x v="2"/>
    <n v="3.105107902499612E-6"/>
    <s v=""/>
    <n v="2.5367370420231691E-3"/>
    <x v="18"/>
    <s v="DMR"/>
  </r>
  <r>
    <s v="110000424611"/>
    <s v="Flint Hills Resources Pine Bend LLC"/>
    <s v="CHROMIUM AND CHROMIUM COMPOUNDS"/>
    <s v="N090"/>
    <m/>
    <x v="2"/>
    <n v="3.105107902499612E-6"/>
    <s v="22"/>
    <n v="1.1309995671356203E-2"/>
    <x v="59"/>
    <s v="TRI"/>
  </r>
  <r>
    <s v="110000424611"/>
    <s v="Flint Hills Resources Pine Bend LLC"/>
    <s v="Chromium, hexavalent (as Cr)"/>
    <s v="18540299"/>
    <n v="0.34"/>
    <x v="2"/>
    <n v="3.105107902499612E-6"/>
    <s v=""/>
    <n v="2.8924292790407346E-9"/>
    <x v="4"/>
    <s v="DMR"/>
  </r>
  <r>
    <s v="110000424611"/>
    <s v="Flint Hills Resources Pine Bend LLC"/>
    <s v="Chromium, total (as Cr)"/>
    <s v="7440473"/>
    <n v="0"/>
    <x v="2"/>
    <n v="3.105107902499612E-6"/>
    <s v=""/>
    <n v="0"/>
    <x v="5"/>
    <s v="DMR"/>
  </r>
  <r>
    <s v="110000424611"/>
    <s v="Flint Hills Resources Pine Bend LLC"/>
    <s v="COBALT AND COBALT COMPOUNDS"/>
    <s v="7440484"/>
    <m/>
    <x v="2"/>
    <n v="3.105107902499612E-6"/>
    <s v="22"/>
    <n v="1.1309995671356203E-2"/>
    <x v="76"/>
    <s v="TRI"/>
  </r>
  <r>
    <s v="110000424611"/>
    <s v="Flint Hills Resources Pine Bend LLC"/>
    <s v="COPPER AND COPPER COMPOUNDS"/>
    <s v="7440508"/>
    <m/>
    <x v="2"/>
    <n v="3.105107902499612E-6"/>
    <s v="45"/>
    <n v="2.313408205504678E-2"/>
    <x v="60"/>
    <s v="TRI"/>
  </r>
  <r>
    <s v="110000424611"/>
    <s v="Flint Hills Resources Pine Bend LLC"/>
    <s v="CYANIDE COMPOUNDS"/>
    <s v="N106"/>
    <m/>
    <x v="2"/>
    <n v="3.105107902499612E-6"/>
    <s v="18"/>
    <n v="9.2536328220187113E-3"/>
    <x v="7"/>
    <s v="TRI"/>
  </r>
  <r>
    <s v="110000424611"/>
    <s v="Flint Hills Resources Pine Bend LLC"/>
    <s v="ETHYLBENZENE"/>
    <s v="100414"/>
    <m/>
    <x v="2"/>
    <n v="3.105107902499612E-6"/>
    <s v="4.5"/>
    <n v="2.3134082055046778E-3"/>
    <x v="10"/>
    <s v="TRI"/>
  </r>
  <r>
    <s v="110000424611"/>
    <s v="Flint Hills Resources Pine Bend LLC"/>
    <s v="LEAD AND LEAD COMPOUNDS"/>
    <s v="7439921"/>
    <m/>
    <x v="2"/>
    <n v="3.105107902499612E-6"/>
    <s v="22"/>
    <n v="1.1309995671356203E-2"/>
    <x v="11"/>
    <s v="TRI"/>
  </r>
  <r>
    <s v="110000424611"/>
    <s v="Flint Hills Resources Pine Bend LLC"/>
    <s v="MANGANESE AND MANGANESE COMPOUNDS"/>
    <s v="7439965"/>
    <m/>
    <x v="2"/>
    <n v="3.105107902499612E-6"/>
    <s v="225"/>
    <n v="0.11567041027523391"/>
    <x v="62"/>
    <s v="TRI"/>
  </r>
  <r>
    <s v="110000424611"/>
    <s v="Flint Hills Resources Pine Bend LLC"/>
    <s v="MERCURY AND MERCURY COMPOUNDS"/>
    <s v="N458"/>
    <m/>
    <x v="2"/>
    <n v="3.105107902499612E-6"/>
    <s v="0.1"/>
    <n v="5.1409071233437289E-5"/>
    <x v="12"/>
    <s v="TRI"/>
  </r>
  <r>
    <s v="110000424611"/>
    <s v="Flint Hills Resources Pine Bend LLC"/>
    <s v="Mercury, total (as Hg)"/>
    <s v="7439976"/>
    <n v="2.369257843E-2"/>
    <x v="2"/>
    <n v="3.105107902499612E-6"/>
    <s v=""/>
    <n v="2.0155619866735574E-10"/>
    <x v="64"/>
    <s v="DMR"/>
  </r>
  <r>
    <s v="110000424611"/>
    <s v="Flint Hills Resources Pine Bend LLC"/>
    <s v="NAPHTHALENE"/>
    <s v="91203"/>
    <m/>
    <x v="2"/>
    <n v="3.105107902499612E-6"/>
    <s v="1.7"/>
    <n v="8.7395421096843383E-4"/>
    <x v="13"/>
    <s v="TRI"/>
  </r>
  <r>
    <s v="110000424611"/>
    <s v="Flint Hills Resources Pine Bend LLC"/>
    <s v="NICKEL AND NICKEL COMPOUNDS"/>
    <s v="N495"/>
    <m/>
    <x v="2"/>
    <n v="3.105107902499612E-6"/>
    <s v="22"/>
    <n v="1.1309995671356203E-2"/>
    <x v="45"/>
    <s v="TRI"/>
  </r>
  <r>
    <s v="110000424611"/>
    <s v="Flint Hills Resources Pine Bend LLC"/>
    <s v="NITRATE COMPOUNDS"/>
    <s v="14797558"/>
    <m/>
    <x v="2"/>
    <n v="3.105107902499612E-6"/>
    <s v="624680"/>
    <n v="321.14218618103604"/>
    <x v="15"/>
    <s v="TRI"/>
  </r>
  <r>
    <s v="110000424611"/>
    <s v="Flint Hills Resources Pine Bend LLC"/>
    <s v="Nitrogen, ammonia total (as N)"/>
    <s v="7664417"/>
    <n v="882.1"/>
    <x v="2"/>
    <n v="3.105107902499612E-6"/>
    <s v=""/>
    <n v="7.5041525501230342E-6"/>
    <x v="16"/>
    <s v="DMR"/>
  </r>
  <r>
    <s v="110000424611"/>
    <s v="Flint Hills Resources Pine Bend LLC"/>
    <s v="Nitrogen, ammonia, tot unionized (as N)"/>
    <s v="7664417"/>
    <n v="4.106725"/>
    <x v="2"/>
    <n v="3.105107902499612E-6"/>
    <s v=""/>
    <n v="3.493650479696635E-8"/>
    <x v="16"/>
    <s v="DMR"/>
  </r>
  <r>
    <s v="110000424611"/>
    <s v="Flint Hills Resources Pine Bend LLC"/>
    <s v="Oil and grease, hexane extr method"/>
    <s v=""/>
    <n v="2367"/>
    <x v="2"/>
    <n v="3.105107902499612E-6"/>
    <s v=""/>
    <n v="2.0136412069086523E-5"/>
    <x v="65"/>
    <s v="DMR"/>
  </r>
  <r>
    <s v="110000424611"/>
    <s v="Flint Hills Resources Pine Bend LLC"/>
    <s v="PHENANTHRENE"/>
    <s v="85018"/>
    <m/>
    <x v="2"/>
    <n v="3.105107902499612E-6"/>
    <s v="1.1"/>
    <n v="5.6549978356781026E-4"/>
    <x v="46"/>
    <s v="TRI"/>
  </r>
  <r>
    <s v="110000424611"/>
    <s v="Flint Hills Resources Pine Bend LLC"/>
    <s v="PHENOL"/>
    <s v="108952"/>
    <m/>
    <x v="2"/>
    <n v="3.105107902499612E-6"/>
    <s v="120"/>
    <n v="6.1690885480124739E-2"/>
    <x v="19"/>
    <s v="TRI"/>
  </r>
  <r>
    <s v="110000424611"/>
    <s v="Flint Hills Resources Pine Bend LLC"/>
    <s v="Phenolics, total recoverable"/>
    <s v=""/>
    <n v="11.43"/>
    <x v="2"/>
    <n v="3.105107902499612E-6"/>
    <s v=""/>
    <n v="9.7236666645398797E-8"/>
    <x v="20"/>
    <s v="DMR"/>
  </r>
  <r>
    <s v="110000424611"/>
    <s v="Flint Hills Resources Pine Bend LLC"/>
    <s v="Phosphorus, total (as P)"/>
    <s v="7723140"/>
    <n v="3510.1605519999998"/>
    <x v="2"/>
    <n v="3.105107902499612E-6"/>
    <s v=""/>
    <n v="2.9861444572760544E-5"/>
    <x v="66"/>
    <s v="DMR"/>
  </r>
  <r>
    <s v="110000424611"/>
    <s v="Flint Hills Resources Pine Bend LLC"/>
    <s v="Selenium, total (as Se)"/>
    <s v="7782492"/>
    <n v="1707.4055515"/>
    <x v="2"/>
    <n v="3.105107902499612E-6"/>
    <s v=""/>
    <n v="1.4525146495162623E-5"/>
    <x v="55"/>
    <s v="DMR"/>
  </r>
  <r>
    <s v="110000424611"/>
    <s v="Flint Hills Resources Pine Bend LLC"/>
    <s v="Solids, total suspended"/>
    <s v=""/>
    <n v="28665"/>
    <x v="2"/>
    <n v="3.105107902499612E-6"/>
    <s v=""/>
    <n v="2.4385730965794896E-4"/>
    <x v="22"/>
    <s v="DMR"/>
  </r>
  <r>
    <s v="110000424611"/>
    <s v="Flint Hills Resources Pine Bend LLC"/>
    <s v="Sulfide, total (as S)"/>
    <s v="18496258"/>
    <n v="0"/>
    <x v="2"/>
    <n v="3.105107902499612E-6"/>
    <s v=""/>
    <n v="0"/>
    <x v="23"/>
    <s v="DMR"/>
  </r>
  <r>
    <s v="110000424611"/>
    <s v="Flint Hills Resources Pine Bend LLC"/>
    <s v="TETRACHLOROETHYLENE"/>
    <s v="127184"/>
    <m/>
    <x v="2"/>
    <n v="3.105107902499612E-6"/>
    <s v="9"/>
    <n v="4.6268164110093556E-3"/>
    <x v="50"/>
    <s v="TRI"/>
  </r>
  <r>
    <s v="110000424611"/>
    <s v="Flint Hills Resources Pine Bend LLC"/>
    <s v="TOLUENE"/>
    <s v="108883"/>
    <m/>
    <x v="2"/>
    <n v="3.105107902499612E-6"/>
    <s v="4.5"/>
    <n v="2.3134082055046778E-3"/>
    <x v="24"/>
    <s v="TRI"/>
  </r>
  <r>
    <s v="110000424611"/>
    <s v="Flint Hills Resources Pine Bend LLC"/>
    <s v="VANADIUM AND VANADIUM COMPOUNDS"/>
    <s v="7440622"/>
    <m/>
    <x v="2"/>
    <n v="3.105107902499612E-6"/>
    <s v="41"/>
    <n v="2.1077719205709288E-2"/>
    <x v="78"/>
    <s v="TRI"/>
  </r>
  <r>
    <s v="110000424611"/>
    <s v="Flint Hills Resources Pine Bend LLC"/>
    <s v="XYLENE (MIXED ISOMERS)"/>
    <s v="1330207"/>
    <m/>
    <x v="2"/>
    <n v="3.105107902499612E-6"/>
    <s v="4.5"/>
    <n v="2.3134082055046778E-3"/>
    <x v="25"/>
    <s v="TRI"/>
  </r>
  <r>
    <s v="110000424611"/>
    <s v="Flint Hills Resources Pine Bend LLC"/>
    <s v="ZINC AND ZINC COMPOUNDS"/>
    <s v="7440666"/>
    <m/>
    <x v="2"/>
    <n v="3.105107902499612E-6"/>
    <s v="90"/>
    <n v="4.626816411009356E-2"/>
    <x v="29"/>
    <s v="TRI"/>
  </r>
  <r>
    <s v="110000446134"/>
    <s v="FRONTIER EL DORADO REFINING LLC"/>
    <s v="1,2,4-TRIMETHYLBENZENE"/>
    <s v="95636"/>
    <m/>
    <x v="3"/>
    <n v="7.4074074074074075E-6"/>
    <s v="214"/>
    <n v="0.26244787834191807"/>
    <x v="0"/>
    <s v="TRI"/>
  </r>
  <r>
    <s v="110000446134"/>
    <s v="FRONTIER EL DORADO REFINING LLC"/>
    <s v="1,3-BUTADIENE"/>
    <s v="106990"/>
    <m/>
    <x v="3"/>
    <n v="7.4074074074074075E-6"/>
    <s v="0"/>
    <n v="0"/>
    <x v="30"/>
    <s v="TRI"/>
  </r>
  <r>
    <s v="110000446134"/>
    <s v="FRONTIER EL DORADO REFINING LLC"/>
    <s v="BENZENE"/>
    <s v="71432"/>
    <m/>
    <x v="3"/>
    <n v="7.4074074074074075E-6"/>
    <s v="173"/>
    <n v="0.21216580819229827"/>
    <x v="1"/>
    <s v="TRI"/>
  </r>
  <r>
    <s v="110000446134"/>
    <s v="FRONTIER EL DORADO REFINING LLC"/>
    <s v="BENZO(G,H,I)PERYLENE"/>
    <s v="191242"/>
    <m/>
    <x v="3"/>
    <n v="7.4074074074074075E-6"/>
    <s v="0"/>
    <n v="0"/>
    <x v="32"/>
    <s v="TRI"/>
  </r>
  <r>
    <s v="110000446134"/>
    <s v="FRONTIER EL DORADO REFINING LLC"/>
    <s v="BOD, 5-day, 20 deg. C"/>
    <s v=""/>
    <n v="24865.760791600002"/>
    <x v="3"/>
    <n v="7.4074074074074075E-6"/>
    <s v=""/>
    <n v="5.0463238542059873E-4"/>
    <x v="2"/>
    <s v="DMR"/>
  </r>
  <r>
    <s v="110000446134"/>
    <s v="FRONTIER EL DORADO REFINING LLC"/>
    <s v="Carbon, tot organic (TOC)"/>
    <s v="7440440"/>
    <n v="3304.17694966"/>
    <x v="3"/>
    <n v="7.4074074074074075E-6"/>
    <s v=""/>
    <n v="6.7055848800811769E-5"/>
    <x v="3"/>
    <s v="DMR"/>
  </r>
  <r>
    <s v="110000446134"/>
    <s v="FRONTIER EL DORADO REFINING LLC"/>
    <s v="Chloride (as Cl)"/>
    <s v="16887006"/>
    <n v="567008.57856199995"/>
    <x v="3"/>
    <n v="7.4074074074074075E-6"/>
    <s v=""/>
    <n v="1.1507023410695077E-2"/>
    <x v="69"/>
    <s v="DMR"/>
  </r>
  <r>
    <s v="110000446134"/>
    <s v="FRONTIER EL DORADO REFINING LLC"/>
    <s v="CYCLOHEXANE"/>
    <s v="110827"/>
    <m/>
    <x v="3"/>
    <n v="7.4074074074074075E-6"/>
    <s v="137"/>
    <n v="0.16801569781702233"/>
    <x v="8"/>
    <s v="TRI"/>
  </r>
  <r>
    <s v="110000446134"/>
    <s v="FRONTIER EL DORADO REFINING LLC"/>
    <s v="ETHYLBENZENE"/>
    <s v="100414"/>
    <m/>
    <x v="3"/>
    <n v="7.4074074074074075E-6"/>
    <s v="220"/>
    <n v="0.26980623007113075"/>
    <x v="10"/>
    <s v="TRI"/>
  </r>
  <r>
    <s v="110000446134"/>
    <s v="FRONTIER EL DORADO REFINING LLC"/>
    <s v="Fluoride, total (as F)"/>
    <s v="16984488"/>
    <n v="5251.0686393699998"/>
    <x v="3"/>
    <n v="7.4074074074074075E-6"/>
    <s v=""/>
    <n v="1.0656658831801115E-4"/>
    <x v="94"/>
    <s v="DMR"/>
  </r>
  <r>
    <s v="110000446134"/>
    <s v="FRONTIER EL DORADO REFINING LLC"/>
    <s v="MERCURY AND MERCURY COMPOUNDS"/>
    <s v="N458"/>
    <m/>
    <x v="3"/>
    <n v="7.4074074074074075E-6"/>
    <s v="0.1"/>
    <n v="1.2263919548687762E-4"/>
    <x v="12"/>
    <s v="TRI"/>
  </r>
  <r>
    <s v="110000446134"/>
    <s v="FRONTIER EL DORADO REFINING LLC"/>
    <s v="METHANOL"/>
    <s v="67561"/>
    <m/>
    <x v="3"/>
    <n v="7.4074074074074075E-6"/>
    <s v="0"/>
    <n v="0"/>
    <x v="42"/>
    <s v="TRI"/>
  </r>
  <r>
    <s v="110000446134"/>
    <s v="FRONTIER EL DORADO REFINING LLC"/>
    <s v="MOLYBDENUM TRIOXIDE"/>
    <s v="1313275"/>
    <m/>
    <x v="3"/>
    <n v="7.4074074074074075E-6"/>
    <s v="1000"/>
    <n v="1.2263919548687761"/>
    <x v="44"/>
    <s v="TRI"/>
  </r>
  <r>
    <s v="110000446134"/>
    <s v="FRONTIER EL DORADO REFINING LLC"/>
    <s v="NAPHTHALENE"/>
    <s v="91203"/>
    <m/>
    <x v="3"/>
    <n v="7.4074074074074075E-6"/>
    <s v="0"/>
    <n v="0"/>
    <x v="13"/>
    <s v="TRI"/>
  </r>
  <r>
    <s v="110000446134"/>
    <s v="FRONTIER EL DORADO REFINING LLC"/>
    <s v="N-HEXANE"/>
    <s v="110543"/>
    <m/>
    <x v="3"/>
    <n v="7.4074074074074075E-6"/>
    <s v="0"/>
    <n v="0"/>
    <x v="14"/>
    <s v="TRI"/>
  </r>
  <r>
    <s v="110000446134"/>
    <s v="FRONTIER EL DORADO REFINING LLC"/>
    <s v="NICKEL AND NICKEL COMPOUNDS"/>
    <s v="N495"/>
    <m/>
    <x v="3"/>
    <n v="7.4074074074074075E-6"/>
    <s v="38"/>
    <n v="4.6602894285013491E-2"/>
    <x v="45"/>
    <s v="TRI"/>
  </r>
  <r>
    <s v="110000446134"/>
    <s v="FRONTIER EL DORADO REFINING LLC"/>
    <s v="NITRATE COMPOUNDS"/>
    <s v="14797558"/>
    <m/>
    <x v="3"/>
    <n v="7.4074074074074075E-6"/>
    <s v="68101"/>
    <n v="83.518518518518519"/>
    <x v="15"/>
    <s v="TRI"/>
  </r>
  <r>
    <s v="110000446134"/>
    <s v="FRONTIER EL DORADO REFINING LLC"/>
    <s v="Nitrogen, ammonia total (as N)"/>
    <s v="7664417"/>
    <n v="6010.9627705599996"/>
    <x v="3"/>
    <n v="7.4074074074074075E-6"/>
    <s v=""/>
    <n v="1.2198808260903094E-4"/>
    <x v="16"/>
    <s v="DMR"/>
  </r>
  <r>
    <s v="110000446134"/>
    <s v="FRONTIER EL DORADO REFINING LLC"/>
    <s v="Oil and grease (soxhlet extr.) tot."/>
    <s v=""/>
    <n v="13652.669765369999"/>
    <x v="3"/>
    <n v="7.4074074074074075E-6"/>
    <s v=""/>
    <n v="2.7707092370106543E-4"/>
    <x v="82"/>
    <s v="DMR"/>
  </r>
  <r>
    <s v="110000446134"/>
    <s v="FRONTIER EL DORADO REFINING LLC"/>
    <s v="Chemical Oxygen Demand (COD)"/>
    <s v=""/>
    <n v="220981.82857099999"/>
    <x v="3"/>
    <n v="7.4074074074074075E-6"/>
    <s v=""/>
    <n v="4.4846642023541345E-3"/>
    <x v="18"/>
    <s v="DMR"/>
  </r>
  <r>
    <s v="110000446134"/>
    <s v="FRONTIER EL DORADO REFINING LLC"/>
    <s v="Phenolic compounds, total"/>
    <s v=""/>
    <n v="21.232776747100001"/>
    <x v="3"/>
    <n v="7.4074074074074075E-6"/>
    <s v=""/>
    <n v="4.3090363768848303E-7"/>
    <x v="47"/>
    <s v="DMR"/>
  </r>
  <r>
    <s v="110000446134"/>
    <s v="FRONTIER EL DORADO REFINING LLC"/>
    <s v="POLYCYCLIC AROMATIC COMPOUNDS"/>
    <s v="N590"/>
    <m/>
    <x v="3"/>
    <n v="7.4074074074074075E-6"/>
    <s v="0"/>
    <n v="0"/>
    <x v="21"/>
    <s v="TRI"/>
  </r>
  <r>
    <s v="110000446134"/>
    <s v="FRONTIER EL DORADO REFINING LLC"/>
    <s v="Solids, total suspended"/>
    <s v=""/>
    <n v="28848.7777365"/>
    <x v="3"/>
    <n v="7.4074074074074075E-6"/>
    <s v=""/>
    <n v="5.8546479424657536E-4"/>
    <x v="22"/>
    <s v="DMR"/>
  </r>
  <r>
    <s v="110000446134"/>
    <s v="FRONTIER EL DORADO REFINING LLC"/>
    <s v="Sulfide, total (as S)"/>
    <s v="18496258"/>
    <n v="0"/>
    <x v="3"/>
    <n v="7.4074074074074075E-6"/>
    <s v=""/>
    <n v="0"/>
    <x v="23"/>
    <s v="DMR"/>
  </r>
  <r>
    <s v="110000446134"/>
    <s v="FRONTIER EL DORADO REFINING LLC"/>
    <s v="TOLUENE"/>
    <s v="108883"/>
    <m/>
    <x v="3"/>
    <n v="7.4074074074074075E-6"/>
    <s v="2048"/>
    <n v="2.5116507235712535"/>
    <x v="24"/>
    <s v="TRI"/>
  </r>
  <r>
    <s v="110000446134"/>
    <s v="FRONTIER EL DORADO REFINING LLC"/>
    <s v="XYLENE (MIXED ISOMERS)"/>
    <s v="1330207"/>
    <m/>
    <x v="3"/>
    <n v="7.4074074074074075E-6"/>
    <s v="601"/>
    <n v="0.73706156487613439"/>
    <x v="25"/>
    <s v="TRI"/>
  </r>
  <r>
    <s v="110000468048"/>
    <s v="Frontier Refinery"/>
    <s v="1,2,4-TRIMETHYLBENZENE"/>
    <s v="95636"/>
    <m/>
    <x v="3"/>
    <n v="1.8813967489464178E-5"/>
    <s v="0"/>
    <n v="0"/>
    <x v="0"/>
    <s v="TRI"/>
  </r>
  <r>
    <s v="110000468048"/>
    <s v="Frontier Refinery"/>
    <s v="1,3-BUTADIENE"/>
    <s v="106990"/>
    <m/>
    <x v="3"/>
    <n v="1.8813967489464178E-5"/>
    <s v="0"/>
    <n v="0"/>
    <x v="30"/>
    <s v="TRI"/>
  </r>
  <r>
    <s v="110000468048"/>
    <s v="Frontier Refinery"/>
    <s v="ANTHRACENE"/>
    <s v="120127"/>
    <m/>
    <x v="3"/>
    <n v="1.8813967489464178E-5"/>
    <s v="0"/>
    <n v="0"/>
    <x v="31"/>
    <s v="TRI"/>
  </r>
  <r>
    <s v="110000468048"/>
    <s v="Frontier Refinery"/>
    <s v="BENZENE"/>
    <s v="71432"/>
    <m/>
    <x v="3"/>
    <n v="1.8813967489464178E-5"/>
    <s v="0"/>
    <n v="0"/>
    <x v="1"/>
    <s v="TRI"/>
  </r>
  <r>
    <s v="110000468048"/>
    <s v="Frontier Refinery"/>
    <s v="BENZO(G,H,I)PERYLENE"/>
    <s v="191242"/>
    <m/>
    <x v="3"/>
    <n v="1.8813967489464178E-5"/>
    <s v="0"/>
    <n v="0"/>
    <x v="32"/>
    <s v="TRI"/>
  </r>
  <r>
    <s v="110000468048"/>
    <s v="Frontier Refinery"/>
    <s v="BIPHENYL"/>
    <s v="92524"/>
    <m/>
    <x v="3"/>
    <n v="1.8813967489464178E-5"/>
    <s v="0"/>
    <n v="0"/>
    <x v="52"/>
    <s v="TRI"/>
  </r>
  <r>
    <s v="110000468048"/>
    <s v="Frontier Refinery"/>
    <s v="BOD, 5-day, 20 deg. C"/>
    <s v=""/>
    <n v="2031.97278912"/>
    <x v="3"/>
    <n v="1.8813967489464178E-5"/>
    <s v=""/>
    <n v="1.047382739561083E-4"/>
    <x v="2"/>
    <s v="DMR"/>
  </r>
  <r>
    <s v="110000468048"/>
    <s v="Frontier Refinery"/>
    <s v="CARBON DISULFIDE"/>
    <s v="75150"/>
    <m/>
    <x v="3"/>
    <n v="1.8813967489464178E-5"/>
    <s v="0"/>
    <n v="0"/>
    <x v="34"/>
    <s v="TRI"/>
  </r>
  <r>
    <s v="110000468048"/>
    <s v="Frontier Refinery"/>
    <s v="CARBONYL SULFIDE"/>
    <s v="463581"/>
    <m/>
    <x v="3"/>
    <n v="1.8813967489464178E-5"/>
    <s v="0"/>
    <n v="0"/>
    <x v="35"/>
    <s v="TRI"/>
  </r>
  <r>
    <s v="110000468048"/>
    <s v="Frontier Refinery"/>
    <s v="Chloride (as Cl)"/>
    <s v="16887006"/>
    <n v="107713.53"/>
    <x v="3"/>
    <n v="1.8813967489464178E-5"/>
    <s v=""/>
    <n v="5.5521064427271902E-3"/>
    <x v="69"/>
    <s v="DMR"/>
  </r>
  <r>
    <s v="110000468048"/>
    <s v="Frontier Refinery"/>
    <s v="COBALT AND COBALT COMPOUNDS"/>
    <s v="7440484"/>
    <m/>
    <x v="3"/>
    <n v="1.8813967489464178E-5"/>
    <s v="0"/>
    <n v="0"/>
    <x v="76"/>
    <s v="TRI"/>
  </r>
  <r>
    <s v="110000468048"/>
    <s v="Frontier Refinery"/>
    <s v="CUMENE"/>
    <s v="98828"/>
    <m/>
    <x v="3"/>
    <n v="1.8813967489464178E-5"/>
    <s v="0"/>
    <n v="0"/>
    <x v="6"/>
    <s v="TRI"/>
  </r>
  <r>
    <s v="110000468048"/>
    <s v="Frontier Refinery"/>
    <s v="CYCLOHEXANE"/>
    <s v="110827"/>
    <m/>
    <x v="3"/>
    <n v="1.8813967489464178E-5"/>
    <s v="0"/>
    <n v="0"/>
    <x v="8"/>
    <s v="TRI"/>
  </r>
  <r>
    <s v="110000468048"/>
    <s v="Frontier Refinery"/>
    <s v="DIETHANOLAMINE"/>
    <s v="111422"/>
    <m/>
    <x v="3"/>
    <n v="1.8813967489464178E-5"/>
    <s v="0"/>
    <n v="0"/>
    <x v="9"/>
    <s v="TRI"/>
  </r>
  <r>
    <s v="110000468048"/>
    <s v="Frontier Refinery"/>
    <s v="ETHYLBENZENE"/>
    <s v="100414"/>
    <m/>
    <x v="3"/>
    <n v="1.8813967489464178E-5"/>
    <s v="0"/>
    <n v="0"/>
    <x v="10"/>
    <s v="TRI"/>
  </r>
  <r>
    <s v="110000468048"/>
    <s v="Frontier Refinery"/>
    <s v="ETHYLENE"/>
    <s v="74851"/>
    <m/>
    <x v="3"/>
    <n v="1.8813967489464178E-5"/>
    <s v="0"/>
    <n v="0"/>
    <x v="38"/>
    <s v="TRI"/>
  </r>
  <r>
    <s v="110000468048"/>
    <s v="Frontier Refinery"/>
    <s v="HYDROGEN FLUORIDE"/>
    <s v="7664393"/>
    <m/>
    <x v="3"/>
    <n v="1.8813967489464178E-5"/>
    <s v="0"/>
    <n v="0"/>
    <x v="77"/>
    <s v="TRI"/>
  </r>
  <r>
    <s v="110000468048"/>
    <s v="Frontier Refinery"/>
    <s v="LEAD AND LEAD COMPOUNDS"/>
    <s v="7439921"/>
    <m/>
    <x v="3"/>
    <n v="1.8813967489464178E-5"/>
    <s v="0"/>
    <n v="0"/>
    <x v="11"/>
    <s v="TRI"/>
  </r>
  <r>
    <s v="110000468048"/>
    <s v="Frontier Refinery"/>
    <s v="Manganese, dissolved (as Mn)"/>
    <s v="7439965"/>
    <n v="12.5665785"/>
    <x v="3"/>
    <n v="1.8813967489464178E-5"/>
    <s v=""/>
    <n v="6.4774575165150556E-7"/>
    <x v="120"/>
    <s v="DMR"/>
  </r>
  <r>
    <s v="110000468048"/>
    <s v="Frontier Refinery"/>
    <s v="MERCURY AND MERCURY COMPOUNDS"/>
    <s v="N458"/>
    <m/>
    <x v="3"/>
    <n v="1.8813967489464178E-5"/>
    <s v="0"/>
    <n v="0"/>
    <x v="12"/>
    <s v="TRI"/>
  </r>
  <r>
    <s v="110000468048"/>
    <s v="Frontier Refinery"/>
    <s v="MOLYBDENUM TRIOXIDE"/>
    <s v="1313275"/>
    <m/>
    <x v="3"/>
    <n v="1.8813967489464178E-5"/>
    <s v="0"/>
    <n v="0"/>
    <x v="44"/>
    <s v="TRI"/>
  </r>
  <r>
    <s v="110000468048"/>
    <s v="Frontier Refinery"/>
    <s v="NAPHTHALENE"/>
    <s v="91203"/>
    <m/>
    <x v="3"/>
    <n v="1.8813967489464178E-5"/>
    <s v="0"/>
    <n v="0"/>
    <x v="13"/>
    <s v="TRI"/>
  </r>
  <r>
    <s v="110000468048"/>
    <s v="Frontier Refinery"/>
    <s v="N-HEXANE"/>
    <s v="110543"/>
    <m/>
    <x v="3"/>
    <n v="1.8813967489464178E-5"/>
    <s v="0"/>
    <n v="0"/>
    <x v="14"/>
    <s v="TRI"/>
  </r>
  <r>
    <s v="110000468048"/>
    <s v="Frontier Refinery"/>
    <s v="NICKEL AND NICKEL COMPOUNDS"/>
    <s v="N495"/>
    <m/>
    <x v="3"/>
    <n v="1.8813967489464178E-5"/>
    <s v="0"/>
    <n v="0"/>
    <x v="45"/>
    <s v="TRI"/>
  </r>
  <r>
    <s v="110000468048"/>
    <s v="Frontier Refinery"/>
    <s v="Nickel, dissolved (as Ni)"/>
    <s v="7440020"/>
    <n v="0.5834482875"/>
    <x v="3"/>
    <n v="1.8813967489464178E-5"/>
    <s v=""/>
    <n v="3.0073909898105615E-8"/>
    <x v="121"/>
    <s v="DMR"/>
  </r>
  <r>
    <s v="110000468048"/>
    <s v="Frontier Refinery"/>
    <s v="Nitrogen, ammonia total (as N)"/>
    <s v="7664417"/>
    <n v="134.82993197299999"/>
    <x v="3"/>
    <n v="1.8813967489464178E-5"/>
    <s v=""/>
    <n v="6.949824539032023E-6"/>
    <x v="16"/>
    <s v="DMR"/>
  </r>
  <r>
    <s v="110000468048"/>
    <s v="Frontier Refinery"/>
    <s v="Chemical Oxygen Demand (COD)"/>
    <s v=""/>
    <n v="26089.387755100001"/>
    <x v="3"/>
    <n v="1.8813967489464178E-5"/>
    <s v=""/>
    <n v="1.3447805288889759E-3"/>
    <x v="18"/>
    <s v="DMR"/>
  </r>
  <r>
    <s v="110000468048"/>
    <s v="Frontier Refinery"/>
    <s v="PHENANTHRENE"/>
    <s v="85018"/>
    <m/>
    <x v="3"/>
    <n v="1.8813967489464178E-5"/>
    <s v="0"/>
    <n v="0"/>
    <x v="46"/>
    <s v="TRI"/>
  </r>
  <r>
    <s v="110000468048"/>
    <s v="Frontier Refinery"/>
    <s v="POLYCYCLIC AROMATIC COMPOUNDS"/>
    <s v="N590"/>
    <m/>
    <x v="3"/>
    <n v="1.8813967489464178E-5"/>
    <s v="0"/>
    <n v="0"/>
    <x v="21"/>
    <s v="TRI"/>
  </r>
  <r>
    <s v="110000468048"/>
    <s v="Frontier Refinery"/>
    <s v="PROPYLENE"/>
    <s v="115071"/>
    <m/>
    <x v="3"/>
    <n v="1.8813967489464178E-5"/>
    <s v="0"/>
    <n v="0"/>
    <x v="54"/>
    <s v="TRI"/>
  </r>
  <r>
    <s v="110000468048"/>
    <s v="Frontier Refinery"/>
    <s v="Selenium, total (as Se)"/>
    <s v="7782492"/>
    <n v="22.440318749999999"/>
    <x v="3"/>
    <n v="1.8813967489464178E-5"/>
    <s v=""/>
    <n v="1.1566888422348313E-6"/>
    <x v="55"/>
    <s v="DMR"/>
  </r>
  <r>
    <s v="110000468048"/>
    <s v="Frontier Refinery"/>
    <s v="Solids, total suspended"/>
    <s v=""/>
    <n v="231.972789116"/>
    <x v="3"/>
    <n v="1.8813967489464178E-5"/>
    <s v=""/>
    <n v="1.1957064418818503E-5"/>
    <x v="22"/>
    <s v="DMR"/>
  </r>
  <r>
    <s v="110000468048"/>
    <s v="Frontier Refinery"/>
    <s v="STYRENE"/>
    <s v="100425"/>
    <m/>
    <x v="3"/>
    <n v="1.8813967489464178E-5"/>
    <s v="0"/>
    <n v="0"/>
    <x v="48"/>
    <s v="TRI"/>
  </r>
  <r>
    <s v="110000468048"/>
    <s v="Frontier Refinery"/>
    <s v="TETRACHLOROETHYLENE"/>
    <s v="127184"/>
    <m/>
    <x v="3"/>
    <n v="1.8813967489464178E-5"/>
    <s v="0"/>
    <n v="0"/>
    <x v="50"/>
    <s v="TRI"/>
  </r>
  <r>
    <s v="110000468048"/>
    <s v="Frontier Refinery"/>
    <s v="TOLUENE"/>
    <s v="108883"/>
    <m/>
    <x v="3"/>
    <n v="1.8813967489464178E-5"/>
    <s v="0"/>
    <n v="0"/>
    <x v="24"/>
    <s v="TRI"/>
  </r>
  <r>
    <s v="110000468048"/>
    <s v="Frontier Refinery"/>
    <s v="XYLENE (MIXED ISOMERS)"/>
    <s v="1330207"/>
    <m/>
    <x v="3"/>
    <n v="1.8813967489464178E-5"/>
    <s v="0"/>
    <n v="0"/>
    <x v="25"/>
    <s v="TRI"/>
  </r>
  <r>
    <s v="110000468048"/>
    <s v="Frontier Refinery"/>
    <s v="Zinc, dissolved (as Zn)"/>
    <s v="7440666"/>
    <n v="7.6297083749999999"/>
    <x v="3"/>
    <n v="1.8813967489464178E-5"/>
    <s v=""/>
    <n v="3.9327420635984261E-7"/>
    <x v="122"/>
    <s v="DMR"/>
  </r>
  <r>
    <s v="110000463784"/>
    <s v="GALVESTON BAY REFINERY"/>
    <s v="BOD, 5-day, 20 deg. C"/>
    <s v=""/>
    <n v="147921.07624289999"/>
    <x v="2"/>
    <n v="2.1885840948412623E-6"/>
    <s v=""/>
    <n v="8.8695264316989754E-4"/>
    <x v="2"/>
    <s v="DMR"/>
  </r>
  <r>
    <s v="110000463784"/>
    <s v="GALVESTON BAY REFINERY"/>
    <s v="Carbon, tot organic (TOC)"/>
    <s v="7440440"/>
    <n v="510217.78467023"/>
    <x v="2"/>
    <n v="2.1885840948412623E-6"/>
    <s v=""/>
    <n v="3.0593274751627652E-3"/>
    <x v="3"/>
    <s v="DMR"/>
  </r>
  <r>
    <s v="110000463784"/>
    <s v="GALVESTON BAY REFINERY"/>
    <s v="Chlorine, total residual"/>
    <s v="7782505"/>
    <n v="9.9383708454500006"/>
    <x v="2"/>
    <n v="2.1885840948412623E-6"/>
    <s v=""/>
    <n v="5.9591672221879397E-8"/>
    <x v="53"/>
    <s v="DMR"/>
  </r>
  <r>
    <s v="110000463784"/>
    <s v="GALVESTON BAY REFINERY"/>
    <s v="Chromium, hexavalent (as Cr)"/>
    <s v="18540299"/>
    <n v="0"/>
    <x v="2"/>
    <n v="2.1885840948412623E-6"/>
    <s v=""/>
    <n v="0"/>
    <x v="4"/>
    <s v="DMR"/>
  </r>
  <r>
    <s v="110000463784"/>
    <s v="GALVESTON BAY REFINERY"/>
    <s v="Chromium, total (as Cr)"/>
    <s v="7440473"/>
    <n v="0"/>
    <x v="2"/>
    <n v="2.1885840948412623E-6"/>
    <s v=""/>
    <n v="0"/>
    <x v="5"/>
    <s v="DMR"/>
  </r>
  <r>
    <s v="110000463784"/>
    <s v="GALVESTON BAY REFINERY"/>
    <s v="Nitrogen, ammonia total (as N)"/>
    <s v="7664417"/>
    <n v="47334.070416799994"/>
    <x v="2"/>
    <n v="2.1885840948412623E-6"/>
    <s v=""/>
    <n v="2.8382080454330074E-4"/>
    <x v="16"/>
    <s v="DMR"/>
  </r>
  <r>
    <s v="110000463784"/>
    <s v="GALVESTON BAY REFINERY"/>
    <s v="Oil &amp; grease"/>
    <s v=""/>
    <n v="169455.16937054499"/>
    <x v="2"/>
    <n v="2.1885840948412623E-6"/>
    <s v=""/>
    <n v="1.0160736670493341E-3"/>
    <x v="28"/>
    <s v="DMR"/>
  </r>
  <r>
    <s v="110000463784"/>
    <s v="GALVESTON BAY REFINERY"/>
    <s v="Oxygen, dissolved (DO)"/>
    <s v="7782447"/>
    <n v="74085.094322399993"/>
    <x v="2"/>
    <n v="2.1885840948412623E-6"/>
    <s v=""/>
    <n v="4.442231756132036E-4"/>
    <x v="72"/>
    <s v="DMR"/>
  </r>
  <r>
    <s v="110000463784"/>
    <s v="GALVESTON BAY REFINERY"/>
    <s v="Phenolics, total recoverable"/>
    <s v=""/>
    <n v="320.47578231299997"/>
    <x v="2"/>
    <n v="2.1885840948412623E-6"/>
    <s v=""/>
    <n v="1.9216115067179243E-6"/>
    <x v="20"/>
    <s v="DMR"/>
  </r>
  <r>
    <s v="110000463784"/>
    <s v="GALVESTON BAY REFINERY"/>
    <s v="Selenium, total (as Se)"/>
    <s v="7782492"/>
    <n v="71.590204081600007"/>
    <x v="2"/>
    <n v="2.1885840948412623E-6"/>
    <s v=""/>
    <n v="4.2926351232720491E-7"/>
    <x v="55"/>
    <s v="DMR"/>
  </r>
  <r>
    <s v="110000463784"/>
    <s v="GALVESTON BAY REFINERY"/>
    <s v="Solids, total suspended"/>
    <s v=""/>
    <n v="162048.5621559"/>
    <x v="2"/>
    <n v="2.1885840948412623E-6"/>
    <s v=""/>
    <n v="9.7166275541451619E-4"/>
    <x v="22"/>
    <s v="DMR"/>
  </r>
  <r>
    <s v="110000463784"/>
    <s v="GALVESTON BAY REFINERY"/>
    <s v="Sulfide, total (as S)"/>
    <s v="18496258"/>
    <n v="201.5120181403"/>
    <x v="2"/>
    <n v="2.1885840948412623E-6"/>
    <s v=""/>
    <n v="1.2082904049896562E-6"/>
    <x v="23"/>
    <s v="DMR"/>
  </r>
  <r>
    <s v="110000463784"/>
    <s v="GALVESTON BAY REFINERY"/>
    <s v="Zinc, total (as Zn)"/>
    <s v="7440666"/>
    <n v="880.859282119"/>
    <x v="2"/>
    <n v="2.1885840948412623E-6"/>
    <s v=""/>
    <n v="5.2817386702436588E-6"/>
    <x v="98"/>
    <s v="DMR"/>
  </r>
  <r>
    <s v="110000469136"/>
    <s v="Holly Corp: HRMC and HEP Woods Cross Operations"/>
    <s v="1,2,4-TRIMETHYLBENZENE"/>
    <s v="95636"/>
    <m/>
    <x v="1"/>
    <n v="3.3955857385398982E-5"/>
    <s v="0"/>
    <n v="0"/>
    <x v="0"/>
    <s v="TRI"/>
  </r>
  <r>
    <s v="110000469136"/>
    <s v="Holly Corp: HRMC and HEP Woods Cross Operations"/>
    <s v="1,3-BUTADIENE"/>
    <s v="106990"/>
    <m/>
    <x v="1"/>
    <n v="3.3955857385398982E-5"/>
    <s v="0"/>
    <n v="0"/>
    <x v="30"/>
    <s v="TRI"/>
  </r>
  <r>
    <s v="110000469136"/>
    <s v="Holly Corp: HRMC and HEP Woods Cross Operations"/>
    <s v="BENZENE"/>
    <s v="71432"/>
    <m/>
    <x v="1"/>
    <n v="3.3955857385398982E-5"/>
    <s v="0"/>
    <n v="0"/>
    <x v="1"/>
    <s v="TRI"/>
  </r>
  <r>
    <s v="110000469136"/>
    <s v="Holly Corp: HRMC and HEP Woods Cross Operations"/>
    <s v="BENZO(G,H,I)PERYLENE"/>
    <s v="191242"/>
    <m/>
    <x v="1"/>
    <n v="3.3955857385398982E-5"/>
    <s v="0"/>
    <n v="0"/>
    <x v="32"/>
    <s v="TRI"/>
  </r>
  <r>
    <s v="110000469136"/>
    <s v="Holly Corp: HRMC and HEP Woods Cross Operations"/>
    <s v="CARBON DISULFIDE"/>
    <s v="75150"/>
    <m/>
    <x v="1"/>
    <n v="3.3955857385398982E-5"/>
    <s v="0"/>
    <n v="0"/>
    <x v="34"/>
    <s v="TRI"/>
  </r>
  <r>
    <s v="110000469136"/>
    <s v="Holly Corp: HRMC and HEP Woods Cross Operations"/>
    <s v="CARBONYL SULFIDE"/>
    <s v="463581"/>
    <m/>
    <x v="1"/>
    <n v="3.3955857385398982E-5"/>
    <s v="0"/>
    <n v="0"/>
    <x v="35"/>
    <s v="TRI"/>
  </r>
  <r>
    <s v="110000469136"/>
    <s v="Holly Corp: HRMC and HEP Woods Cross Operations"/>
    <s v="CUMENE"/>
    <s v="98828"/>
    <m/>
    <x v="1"/>
    <n v="3.3955857385398982E-5"/>
    <s v="0"/>
    <n v="0"/>
    <x v="6"/>
    <s v="TRI"/>
  </r>
  <r>
    <s v="110000469136"/>
    <s v="Holly Corp: HRMC and HEP Woods Cross Operations"/>
    <s v="CYCLOHEXANE"/>
    <s v="110827"/>
    <m/>
    <x v="1"/>
    <n v="3.3955857385398982E-5"/>
    <s v="0"/>
    <n v="0"/>
    <x v="8"/>
    <s v="TRI"/>
  </r>
  <r>
    <s v="110000469136"/>
    <s v="Holly Corp: HRMC and HEP Woods Cross Operations"/>
    <s v="ETHYLBENZENE"/>
    <s v="100414"/>
    <m/>
    <x v="1"/>
    <n v="3.3955857385398982E-5"/>
    <s v="0"/>
    <n v="0"/>
    <x v="10"/>
    <s v="TRI"/>
  </r>
  <r>
    <s v="110000469136"/>
    <s v="Holly Corp: HRMC and HEP Woods Cross Operations"/>
    <s v="ETHYLENE"/>
    <s v="74851"/>
    <m/>
    <x v="1"/>
    <n v="3.3955857385398982E-5"/>
    <s v="0"/>
    <n v="0"/>
    <x v="38"/>
    <s v="TRI"/>
  </r>
  <r>
    <s v="110000469136"/>
    <s v="Holly Corp: HRMC and HEP Woods Cross Operations"/>
    <s v="HYDROGEN FLUORIDE"/>
    <s v="7664393"/>
    <m/>
    <x v="1"/>
    <n v="3.3955857385398982E-5"/>
    <s v="0"/>
    <n v="0"/>
    <x v="77"/>
    <s v="TRI"/>
  </r>
  <r>
    <s v="110000469136"/>
    <s v="Holly Corp: HRMC and HEP Woods Cross Operations"/>
    <s v="LEAD AND LEAD COMPOUNDS"/>
    <s v="7439921"/>
    <m/>
    <x v="1"/>
    <n v="3.3955857385398982E-5"/>
    <s v="0"/>
    <n v="0"/>
    <x v="11"/>
    <s v="TRI"/>
  </r>
  <r>
    <s v="110000469136"/>
    <s v="Holly Corp: HRMC and HEP Woods Cross Operations"/>
    <s v="MERCURY AND MERCURY COMPOUNDS"/>
    <s v="N458"/>
    <m/>
    <x v="1"/>
    <n v="3.3955857385398982E-5"/>
    <s v="0"/>
    <n v="0"/>
    <x v="12"/>
    <s v="TRI"/>
  </r>
  <r>
    <s v="110000469136"/>
    <s v="Holly Corp: HRMC and HEP Woods Cross Operations"/>
    <s v="METHANOL"/>
    <s v="67561"/>
    <m/>
    <x v="1"/>
    <n v="3.3955857385398982E-5"/>
    <s v="0"/>
    <n v="0"/>
    <x v="42"/>
    <s v="TRI"/>
  </r>
  <r>
    <s v="110000469136"/>
    <s v="Holly Corp: HRMC and HEP Woods Cross Operations"/>
    <s v="NAPHTHALENE"/>
    <s v="91203"/>
    <m/>
    <x v="1"/>
    <n v="3.3955857385398982E-5"/>
    <s v="0"/>
    <n v="0"/>
    <x v="13"/>
    <s v="TRI"/>
  </r>
  <r>
    <s v="110000469136"/>
    <s v="Holly Corp: HRMC and HEP Woods Cross Operations"/>
    <s v="N-HEXANE"/>
    <s v="110543"/>
    <m/>
    <x v="1"/>
    <n v="3.3955857385398982E-5"/>
    <s v="0"/>
    <n v="0"/>
    <x v="14"/>
    <s v="TRI"/>
  </r>
  <r>
    <s v="110000469136"/>
    <s v="Holly Corp: HRMC and HEP Woods Cross Operations"/>
    <s v="POLYCYCLIC AROMATIC COMPOUNDS"/>
    <s v="N590"/>
    <m/>
    <x v="1"/>
    <n v="3.3955857385398982E-5"/>
    <s v="0"/>
    <n v="0"/>
    <x v="21"/>
    <s v="TRI"/>
  </r>
  <r>
    <s v="110000469136"/>
    <s v="Holly Corp: HRMC and HEP Woods Cross Operations"/>
    <s v="PROPYLENE"/>
    <s v="115071"/>
    <m/>
    <x v="1"/>
    <n v="3.3955857385398982E-5"/>
    <s v="0"/>
    <n v="0"/>
    <x v="54"/>
    <s v="TRI"/>
  </r>
  <r>
    <s v="110000469136"/>
    <s v="Holly Corp: HRMC and HEP Woods Cross Operations"/>
    <s v="Solids, total suspended"/>
    <s v=""/>
    <n v="0"/>
    <x v="1"/>
    <n v="3.3955857385398982E-5"/>
    <s v=""/>
    <n v="0"/>
    <x v="22"/>
    <s v="DMR"/>
  </r>
  <r>
    <s v="110000469136"/>
    <s v="Holly Corp: HRMC and HEP Woods Cross Operations"/>
    <s v="STYRENE"/>
    <s v="100425"/>
    <m/>
    <x v="1"/>
    <n v="3.3955857385398982E-5"/>
    <s v="0"/>
    <n v="0"/>
    <x v="48"/>
    <s v="TRI"/>
  </r>
  <r>
    <s v="110000469136"/>
    <s v="Holly Corp: HRMC and HEP Woods Cross Operations"/>
    <s v="TOLUENE"/>
    <s v="108883"/>
    <m/>
    <x v="1"/>
    <n v="3.3955857385398982E-5"/>
    <s v="0"/>
    <n v="0"/>
    <x v="24"/>
    <s v="TRI"/>
  </r>
  <r>
    <s v="110000469136"/>
    <s v="Holly Corp: HRMC and HEP Woods Cross Operations"/>
    <s v="XYLENE (MIXED ISOMERS)"/>
    <s v="1330207"/>
    <m/>
    <x v="1"/>
    <n v="3.3955857385398982E-5"/>
    <s v="0"/>
    <n v="0"/>
    <x v="25"/>
    <s v="TRI"/>
  </r>
  <r>
    <s v="110000460885"/>
    <s v="HOUSTON REFINERY"/>
    <s v="BOD, carbonaceous, 05 day, 20 C"/>
    <s v=""/>
    <n v="5794.5260771000003"/>
    <x v="4"/>
    <n v="1.0973317475523551E-5"/>
    <s v=""/>
    <n v="1.742059568882695E-4"/>
    <x v="33"/>
    <s v="DMR"/>
  </r>
  <r>
    <s v="110000460885"/>
    <s v="HOUSTON REFINERY"/>
    <s v="Chromium, hexavalent (as Cr)"/>
    <s v="18540299"/>
    <n v="26.426757369600001"/>
    <x v="4"/>
    <n v="1.0973317475523551E-5"/>
    <s v=""/>
    <n v="7.9449095469932192E-7"/>
    <x v="4"/>
    <s v="DMR"/>
  </r>
  <r>
    <s v="110000460885"/>
    <s v="HOUSTON REFINERY"/>
    <s v="Chromium, total (as Cr)"/>
    <s v="7440473"/>
    <n v="17.651700680299999"/>
    <x v="4"/>
    <n v="1.0973317475523551E-5"/>
    <s v=""/>
    <n v="5.306786727338273E-7"/>
    <x v="5"/>
    <s v="DMR"/>
  </r>
  <r>
    <s v="110000460885"/>
    <s v="HOUSTON REFINERY"/>
    <s v="CYANIDE COMPOUNDS"/>
    <s v="N106"/>
    <m/>
    <x v="4"/>
    <n v="1.0973317475523551E-5"/>
    <s v="62"/>
    <n v="0.11264001382159938"/>
    <x v="7"/>
    <s v="TRI"/>
  </r>
  <r>
    <s v="110000460885"/>
    <s v="HOUSTON REFINERY"/>
    <s v="Cyanide, free (amen. to chlorination)"/>
    <s v="57125"/>
    <n v="25.2096145125"/>
    <x v="4"/>
    <n v="1.0973317475523551E-5"/>
    <s v=""/>
    <n v="7.578989136472011E-7"/>
    <x v="93"/>
    <s v="DMR"/>
  </r>
  <r>
    <s v="110000460885"/>
    <s v="HOUSTON REFINERY"/>
    <s v="MANGANESE AND MANGANESE COMPOUNDS"/>
    <s v="7439965"/>
    <m/>
    <x v="4"/>
    <n v="1.0973317475523551E-5"/>
    <s v="41"/>
    <n v="7.4487751075573788E-2"/>
    <x v="62"/>
    <s v="TRI"/>
  </r>
  <r>
    <s v="110000460885"/>
    <s v="HOUSTON REFINERY"/>
    <s v="NICKEL AND NICKEL COMPOUNDS"/>
    <s v="N495"/>
    <m/>
    <x v="4"/>
    <n v="1.0973317475523551E-5"/>
    <s v="3"/>
    <n v="5.4503232494322283E-3"/>
    <x v="45"/>
    <s v="TRI"/>
  </r>
  <r>
    <s v="110000460885"/>
    <s v="HOUSTON REFINERY"/>
    <s v="NITRATE COMPOUNDS"/>
    <s v="14797558"/>
    <m/>
    <x v="4"/>
    <n v="1.0973317475523551E-5"/>
    <s v="260455"/>
    <n v="473.18798064362363"/>
    <x v="15"/>
    <s v="TRI"/>
  </r>
  <r>
    <s v="110000460885"/>
    <s v="HOUSTON REFINERY"/>
    <s v="Nitrogen, ammonia total (as N)"/>
    <s v="7664417"/>
    <n v="1825.8049886599999"/>
    <x v="4"/>
    <n v="1.0973317475523551E-5"/>
    <s v=""/>
    <n v="5.489078846290646E-5"/>
    <x v="16"/>
    <s v="DMR"/>
  </r>
  <r>
    <s v="110000460885"/>
    <s v="HOUSTON REFINERY"/>
    <s v="Oil &amp; grease"/>
    <s v=""/>
    <n v="8910.2418773999998"/>
    <x v="4"/>
    <n v="1.0973317475523551E-5"/>
    <s v=""/>
    <n v="2.6787647371072658E-4"/>
    <x v="28"/>
    <s v="DMR"/>
  </r>
  <r>
    <s v="110000460885"/>
    <s v="HOUSTON REFINERY"/>
    <s v="Chemical Oxygen Demand (COD)"/>
    <s v=""/>
    <n v="201648.59777150003"/>
    <x v="4"/>
    <n v="1.0973317475523551E-5"/>
    <s v=""/>
    <n v="6.0623399502488249E-3"/>
    <x v="18"/>
    <s v="DMR"/>
  </r>
  <r>
    <s v="110000460885"/>
    <s v="HOUSTON REFINERY"/>
    <s v="PHENOL"/>
    <s v="108952"/>
    <m/>
    <x v="4"/>
    <n v="1.0973317475523551E-5"/>
    <s v="253"/>
    <n v="0.45964392736878457"/>
    <x v="19"/>
    <s v="TRI"/>
  </r>
  <r>
    <s v="110000460885"/>
    <s v="HOUSTON REFINERY"/>
    <s v="Phenols"/>
    <s v=""/>
    <n v="121.507936508"/>
    <x v="4"/>
    <n v="1.0973317475523551E-5"/>
    <s v=""/>
    <n v="3.6530004468439524E-6"/>
    <x v="73"/>
    <s v="DMR"/>
  </r>
  <r>
    <s v="110000460885"/>
    <s v="HOUSTON REFINERY"/>
    <s v="Solids, total suspended"/>
    <s v=""/>
    <n v="29097.505668900001"/>
    <x v="4"/>
    <n v="1.0973317475523551E-5"/>
    <s v=""/>
    <n v="8.7478402041283839E-4"/>
    <x v="22"/>
    <s v="DMR"/>
  </r>
  <r>
    <s v="110000460885"/>
    <s v="HOUSTON REFINERY"/>
    <s v="Sulfide, total (as S)"/>
    <s v="18496258"/>
    <n v="474.88435374099998"/>
    <x v="4"/>
    <n v="1.0973317475523551E-5"/>
    <s v=""/>
    <n v="1.427686788427075E-5"/>
    <x v="23"/>
    <s v="DMR"/>
  </r>
  <r>
    <s v="110000460885"/>
    <s v="HOUSTON REFINERY"/>
    <s v="Zinc, total (as Zn)"/>
    <s v="7440666"/>
    <n v="353.68253968300002"/>
    <x v="4"/>
    <n v="1.0973317475523551E-5"/>
    <s v=""/>
    <n v="1.0633070667098675E-5"/>
    <x v="98"/>
    <s v="DMR"/>
  </r>
  <r>
    <s v="110015737210"/>
    <s v="HOUSTON REFINING OPERATION"/>
    <s v="Benzene"/>
    <s v="71432"/>
    <n v="0"/>
    <x v="3"/>
    <n v="3.6850693014817894E-6"/>
    <s v=""/>
    <n v="0"/>
    <x v="1"/>
    <s v="DMR"/>
  </r>
  <r>
    <s v="110015737210"/>
    <s v="HOUSTON REFINING OPERATION"/>
    <s v="Benzo(a)anthracene"/>
    <s v="56553"/>
    <n v="0"/>
    <x v="3"/>
    <n v="3.6850693014817894E-6"/>
    <s v=""/>
    <n v="0"/>
    <x v="104"/>
    <s v="DMR"/>
  </r>
  <r>
    <s v="110015737210"/>
    <s v="HOUSTON REFINING OPERATION"/>
    <s v="BENZO(G,H,I)PERYLENE"/>
    <s v="191242"/>
    <m/>
    <x v="3"/>
    <n v="3.6850693014817894E-6"/>
    <s v="0.59"/>
    <n v="3.5996537878712841E-4"/>
    <x v="32"/>
    <s v="TRI"/>
  </r>
  <r>
    <s v="110015737210"/>
    <s v="HOUSTON REFINING OPERATION"/>
    <s v="BOD, 5-day, 20 deg. C"/>
    <s v=""/>
    <n v="6079.4783549999993"/>
    <x v="3"/>
    <n v="3.6850693014817894E-6"/>
    <s v=""/>
    <n v="6.137890152063975E-5"/>
    <x v="2"/>
    <s v="DMR"/>
  </r>
  <r>
    <s v="110015737210"/>
    <s v="HOUSTON REFINING OPERATION"/>
    <s v="Cadmium, total (as Cd)"/>
    <s v="7440439"/>
    <n v="0"/>
    <x v="3"/>
    <n v="3.6850693014817894E-6"/>
    <s v=""/>
    <n v="0"/>
    <x v="123"/>
    <s v="DMR"/>
  </r>
  <r>
    <s v="110015737210"/>
    <s v="HOUSTON REFINING OPERATION"/>
    <s v="Carbon, tot organic (TOC)"/>
    <s v="7440440"/>
    <n v="8858.2058250000009"/>
    <x v="3"/>
    <n v="3.6850693014817894E-6"/>
    <s v=""/>
    <n v="8.9433157128533352E-5"/>
    <x v="3"/>
    <s v="DMR"/>
  </r>
  <r>
    <s v="110015737210"/>
    <s v="HOUSTON REFINING OPERATION"/>
    <s v="Chromium, hexavalent (as Cr)"/>
    <s v="18540299"/>
    <n v="0"/>
    <x v="3"/>
    <n v="3.6850693014817894E-6"/>
    <s v=""/>
    <n v="0"/>
    <x v="4"/>
    <s v="DMR"/>
  </r>
  <r>
    <s v="110015737210"/>
    <s v="HOUSTON REFINING OPERATION"/>
    <s v="Chromium, total (as Cr)"/>
    <s v="7440473"/>
    <n v="0"/>
    <x v="3"/>
    <n v="3.6850693014817894E-6"/>
    <s v=""/>
    <n v="0"/>
    <x v="5"/>
    <s v="DMR"/>
  </r>
  <r>
    <s v="110015737210"/>
    <s v="HOUSTON REFINING OPERATION"/>
    <s v="Cresol"/>
    <s v="1319773"/>
    <n v="0"/>
    <x v="3"/>
    <n v="3.6850693014817894E-6"/>
    <s v=""/>
    <n v="0"/>
    <x v="61"/>
    <s v="DMR"/>
  </r>
  <r>
    <s v="110015737210"/>
    <s v="HOUSTON REFINING OPERATION"/>
    <s v="Dibenzo(a,h)anthracene"/>
    <s v="53703"/>
    <n v="0"/>
    <x v="3"/>
    <n v="3.6850693014817894E-6"/>
    <s v=""/>
    <n v="0"/>
    <x v="107"/>
    <s v="DMR"/>
  </r>
  <r>
    <s v="110015737210"/>
    <s v="HOUSTON REFINING OPERATION"/>
    <s v="Ethylbenzene"/>
    <s v="100414"/>
    <n v="0"/>
    <x v="3"/>
    <n v="3.6850693014817894E-6"/>
    <s v=""/>
    <n v="0"/>
    <x v="10"/>
    <s v="DMR"/>
  </r>
  <r>
    <s v="110015737210"/>
    <s v="HOUSTON REFINING OPERATION"/>
    <s v="Indeno(1,2,3-cd)pyrene"/>
    <s v="193395"/>
    <n v="0"/>
    <x v="3"/>
    <n v="3.6850693014817894E-6"/>
    <s v=""/>
    <n v="0"/>
    <x v="124"/>
    <s v="DMR"/>
  </r>
  <r>
    <s v="110015737210"/>
    <s v="HOUSTON REFINING OPERATION"/>
    <s v="Naphthalene"/>
    <s v="91203"/>
    <n v="0"/>
    <x v="3"/>
    <n v="3.6850693014817894E-6"/>
    <s v=""/>
    <n v="0"/>
    <x v="13"/>
    <s v="DMR"/>
  </r>
  <r>
    <s v="110015737210"/>
    <s v="HOUSTON REFINING OPERATION"/>
    <s v="Nitrogen, total (as N)"/>
    <s v="7727379"/>
    <n v="3531.8972971725198"/>
    <x v="3"/>
    <n v="3.6850693014817894E-6"/>
    <s v=""/>
    <n v="3.5658318646019066E-5"/>
    <x v="79"/>
    <s v="DMR"/>
  </r>
  <r>
    <s v="110015737210"/>
    <s v="HOUSTON REFINING OPERATION"/>
    <s v="Oil &amp; grease"/>
    <s v=""/>
    <n v="1769.8811400000002"/>
    <x v="3"/>
    <n v="3.6850693014817894E-6"/>
    <s v=""/>
    <n v="1.7868862072015328E-5"/>
    <x v="28"/>
    <s v="DMR"/>
  </r>
  <r>
    <s v="110015737210"/>
    <s v="HOUSTON REFINING OPERATION"/>
    <s v="Chemical Oxygen Demand (COD)"/>
    <s v=""/>
    <n v="55316.177730000003"/>
    <x v="3"/>
    <n v="3.6850693014817894E-6"/>
    <s v=""/>
    <n v="5.5847657103598263E-4"/>
    <x v="18"/>
    <s v="DMR"/>
  </r>
  <r>
    <s v="110015737210"/>
    <s v="HOUSTON REFINING OPERATION"/>
    <s v="PHENOL"/>
    <s v="108952"/>
    <m/>
    <x v="3"/>
    <n v="3.6850693014817894E-6"/>
    <s v="0"/>
    <n v="0"/>
    <x v="19"/>
    <s v="TRI"/>
  </r>
  <r>
    <s v="110015737210"/>
    <s v="HOUSTON REFINING OPERATION"/>
    <s v="Phenols"/>
    <s v=""/>
    <n v="0"/>
    <x v="3"/>
    <n v="3.6850693014817894E-6"/>
    <s v=""/>
    <n v="0"/>
    <x v="73"/>
    <s v="DMR"/>
  </r>
  <r>
    <s v="110015737210"/>
    <s v="HOUSTON REFINING OPERATION"/>
    <s v="POLYCYCLIC AROMATIC COMPOUNDS"/>
    <s v="N590"/>
    <m/>
    <x v="3"/>
    <n v="3.6850693014817894E-6"/>
    <s v="2.85"/>
    <n v="1.7388158127852812E-3"/>
    <x v="21"/>
    <s v="TRI"/>
  </r>
  <r>
    <s v="110015737210"/>
    <s v="HOUSTON REFINING OPERATION"/>
    <s v="Polynuc aromatic HC per Method 610"/>
    <s v="130498292"/>
    <n v="12.601779000000001"/>
    <x v="3"/>
    <n v="3.6850693014817894E-6"/>
    <s v=""/>
    <n v="1.272285724300216E-7"/>
    <x v="125"/>
    <s v="DMR"/>
  </r>
  <r>
    <s v="110015737210"/>
    <s v="HOUSTON REFINING OPERATION"/>
    <s v="Solids, total suspended"/>
    <s v=""/>
    <n v="97269.541649999999"/>
    <x v="3"/>
    <n v="3.6850693014817894E-6"/>
    <s v=""/>
    <n v="9.8204110110580636E-4"/>
    <x v="22"/>
    <s v="DMR"/>
  </r>
  <r>
    <s v="110015737210"/>
    <s v="HOUSTON REFINING OPERATION"/>
    <s v="Toluene"/>
    <s v="108883"/>
    <n v="12.8481825"/>
    <x v="3"/>
    <n v="3.6850693014817894E-6"/>
    <s v=""/>
    <n v="1.2971628194680973E-7"/>
    <x v="24"/>
    <s v="DMR"/>
  </r>
  <r>
    <s v="110015737210"/>
    <s v="HOUSTON REFINING OPERATION"/>
    <s v="Xylene"/>
    <s v="1330207"/>
    <n v="25.449961500000001"/>
    <x v="3"/>
    <n v="3.6850693014817894E-6"/>
    <s v=""/>
    <n v="2.5694485437683135E-7"/>
    <x v="25"/>
    <s v="DMR"/>
  </r>
  <r>
    <s v="110015737210"/>
    <s v="HOUSTON REFINING OPERATION"/>
    <s v="Zinc, total (as Zn)"/>
    <s v="7440666"/>
    <n v="380.83420949999999"/>
    <x v="3"/>
    <n v="3.6850693014817894E-6"/>
    <s v=""/>
    <n v="3.8449327517329716E-6"/>
    <x v="98"/>
    <s v="DMR"/>
  </r>
  <r>
    <s v="110000367102"/>
    <s v="Hunt Refining Company"/>
    <s v="AMMONIA"/>
    <s v="7664417"/>
    <m/>
    <x v="2"/>
    <n v="2.8571428571428571E-5"/>
    <s v="10680"/>
    <n v="50.520340586565744"/>
    <x v="16"/>
    <s v="TRI"/>
  </r>
  <r>
    <s v="110000367102"/>
    <s v="Hunt Refining Company"/>
    <s v="MERCURY AND MERCURY COMPOUNDS"/>
    <s v="N458"/>
    <m/>
    <x v="2"/>
    <n v="2.8571428571428571E-5"/>
    <s v="0.01"/>
    <n v="4.7303689687795641E-5"/>
    <x v="12"/>
    <s v="TRI"/>
  </r>
  <r>
    <s v="110017413299"/>
    <s v="Kenai Refinery"/>
    <s v="1,2,4-TRIMETHYLBENZENE"/>
    <s v="95636"/>
    <m/>
    <x v="4"/>
    <n v="1.0507447675379363E-5"/>
    <s v="0"/>
    <n v="0"/>
    <x v="0"/>
    <s v="TRI"/>
  </r>
  <r>
    <s v="110017413299"/>
    <s v="Kenai Refinery"/>
    <s v="2,3,7,8-Tetrachlorodibenzo-p-dioxin"/>
    <s v="1746016"/>
    <n v="0"/>
    <x v="4"/>
    <n v="1.0507447675379363E-5"/>
    <s v=""/>
    <n v="0"/>
    <x v="126"/>
    <s v="DMR"/>
  </r>
  <r>
    <s v="110017413299"/>
    <s v="Kenai Refinery"/>
    <s v="BENZENE"/>
    <s v="71432"/>
    <m/>
    <x v="4"/>
    <n v="1.0507447675379363E-5"/>
    <s v="31"/>
    <n v="5.3928953300788118E-2"/>
    <x v="1"/>
    <s v="TRI"/>
  </r>
  <r>
    <s v="110017413299"/>
    <s v="Kenai Refinery"/>
    <s v="BENZO(G,H,I)PERYLENE"/>
    <s v="191242"/>
    <m/>
    <x v="4"/>
    <n v="1.0507447675379363E-5"/>
    <s v="0"/>
    <n v="0"/>
    <x v="32"/>
    <s v="TRI"/>
  </r>
  <r>
    <s v="110017413299"/>
    <s v="Kenai Refinery"/>
    <s v="BOD, 5-day, 20 deg. C"/>
    <s v=""/>
    <n v="7534.6938775500003"/>
    <x v="4"/>
    <n v="1.0507447675379363E-5"/>
    <s v=""/>
    <n v="2.1690521005029553E-4"/>
    <x v="2"/>
    <s v="DMR"/>
  </r>
  <r>
    <s v="110017413299"/>
    <s v="Kenai Refinery"/>
    <s v="Chemical Oxygen Demand (COD)"/>
    <s v=""/>
    <n v="37665.306122399998"/>
    <x v="4"/>
    <n v="1.0507447675379363E-5"/>
    <s v=""/>
    <n v="1.084291050022641E-3"/>
    <x v="18"/>
    <s v="DMR"/>
  </r>
  <r>
    <s v="110017413299"/>
    <s v="Kenai Refinery"/>
    <s v="Chromium, hexavalent (as Cr)"/>
    <s v="18540299"/>
    <n v="1.23129251701"/>
    <x v="4"/>
    <n v="1.0507447675379363E-5"/>
    <s v=""/>
    <n v="3.5445867659092409E-8"/>
    <x v="4"/>
    <s v="DMR"/>
  </r>
  <r>
    <s v="110017413299"/>
    <s v="Kenai Refinery"/>
    <s v="Chromium, total (as Cr)"/>
    <s v="7440473"/>
    <n v="0.30612244898000002"/>
    <x v="4"/>
    <n v="1.0507447675379363E-5"/>
    <s v=""/>
    <n v="8.8125085340173673E-9"/>
    <x v="5"/>
    <s v="DMR"/>
  </r>
  <r>
    <s v="110017413299"/>
    <s v="Kenai Refinery"/>
    <s v="CUMENE"/>
    <s v="98828"/>
    <m/>
    <x v="4"/>
    <n v="1.0507447675379363E-5"/>
    <s v="0"/>
    <n v="0"/>
    <x v="6"/>
    <s v="TRI"/>
  </r>
  <r>
    <s v="110017413299"/>
    <s v="Kenai Refinery"/>
    <s v="CYCLOHEXANE"/>
    <s v="110827"/>
    <m/>
    <x v="4"/>
    <n v="1.0507447675379363E-5"/>
    <s v="2"/>
    <n v="3.4792873097282658E-3"/>
    <x v="8"/>
    <s v="TRI"/>
  </r>
  <r>
    <s v="110017413299"/>
    <s v="Kenai Refinery"/>
    <s v="DIOXIN AND DIOXIN-LIKE COMPOUNDS"/>
    <s v="N150"/>
    <m/>
    <x v="4"/>
    <n v="1.0507447675379363E-5"/>
    <s v="0"/>
    <n v="0"/>
    <x v="37"/>
    <s v="TRI"/>
  </r>
  <r>
    <s v="110017413299"/>
    <s v="Kenai Refinery"/>
    <s v="ETHYLBENZENE"/>
    <s v="100414"/>
    <m/>
    <x v="4"/>
    <n v="1.0507447675379363E-5"/>
    <s v="2"/>
    <n v="3.4792873097282658E-3"/>
    <x v="10"/>
    <s v="TRI"/>
  </r>
  <r>
    <s v="110017413299"/>
    <s v="Kenai Refinery"/>
    <s v="Hydrocarbon, aqueous"/>
    <s v="308067530"/>
    <n v="83.438243249999999"/>
    <x v="4"/>
    <n v="1.0507447675379363E-5"/>
    <s v=""/>
    <n v="2.4019807536300011E-6"/>
    <x v="127"/>
    <s v="DMR"/>
  </r>
  <r>
    <s v="110017413299"/>
    <s v="Kenai Refinery"/>
    <s v="LEAD AND LEAD COMPOUNDS"/>
    <s v="7439921"/>
    <m/>
    <x v="4"/>
    <n v="1.0507447675379363E-5"/>
    <s v="9"/>
    <n v="1.5656792893777194E-2"/>
    <x v="11"/>
    <s v="TRI"/>
  </r>
  <r>
    <s v="110017413299"/>
    <s v="Kenai Refinery"/>
    <s v="MERCURY AND MERCURY COMPOUNDS"/>
    <s v="N458"/>
    <m/>
    <x v="4"/>
    <n v="1.0507447675379363E-5"/>
    <s v="1"/>
    <n v="1.7396436548641329E-3"/>
    <x v="12"/>
    <s v="TRI"/>
  </r>
  <r>
    <s v="110017413299"/>
    <s v="Kenai Refinery"/>
    <s v="Mercury, total (as Hg)"/>
    <s v="7439976"/>
    <n v="3.1024547349999998E-3"/>
    <x v="4"/>
    <n v="1.0507447675379363E-5"/>
    <s v=""/>
    <n v="8.9312002173275189E-11"/>
    <x v="64"/>
    <s v="DMR"/>
  </r>
  <r>
    <s v="110017413299"/>
    <s v="Kenai Refinery"/>
    <s v="NAPHTHALENE"/>
    <s v="91203"/>
    <m/>
    <x v="4"/>
    <n v="1.0507447675379363E-5"/>
    <s v="2"/>
    <n v="3.4792873097282658E-3"/>
    <x v="13"/>
    <s v="TRI"/>
  </r>
  <r>
    <s v="110017413299"/>
    <s v="Kenai Refinery"/>
    <s v="N-HEXANE"/>
    <s v="110543"/>
    <m/>
    <x v="4"/>
    <n v="1.0507447675379363E-5"/>
    <s v="2"/>
    <n v="3.4792873097282658E-3"/>
    <x v="14"/>
    <s v="TRI"/>
  </r>
  <r>
    <s v="110017413299"/>
    <s v="Kenai Refinery"/>
    <s v="Nitrogen, ammonia total (as N)"/>
    <s v="7664417"/>
    <n v="3822.67573696"/>
    <x v="4"/>
    <n v="1.0507447675379363E-5"/>
    <s v=""/>
    <n v="1.1004538434534095E-4"/>
    <x v="16"/>
    <s v="DMR"/>
  </r>
  <r>
    <s v="110017413299"/>
    <s v="Kenai Refinery"/>
    <s v="Nitrogen, ammonia, total (as NH3)"/>
    <s v="7664417"/>
    <n v="4678.8353200000001"/>
    <x v="4"/>
    <n v="1.0507447675379363E-5"/>
    <s v=""/>
    <n v="1.3469210220990921E-4"/>
    <x v="16"/>
    <s v="DMR"/>
  </r>
  <r>
    <s v="110017413299"/>
    <s v="Kenai Refinery"/>
    <s v="Oil and grease"/>
    <s v=""/>
    <n v="2000.9070294799999"/>
    <x v="4"/>
    <n v="1.0507447675379363E-5"/>
    <s v=""/>
    <n v="5.7601166891944796E-5"/>
    <x v="17"/>
    <s v="DMR"/>
  </r>
  <r>
    <s v="110017413299"/>
    <s v="Kenai Refinery"/>
    <s v="Phenolics, total recoverable"/>
    <s v=""/>
    <n v="0.834467120181"/>
    <x v="4"/>
    <n v="1.0507447675379363E-5"/>
    <s v=""/>
    <n v="2.4022245485277699E-8"/>
    <x v="20"/>
    <s v="DMR"/>
  </r>
  <r>
    <s v="110017413299"/>
    <s v="Kenai Refinery"/>
    <s v="POLYCYCLIC AROMATIC COMPOUNDS"/>
    <s v="N590"/>
    <m/>
    <x v="4"/>
    <n v="1.0507447675379363E-5"/>
    <s v="5"/>
    <n v="8.698218274320664E-3"/>
    <x v="21"/>
    <s v="TRI"/>
  </r>
  <r>
    <s v="110017413299"/>
    <s v="Kenai Refinery"/>
    <s v="PROPYLENE"/>
    <s v="115071"/>
    <m/>
    <x v="4"/>
    <n v="1.0507447675379363E-5"/>
    <s v="0"/>
    <n v="0"/>
    <x v="54"/>
    <s v="TRI"/>
  </r>
  <r>
    <s v="110017413299"/>
    <s v="Kenai Refinery"/>
    <s v="Solids, total suspended"/>
    <s v=""/>
    <n v="8017.6870748299998"/>
    <x v="4"/>
    <n v="1.0507447675379363E-5"/>
    <s v=""/>
    <n v="2.3080939018175795E-4"/>
    <x v="22"/>
    <s v="DMR"/>
  </r>
  <r>
    <s v="110017413299"/>
    <s v="Kenai Refinery"/>
    <s v="Sulfide, total (as S)"/>
    <s v="18496258"/>
    <n v="0.24852607709800001"/>
    <x v="4"/>
    <n v="1.0507447675379363E-5"/>
    <s v=""/>
    <n v="7.1544513728069385E-9"/>
    <x v="23"/>
    <s v="DMR"/>
  </r>
  <r>
    <s v="110017413299"/>
    <s v="Kenai Refinery"/>
    <s v="TOLUENE"/>
    <s v="108883"/>
    <m/>
    <x v="4"/>
    <n v="1.0507447675379363E-5"/>
    <s v="4"/>
    <n v="6.9585746194565316E-3"/>
    <x v="24"/>
    <s v="TRI"/>
  </r>
  <r>
    <s v="110017413299"/>
    <s v="Kenai Refinery"/>
    <s v="XYLENE (MIXED ISOMERS)"/>
    <s v="1330207"/>
    <m/>
    <x v="4"/>
    <n v="1.0507447675379363E-5"/>
    <s v="74"/>
    <n v="0.12873363045994582"/>
    <x v="25"/>
    <s v="TRI"/>
  </r>
  <r>
    <s v="110000395475"/>
    <s v="Lima Refining Company (0302020012)"/>
    <s v="AMMONIA"/>
    <s v="7664417"/>
    <m/>
    <x v="2"/>
    <n v="6.1919504643962844E-6"/>
    <s v="644.8"/>
    <n v="0.66102146679515295"/>
    <x v="16"/>
    <s v="TRI"/>
  </r>
  <r>
    <s v="110000395475"/>
    <s v="Lima Refining Company (0302020012)"/>
    <s v="BARIUM AND BARIUM COMPOUNDS"/>
    <s v="7440393"/>
    <m/>
    <x v="2"/>
    <n v="6.1919504643962844E-6"/>
    <s v="609.95"/>
    <n v="0.62529473274147573"/>
    <x v="112"/>
    <s v="TRI"/>
  </r>
  <r>
    <s v="110000395475"/>
    <s v="Lima Refining Company (0302020012)"/>
    <s v="COPPER AND COPPER COMPOUNDS"/>
    <s v="7440508"/>
    <m/>
    <x v="2"/>
    <n v="6.1919504643962844E-6"/>
    <s v="36.66"/>
    <n v="3.7582268878272804E-2"/>
    <x v="60"/>
    <s v="TRI"/>
  </r>
  <r>
    <s v="110000395475"/>
    <s v="Lima Refining Company (0302020012)"/>
    <s v="CYANIDE COMPOUNDS"/>
    <s v="N106"/>
    <m/>
    <x v="2"/>
    <n v="6.1919504643962844E-6"/>
    <s v="20.25"/>
    <n v="2.0759436573514031E-2"/>
    <x v="7"/>
    <s v="TRI"/>
  </r>
  <r>
    <s v="110000395475"/>
    <s v="Lima Refining Company (0302020012)"/>
    <s v="LEAD AND LEAD COMPOUNDS"/>
    <s v="7439921"/>
    <m/>
    <x v="2"/>
    <n v="6.1919504643962844E-6"/>
    <s v="4.77"/>
    <n v="4.8900006150944158E-3"/>
    <x v="11"/>
    <s v="TRI"/>
  </r>
  <r>
    <s v="110000395475"/>
    <s v="Lima Refining Company (0302020012)"/>
    <s v="MERCURY AND MERCURY COMPOUNDS"/>
    <s v="N458"/>
    <m/>
    <x v="2"/>
    <n v="6.1919504643962844E-6"/>
    <s v="0.03"/>
    <n v="3.0754720849650415E-5"/>
    <x v="12"/>
    <s v="TRI"/>
  </r>
  <r>
    <s v="110000395475"/>
    <s v="Lima Refining Company (0302020012)"/>
    <s v="NITRATE COMPOUNDS"/>
    <s v="14797558"/>
    <m/>
    <x v="2"/>
    <n v="6.1919504643962844E-6"/>
    <s v="91170.56"/>
    <n v="93.464170750210144"/>
    <x v="15"/>
    <s v="TRI"/>
  </r>
  <r>
    <s v="110000395475"/>
    <s v="Lima Refining Company (0302020012)"/>
    <s v="SELENIUM AND SELENIUM COMPOUNDS"/>
    <s v="7782492"/>
    <m/>
    <x v="2"/>
    <n v="6.1919504643962844E-6"/>
    <s v="81.3"/>
    <n v="8.3345293502552625E-2"/>
    <x v="95"/>
    <s v="TRI"/>
  </r>
  <r>
    <s v="110017419667"/>
    <s v="LION OIL COMPANY"/>
    <s v="1,2,4-TRIMETHYLBENZENE"/>
    <s v="95636"/>
    <m/>
    <x v="0"/>
    <n v="1.4285714285714285E-5"/>
    <s v="5"/>
    <n v="1.1825922421948911E-2"/>
    <x v="0"/>
    <s v="TRI"/>
  </r>
  <r>
    <s v="110017419667"/>
    <s v="LION OIL COMPANY"/>
    <s v="AMMONIA"/>
    <s v="7664417"/>
    <m/>
    <x v="0"/>
    <n v="1.4285714285714285E-5"/>
    <s v="461"/>
    <n v="1.0903500473036896"/>
    <x v="16"/>
    <s v="TRI"/>
  </r>
  <r>
    <s v="110017419667"/>
    <s v="LION OIL COMPANY"/>
    <s v="BENZENE"/>
    <s v="71432"/>
    <m/>
    <x v="0"/>
    <n v="1.4285714285714285E-5"/>
    <s v="16"/>
    <n v="3.7842951750236511E-2"/>
    <x v="1"/>
    <s v="TRI"/>
  </r>
  <r>
    <s v="110017419667"/>
    <s v="LION OIL COMPANY"/>
    <s v="CRESOL (MIXED ISOMERS)"/>
    <s v="1319773"/>
    <m/>
    <x v="0"/>
    <n v="1.4285714285714285E-5"/>
    <s v="14"/>
    <n v="3.3112582781456949E-2"/>
    <x v="61"/>
    <s v="TRI"/>
  </r>
  <r>
    <s v="110017419667"/>
    <s v="LION OIL COMPANY"/>
    <s v="CUMENE"/>
    <s v="98828"/>
    <m/>
    <x v="0"/>
    <n v="1.4285714285714285E-5"/>
    <s v="5"/>
    <n v="1.1825922421948911E-2"/>
    <x v="6"/>
    <s v="TRI"/>
  </r>
  <r>
    <s v="110017419667"/>
    <s v="LION OIL COMPANY"/>
    <s v="CYCLOHEXANE"/>
    <s v="110827"/>
    <m/>
    <x v="0"/>
    <n v="1.4285714285714285E-5"/>
    <s v="5"/>
    <n v="1.1825922421948911E-2"/>
    <x v="8"/>
    <s v="TRI"/>
  </r>
  <r>
    <s v="110017419667"/>
    <s v="LION OIL COMPANY"/>
    <s v="ETHYLBENZENE"/>
    <s v="100414"/>
    <m/>
    <x v="0"/>
    <n v="1.4285714285714285E-5"/>
    <s v="5"/>
    <n v="1.1825922421948911E-2"/>
    <x v="10"/>
    <s v="TRI"/>
  </r>
  <r>
    <s v="110017419667"/>
    <s v="LION OIL COMPANY"/>
    <s v="LEAD AND LEAD COMPOUNDS"/>
    <s v="7439921"/>
    <m/>
    <x v="0"/>
    <n v="1.4285714285714285E-5"/>
    <s v="66"/>
    <n v="0.15610217596972562"/>
    <x v="11"/>
    <s v="TRI"/>
  </r>
  <r>
    <s v="110017419667"/>
    <s v="LION OIL COMPANY"/>
    <s v="NAPHTHALENE"/>
    <s v="91203"/>
    <m/>
    <x v="0"/>
    <n v="1.4285714285714285E-5"/>
    <s v="5"/>
    <n v="1.1825922421948911E-2"/>
    <x v="13"/>
    <s v="TRI"/>
  </r>
  <r>
    <s v="110017419667"/>
    <s v="LION OIL COMPANY"/>
    <s v="N-HEXANE"/>
    <s v="110543"/>
    <m/>
    <x v="0"/>
    <n v="1.4285714285714285E-5"/>
    <s v="5"/>
    <n v="1.1825922421948911E-2"/>
    <x v="14"/>
    <s v="TRI"/>
  </r>
  <r>
    <s v="110017419667"/>
    <s v="LION OIL COMPANY"/>
    <s v="NITRATE COMPOUNDS"/>
    <s v="14797558"/>
    <m/>
    <x v="0"/>
    <n v="1.4285714285714285E-5"/>
    <s v="59821"/>
    <n v="141.48770104068115"/>
    <x v="15"/>
    <s v="TRI"/>
  </r>
  <r>
    <s v="110017419667"/>
    <s v="LION OIL COMPANY"/>
    <s v="PHENANTHRENE"/>
    <s v="85018"/>
    <m/>
    <x v="0"/>
    <n v="1.4285714285714285E-5"/>
    <s v="5"/>
    <n v="1.1825922421948911E-2"/>
    <x v="46"/>
    <s v="TRI"/>
  </r>
  <r>
    <s v="110017419667"/>
    <s v="LION OIL COMPANY"/>
    <s v="PHENOL"/>
    <s v="108952"/>
    <m/>
    <x v="0"/>
    <n v="1.4285714285714285E-5"/>
    <s v="105"/>
    <n v="0.24834437086092712"/>
    <x v="19"/>
    <s v="TRI"/>
  </r>
  <r>
    <s v="110017419667"/>
    <s v="LION OIL COMPANY"/>
    <s v="TOLUENE"/>
    <s v="108883"/>
    <m/>
    <x v="0"/>
    <n v="1.4285714285714285E-5"/>
    <s v="15"/>
    <n v="3.5477767265846727E-2"/>
    <x v="24"/>
    <s v="TRI"/>
  </r>
  <r>
    <s v="110017419667"/>
    <s v="LION OIL COMPANY"/>
    <s v="XYLENE (MIXED ISOMERS)"/>
    <s v="1330207"/>
    <m/>
    <x v="0"/>
    <n v="1.4285714285714285E-5"/>
    <s v="11"/>
    <n v="2.6017029328287603E-2"/>
    <x v="25"/>
    <s v="TRI"/>
  </r>
  <r>
    <s v="110017419667"/>
    <s v="LION OIL COMPANY"/>
    <s v="ZINC AND ZINC COMPOUNDS"/>
    <s v="7440666"/>
    <m/>
    <x v="0"/>
    <n v="1.4285714285714285E-5"/>
    <s v="248"/>
    <n v="0.58656575212866602"/>
    <x v="29"/>
    <s v="TRI"/>
  </r>
  <r>
    <s v="110025329918"/>
    <s v="Mandan Refinery"/>
    <s v="1,2,4-TRIMETHYLBENZENE"/>
    <s v="95636"/>
    <m/>
    <x v="1"/>
    <n v="1.7241379310344828E-5"/>
    <s v="0"/>
    <n v="0"/>
    <x v="0"/>
    <s v="TRI"/>
  </r>
  <r>
    <s v="110025329918"/>
    <s v="Mandan Refinery"/>
    <s v="ANTHRACENE"/>
    <s v="120127"/>
    <m/>
    <x v="1"/>
    <n v="1.7241379310344828E-5"/>
    <s v="0"/>
    <n v="0"/>
    <x v="31"/>
    <s v="TRI"/>
  </r>
  <r>
    <s v="110025329918"/>
    <s v="Mandan Refinery"/>
    <s v="BENZENE"/>
    <s v="71432"/>
    <m/>
    <x v="1"/>
    <n v="1.7241379310344828E-5"/>
    <s v="1"/>
    <n v="2.8545329984014617E-3"/>
    <x v="1"/>
    <s v="TRI"/>
  </r>
  <r>
    <s v="110025329918"/>
    <s v="Mandan Refinery"/>
    <s v="BENZO(G,H,I)PERYLENE"/>
    <s v="191242"/>
    <m/>
    <x v="1"/>
    <n v="1.7241379310344828E-5"/>
    <s v="0"/>
    <n v="0"/>
    <x v="32"/>
    <s v="TRI"/>
  </r>
  <r>
    <s v="110025329918"/>
    <s v="Mandan Refinery"/>
    <s v="BIPHENYL"/>
    <s v="92524"/>
    <m/>
    <x v="1"/>
    <n v="1.7241379310344828E-5"/>
    <s v="0"/>
    <n v="0"/>
    <x v="52"/>
    <s v="TRI"/>
  </r>
  <r>
    <s v="110025329918"/>
    <s v="Mandan Refinery"/>
    <s v="BOD, 5-day, 20 deg. C"/>
    <s v=""/>
    <n v="8377.6343536364002"/>
    <x v="1"/>
    <n v="1.7241379310344828E-5"/>
    <s v=""/>
    <n v="3.9573142908060467E-4"/>
    <x v="2"/>
    <s v="DMR"/>
  </r>
  <r>
    <s v="110025329918"/>
    <s v="Mandan Refinery"/>
    <s v="CARBON DISULFIDE"/>
    <s v="75150"/>
    <m/>
    <x v="1"/>
    <n v="1.7241379310344828E-5"/>
    <s v="3"/>
    <n v="8.5635989952043846E-3"/>
    <x v="34"/>
    <s v="TRI"/>
  </r>
  <r>
    <s v="110025329918"/>
    <s v="Mandan Refinery"/>
    <s v="Chromium, total (as Cr)"/>
    <s v="7440473"/>
    <n v="0"/>
    <x v="1"/>
    <n v="1.7241379310344828E-5"/>
    <s v=""/>
    <n v="0"/>
    <x v="5"/>
    <s v="DMR"/>
  </r>
  <r>
    <s v="110025329918"/>
    <s v="Mandan Refinery"/>
    <s v="COPPER AND COPPER COMPOUNDS"/>
    <s v="7440508"/>
    <m/>
    <x v="1"/>
    <n v="1.7241379310344828E-5"/>
    <s v="0"/>
    <n v="0"/>
    <x v="60"/>
    <s v="TRI"/>
  </r>
  <r>
    <s v="110025329918"/>
    <s v="Mandan Refinery"/>
    <s v="CUMENE"/>
    <s v="98828"/>
    <m/>
    <x v="1"/>
    <n v="1.7241379310344828E-5"/>
    <s v="0"/>
    <n v="0"/>
    <x v="6"/>
    <s v="TRI"/>
  </r>
  <r>
    <s v="110025329918"/>
    <s v="Mandan Refinery"/>
    <s v="CYCLOHEXANE"/>
    <s v="110827"/>
    <m/>
    <x v="1"/>
    <n v="1.7241379310344828E-5"/>
    <s v="0"/>
    <n v="0"/>
    <x v="8"/>
    <s v="TRI"/>
  </r>
  <r>
    <s v="110025329918"/>
    <s v="Mandan Refinery"/>
    <s v="DIOXIN AND DIOXIN-LIKE COMPOUNDS"/>
    <s v="N150"/>
    <m/>
    <x v="1"/>
    <n v="1.7241379310344828E-5"/>
    <s v="0"/>
    <n v="0"/>
    <x v="37"/>
    <s v="TRI"/>
  </r>
  <r>
    <s v="110025329918"/>
    <s v="Mandan Refinery"/>
    <s v="ETHYLBENZENE"/>
    <s v="100414"/>
    <m/>
    <x v="1"/>
    <n v="1.7241379310344828E-5"/>
    <s v="1"/>
    <n v="2.8545329984014617E-3"/>
    <x v="10"/>
    <s v="TRI"/>
  </r>
  <r>
    <s v="110025329918"/>
    <s v="Mandan Refinery"/>
    <s v="HYDROGEN FLUORIDE"/>
    <s v="7664393"/>
    <m/>
    <x v="1"/>
    <n v="1.7241379310344828E-5"/>
    <s v="0"/>
    <n v="0"/>
    <x v="77"/>
    <s v="TRI"/>
  </r>
  <r>
    <s v="110025329918"/>
    <s v="Mandan Refinery"/>
    <s v="LEAD AND LEAD COMPOUNDS"/>
    <s v="7439921"/>
    <m/>
    <x v="1"/>
    <n v="1.7241379310344828E-5"/>
    <s v="13"/>
    <n v="3.7108928979218997E-2"/>
    <x v="11"/>
    <s v="TRI"/>
  </r>
  <r>
    <s v="110025329918"/>
    <s v="Mandan Refinery"/>
    <s v="MANGANESE AND MANGANESE COMPOUNDS"/>
    <s v="7439965"/>
    <m/>
    <x v="1"/>
    <n v="1.7241379310344828E-5"/>
    <s v="0"/>
    <n v="0"/>
    <x v="62"/>
    <s v="TRI"/>
  </r>
  <r>
    <s v="110025329918"/>
    <s v="Mandan Refinery"/>
    <s v="MERCURY AND MERCURY COMPOUNDS"/>
    <s v="N458"/>
    <m/>
    <x v="1"/>
    <n v="1.7241379310344828E-5"/>
    <s v="0.3"/>
    <n v="8.5635989952043839E-4"/>
    <x v="12"/>
    <s v="TRI"/>
  </r>
  <r>
    <s v="110025329918"/>
    <s v="Mandan Refinery"/>
    <s v="NAPHTHALENE"/>
    <s v="91203"/>
    <m/>
    <x v="1"/>
    <n v="1.7241379310344828E-5"/>
    <s v="3"/>
    <n v="8.5635989952043846E-3"/>
    <x v="13"/>
    <s v="TRI"/>
  </r>
  <r>
    <s v="110025329918"/>
    <s v="Mandan Refinery"/>
    <s v="N-HEXANE"/>
    <s v="110543"/>
    <m/>
    <x v="1"/>
    <n v="1.7241379310344828E-5"/>
    <s v="0"/>
    <n v="0"/>
    <x v="14"/>
    <s v="TRI"/>
  </r>
  <r>
    <s v="110025329918"/>
    <s v="Mandan Refinery"/>
    <s v="NITRATE COMPOUNDS"/>
    <s v="14797558"/>
    <m/>
    <x v="1"/>
    <n v="1.7241379310344828E-5"/>
    <s v="22000"/>
    <n v="62.799725964832156"/>
    <x v="15"/>
    <s v="TRI"/>
  </r>
  <r>
    <s v="110025329918"/>
    <s v="Mandan Refinery"/>
    <s v="Nitrogen, ammonia total (as N)"/>
    <s v="7664417"/>
    <n v="3975.1020408150998"/>
    <x v="1"/>
    <n v="1.7241379310344828E-5"/>
    <s v=""/>
    <n v="1.8777052625484648E-4"/>
    <x v="16"/>
    <s v="DMR"/>
  </r>
  <r>
    <s v="110025329918"/>
    <s v="Mandan Refinery"/>
    <s v="Oil and grease, hexane extr method"/>
    <s v=""/>
    <n v="1898.0677349999999"/>
    <x v="1"/>
    <n v="1.7241379310344828E-5"/>
    <s v=""/>
    <n v="8.9658371988663208E-5"/>
    <x v="65"/>
    <s v="DMR"/>
  </r>
  <r>
    <s v="110025329918"/>
    <s v="Mandan Refinery"/>
    <s v="Chemical Oxygen Demand (COD)"/>
    <s v=""/>
    <n v="74208.70748302"/>
    <x v="1"/>
    <n v="1.7241379310344828E-5"/>
    <s v=""/>
    <n v="3.5053711612196507E-3"/>
    <x v="18"/>
    <s v="DMR"/>
  </r>
  <r>
    <s v="110025329918"/>
    <s v="Mandan Refinery"/>
    <s v="PHENANTHRENE"/>
    <s v="85018"/>
    <m/>
    <x v="1"/>
    <n v="1.7241379310344828E-5"/>
    <s v="3"/>
    <n v="8.5635989952043846E-3"/>
    <x v="46"/>
    <s v="TRI"/>
  </r>
  <r>
    <s v="110025329918"/>
    <s v="Mandan Refinery"/>
    <s v="PHENOL"/>
    <s v="108952"/>
    <m/>
    <x v="1"/>
    <n v="1.7241379310344828E-5"/>
    <s v="23"/>
    <n v="6.5654258963233611E-2"/>
    <x v="19"/>
    <s v="TRI"/>
  </r>
  <r>
    <s v="110025329918"/>
    <s v="Mandan Refinery"/>
    <s v="Phenolic compounds, unchlorinated"/>
    <s v=""/>
    <n v="14.721000500000001"/>
    <x v="1"/>
    <n v="1.7241379310344828E-5"/>
    <s v=""/>
    <n v="6.953708313651394E-7"/>
    <x v="128"/>
    <s v="DMR"/>
  </r>
  <r>
    <s v="110025329918"/>
    <s v="Mandan Refinery"/>
    <s v="POLYCYCLIC AROMATIC COMPOUNDS"/>
    <s v="N590"/>
    <m/>
    <x v="1"/>
    <n v="1.7241379310344828E-5"/>
    <s v="0"/>
    <n v="0"/>
    <x v="21"/>
    <s v="TRI"/>
  </r>
  <r>
    <s v="110025329918"/>
    <s v="Mandan Refinery"/>
    <s v="Solids, total suspended"/>
    <s v=""/>
    <n v="17583.656559999999"/>
    <x v="1"/>
    <n v="1.7241379310344828E-5"/>
    <s v=""/>
    <n v="8.3059312990080303E-4"/>
    <x v="22"/>
    <s v="DMR"/>
  </r>
  <r>
    <s v="110025329918"/>
    <s v="Mandan Refinery"/>
    <s v="Sulfide, total (as S)"/>
    <s v="18496258"/>
    <n v="25.986394557804001"/>
    <x v="1"/>
    <n v="1.7241379310344828E-5"/>
    <s v=""/>
    <n v="1.2275103711763818E-6"/>
    <x v="23"/>
    <s v="DMR"/>
  </r>
  <r>
    <s v="110025329918"/>
    <s v="Mandan Refinery"/>
    <s v="TOLUENE"/>
    <s v="108883"/>
    <m/>
    <x v="1"/>
    <n v="1.7241379310344828E-5"/>
    <s v="1"/>
    <n v="2.8545329984014617E-3"/>
    <x v="24"/>
    <s v="TRI"/>
  </r>
  <r>
    <s v="110025329918"/>
    <s v="Mandan Refinery"/>
    <s v="XYLENE (MIXED ISOMERS)"/>
    <s v="1330207"/>
    <m/>
    <x v="1"/>
    <n v="1.7241379310344828E-5"/>
    <s v="2"/>
    <n v="5.7090659968029233E-3"/>
    <x v="25"/>
    <s v="TRI"/>
  </r>
  <r>
    <s v="110000439428"/>
    <s v="Marathon Petroleum Co LLC"/>
    <s v="1,2,4-TRIMETHYLBENZENE"/>
    <s v="95636"/>
    <m/>
    <x v="2"/>
    <n v="4.5751529704589514E-6"/>
    <s v="28"/>
    <n v="2.1209318406101099E-2"/>
    <x v="0"/>
    <s v="TRI"/>
  </r>
  <r>
    <s v="110000439428"/>
    <s v="Marathon Petroleum Co LLC"/>
    <s v="1,2-DICHLOROETHANE"/>
    <s v="107062"/>
    <m/>
    <x v="2"/>
    <n v="4.5751529704589514E-6"/>
    <s v="0"/>
    <n v="0"/>
    <x v="102"/>
    <s v="TRI"/>
  </r>
  <r>
    <s v="110000439428"/>
    <s v="Marathon Petroleum Co LLC"/>
    <s v="1,3-BUTADIENE"/>
    <s v="106990"/>
    <m/>
    <x v="2"/>
    <n v="4.5751529704589514E-6"/>
    <s v="10"/>
    <n v="7.5747565736075358E-3"/>
    <x v="30"/>
    <s v="TRI"/>
  </r>
  <r>
    <s v="110000439428"/>
    <s v="Marathon Petroleum Co LLC"/>
    <s v="BENZENE"/>
    <s v="71432"/>
    <m/>
    <x v="2"/>
    <n v="4.5751529704589514E-6"/>
    <s v="28"/>
    <n v="2.1209318406101099E-2"/>
    <x v="1"/>
    <s v="TRI"/>
  </r>
  <r>
    <s v="110000439428"/>
    <s v="Marathon Petroleum Co LLC"/>
    <s v="Benzene, ethylbenzene, toluene, xylene combination"/>
    <s v=""/>
    <n v="29.1428346"/>
    <x v="2"/>
    <n v="4.5751529704589514E-6"/>
    <s v=""/>
    <n v="3.6529568845968192E-7"/>
    <x v="129"/>
    <s v="DMR"/>
  </r>
  <r>
    <s v="110000439428"/>
    <s v="Marathon Petroleum Co LLC"/>
    <s v="BENZO(G,H,I)PERYLENE"/>
    <s v="191242"/>
    <m/>
    <x v="2"/>
    <n v="4.5751529704589514E-6"/>
    <s v="22.5"/>
    <n v="1.7043202290616954E-2"/>
    <x v="32"/>
    <s v="TRI"/>
  </r>
  <r>
    <s v="110000439428"/>
    <s v="Marathon Petroleum Co LLC"/>
    <s v="BOD, 5-day, 20 deg. C"/>
    <s v=""/>
    <n v="19502.374047900001"/>
    <x v="2"/>
    <n v="4.5751529704589514E-6"/>
    <s v=""/>
    <n v="2.4445573851027738E-4"/>
    <x v="2"/>
    <s v="DMR"/>
  </r>
  <r>
    <s v="110000439428"/>
    <s v="Marathon Petroleum Co LLC"/>
    <s v="Chloride (as Cl)"/>
    <s v="16887006"/>
    <n v="2062954.3921700001"/>
    <x v="2"/>
    <n v="4.5751529704589514E-6"/>
    <s v=""/>
    <n v="2.5858443603446347E-2"/>
    <x v="69"/>
    <s v="DMR"/>
  </r>
  <r>
    <s v="110000439428"/>
    <s v="Marathon Petroleum Co LLC"/>
    <s v="Chromium, hexavalent (as Cr)"/>
    <s v="18540299"/>
    <n v="26.0247320442"/>
    <x v="2"/>
    <n v="4.5751529704589514E-6"/>
    <s v=""/>
    <n v="3.2621131539019146E-7"/>
    <x v="4"/>
    <s v="DMR"/>
  </r>
  <r>
    <s v="110000439428"/>
    <s v="Marathon Petroleum Co LLC"/>
    <s v="Chromium, total (as Cr)"/>
    <s v="7440473"/>
    <n v="18.865761944180001"/>
    <x v="2"/>
    <n v="4.5751529704589514E-6"/>
    <s v=""/>
    <n v="2.3647601862708649E-7"/>
    <x v="5"/>
    <s v="DMR"/>
  </r>
  <r>
    <s v="110000439428"/>
    <s v="Marathon Petroleum Co LLC"/>
    <s v="COBALT AND COBALT COMPOUNDS"/>
    <s v="7440484"/>
    <m/>
    <x v="2"/>
    <n v="4.5751529704589514E-6"/>
    <s v="17"/>
    <n v="1.287708617513281E-2"/>
    <x v="76"/>
    <s v="TRI"/>
  </r>
  <r>
    <s v="110000439428"/>
    <s v="Marathon Petroleum Co LLC"/>
    <s v="CYCLOHEXANE"/>
    <s v="110827"/>
    <m/>
    <x v="2"/>
    <n v="4.5751529704589514E-6"/>
    <s v="28"/>
    <n v="2.1209318406101099E-2"/>
    <x v="8"/>
    <s v="TRI"/>
  </r>
  <r>
    <s v="110000439428"/>
    <s v="Marathon Petroleum Co LLC"/>
    <s v="DIOXIN AND DIOXIN-LIKE COMPOUNDS"/>
    <s v="N150"/>
    <m/>
    <x v="2"/>
    <n v="4.5751529704589514E-6"/>
    <s v="0.0000891"/>
    <n v="6.749108107084313E-8"/>
    <x v="37"/>
    <s v="TRI"/>
  </r>
  <r>
    <s v="110000439428"/>
    <s v="Marathon Petroleum Co LLC"/>
    <s v="ETHYLBENZENE"/>
    <s v="100414"/>
    <m/>
    <x v="2"/>
    <n v="4.5751529704589514E-6"/>
    <s v="28"/>
    <n v="2.1209318406101099E-2"/>
    <x v="10"/>
    <s v="TRI"/>
  </r>
  <r>
    <s v="110000439428"/>
    <s v="Marathon Petroleum Co LLC"/>
    <s v="Fluoride, total (as F)"/>
    <s v="16984488"/>
    <n v="4029.9319727900001"/>
    <x v="2"/>
    <n v="4.5751529704589514E-6"/>
    <s v=""/>
    <n v="5.0513849961801837E-5"/>
    <x v="94"/>
    <s v="DMR"/>
  </r>
  <r>
    <s v="110000439428"/>
    <s v="Marathon Petroleum Co LLC"/>
    <s v="LEAD AND LEAD COMPOUNDS"/>
    <s v="7439921"/>
    <m/>
    <x v="2"/>
    <n v="4.5751529704589514E-6"/>
    <s v="33.8"/>
    <n v="2.5602677218793467E-2"/>
    <x v="11"/>
    <s v="TRI"/>
  </r>
  <r>
    <s v="110000439428"/>
    <s v="Marathon Petroleum Co LLC"/>
    <s v="MERCURY AND MERCURY COMPOUNDS"/>
    <s v="N458"/>
    <m/>
    <x v="2"/>
    <n v="4.5751529704589514E-6"/>
    <s v="1.1"/>
    <n v="8.33223223096829E-4"/>
    <x v="12"/>
    <s v="TRI"/>
  </r>
  <r>
    <s v="110000439428"/>
    <s v="Marathon Petroleum Co LLC"/>
    <s v="METHANOL"/>
    <s v="67561"/>
    <m/>
    <x v="2"/>
    <n v="4.5751529704589514E-6"/>
    <s v="31484"/>
    <n v="23.848363596345965"/>
    <x v="42"/>
    <s v="TRI"/>
  </r>
  <r>
    <s v="110000439428"/>
    <s v="Marathon Petroleum Co LLC"/>
    <s v="MOLYBDENUM TRIOXIDE"/>
    <s v="1313275"/>
    <m/>
    <x v="2"/>
    <n v="4.5751529704589514E-6"/>
    <s v="10"/>
    <n v="7.5747565736075358E-3"/>
    <x v="44"/>
    <s v="TRI"/>
  </r>
  <r>
    <s v="110000439428"/>
    <s v="Marathon Petroleum Co LLC"/>
    <s v="NAPHTHALENE"/>
    <s v="91203"/>
    <m/>
    <x v="2"/>
    <n v="4.5751529704589514E-6"/>
    <s v="2"/>
    <n v="1.5149513147215072E-3"/>
    <x v="13"/>
    <s v="TRI"/>
  </r>
  <r>
    <s v="110000439428"/>
    <s v="Marathon Petroleum Co LLC"/>
    <s v="N-HEXANE"/>
    <s v="110543"/>
    <m/>
    <x v="2"/>
    <n v="4.5751529704589514E-6"/>
    <s v="28"/>
    <n v="2.1209318406101099E-2"/>
    <x v="14"/>
    <s v="TRI"/>
  </r>
  <r>
    <s v="110000439428"/>
    <s v="Marathon Petroleum Co LLC"/>
    <s v="NICKEL AND NICKEL COMPOUNDS"/>
    <s v="N495"/>
    <m/>
    <x v="2"/>
    <n v="4.5751529704589514E-6"/>
    <s v="180"/>
    <n v="0.13634561832493564"/>
    <x v="45"/>
    <s v="TRI"/>
  </r>
  <r>
    <s v="110000439428"/>
    <s v="Marathon Petroleum Co LLC"/>
    <s v="NITRATE COMPOUNDS"/>
    <s v="14797558"/>
    <m/>
    <x v="2"/>
    <n v="4.5751529704589514E-6"/>
    <s v="418079"/>
    <n v="316.68466535372647"/>
    <x v="15"/>
    <s v="TRI"/>
  </r>
  <r>
    <s v="110000439428"/>
    <s v="Marathon Petroleum Co LLC"/>
    <s v="Nitrogen, ammonia total (as N)"/>
    <s v="7664417"/>
    <n v="1082.9624569339999"/>
    <x v="2"/>
    <n v="4.5751529704589514E-6"/>
    <s v=""/>
    <n v="1.3574572333526339E-5"/>
    <x v="16"/>
    <s v="DMR"/>
  </r>
  <r>
    <s v="110000439428"/>
    <s v="Marathon Petroleum Co LLC"/>
    <s v="Oil and grease (soxhlet extr.) tot."/>
    <s v=""/>
    <n v="30002.291220700001"/>
    <x v="2"/>
    <n v="4.5751529704589514E-6"/>
    <s v=""/>
    <n v="3.7606868986016473E-4"/>
    <x v="82"/>
    <s v="DMR"/>
  </r>
  <r>
    <s v="110000439428"/>
    <s v="Marathon Petroleum Co LLC"/>
    <s v="Chemical Oxygen Demand (COD)"/>
    <s v=""/>
    <n v="152282.480522"/>
    <x v="2"/>
    <n v="4.5751529704589514E-6"/>
    <s v=""/>
    <n v="1.9088099811207827E-3"/>
    <x v="18"/>
    <s v="DMR"/>
  </r>
  <r>
    <s v="110000439428"/>
    <s v="Marathon Petroleum Co LLC"/>
    <s v="Oxygen, dissolved (DO)"/>
    <s v="7782447"/>
    <n v="22245.560061"/>
    <x v="2"/>
    <n v="4.5751529704589514E-6"/>
    <s v=""/>
    <n v="2.7884065806193744E-4"/>
    <x v="72"/>
    <s v="DMR"/>
  </r>
  <r>
    <s v="110000439428"/>
    <s v="Marathon Petroleum Co LLC"/>
    <s v="PHENOL"/>
    <s v="108952"/>
    <m/>
    <x v="2"/>
    <n v="4.5751529704589514E-6"/>
    <s v="78"/>
    <n v="5.9083101274138773E-2"/>
    <x v="19"/>
    <s v="TRI"/>
  </r>
  <r>
    <s v="110000439428"/>
    <s v="Marathon Petroleum Co LLC"/>
    <s v="Phenolics, total recoverable"/>
    <s v=""/>
    <n v="84.888797590899998"/>
    <x v="2"/>
    <n v="4.5751529704589514E-6"/>
    <s v=""/>
    <n v="1.0640526971416296E-6"/>
    <x v="20"/>
    <s v="DMR"/>
  </r>
  <r>
    <s v="110000439428"/>
    <s v="Marathon Petroleum Co LLC"/>
    <s v="POLYCYCLIC AROMATIC COMPOUNDS"/>
    <s v="N590"/>
    <m/>
    <x v="2"/>
    <n v="4.5751529704589514E-6"/>
    <s v="22.5"/>
    <n v="1.7043202290616954E-2"/>
    <x v="21"/>
    <s v="TRI"/>
  </r>
  <r>
    <s v="110000439428"/>
    <s v="Marathon Petroleum Co LLC"/>
    <s v="Polyram"/>
    <s v="9006422"/>
    <n v="9.6038886750000003"/>
    <x v="2"/>
    <n v="4.5751529704589514E-6"/>
    <s v=""/>
    <n v="1.2038153369694064E-7"/>
    <x v="130"/>
    <s v="DMR"/>
  </r>
  <r>
    <s v="110000439428"/>
    <s v="Marathon Petroleum Co LLC"/>
    <s v="Solids, total suspended"/>
    <s v=""/>
    <n v="76686.1680662"/>
    <x v="2"/>
    <n v="4.5751529704589514E-6"/>
    <s v=""/>
    <n v="9.6123547841421727E-4"/>
    <x v="22"/>
    <s v="DMR"/>
  </r>
  <r>
    <s v="110000439428"/>
    <s v="Marathon Petroleum Co LLC"/>
    <s v="Sulfate, total (as SO4)"/>
    <s v="14808798"/>
    <n v="1460515.6462600001"/>
    <x v="2"/>
    <n v="4.5751529704589514E-6"/>
    <s v=""/>
    <n v="1.8307075335310178E-2"/>
    <x v="99"/>
    <s v="DMR"/>
  </r>
  <r>
    <s v="110000439428"/>
    <s v="Marathon Petroleum Co LLC"/>
    <s v="Sulfide, total (as S)"/>
    <s v="18496258"/>
    <n v="158.045351474"/>
    <x v="2"/>
    <n v="4.5751529704589514E-6"/>
    <s v=""/>
    <n v="1.9810456418178087E-6"/>
    <x v="23"/>
    <s v="DMR"/>
  </r>
  <r>
    <s v="110000439428"/>
    <s v="Marathon Petroleum Co LLC"/>
    <s v="TOLUENE"/>
    <s v="108883"/>
    <m/>
    <x v="2"/>
    <n v="4.5751529704589514E-6"/>
    <s v="30"/>
    <n v="2.2724269720822605E-2"/>
    <x v="24"/>
    <s v="TRI"/>
  </r>
  <r>
    <s v="110000439428"/>
    <s v="Marathon Petroleum Co LLC"/>
    <s v="XYLENE (MIXED ISOMERS)"/>
    <s v="1330207"/>
    <m/>
    <x v="2"/>
    <n v="4.5751529704589514E-6"/>
    <s v="84"/>
    <n v="6.3627955218303292E-2"/>
    <x v="25"/>
    <s v="TRI"/>
  </r>
  <r>
    <s v="110000439428"/>
    <s v="Marathon Petroleum Co LLC"/>
    <s v="Zinc, total (as Zn)"/>
    <s v="7440666"/>
    <n v="106.032653061"/>
    <x v="2"/>
    <n v="4.5751529704589514E-6"/>
    <s v=""/>
    <n v="1.3290838564867879E-6"/>
    <x v="98"/>
    <s v="DMR"/>
  </r>
  <r>
    <s v="110017392533"/>
    <s v="Marathon Petroleum Co LLC - Catlettsburg Refining"/>
    <s v="1,2,4-TRIMETHYLBENZENE"/>
    <s v="95636"/>
    <m/>
    <x v="0"/>
    <n v="4.5977011494252875E-6"/>
    <s v="1"/>
    <n v="7.6120879957372308E-4"/>
    <x v="0"/>
    <s v="TRI"/>
  </r>
  <r>
    <s v="110017392533"/>
    <s v="Marathon Petroleum Co LLC - Catlettsburg Refining"/>
    <s v="1,3-BUTADIENE"/>
    <s v="106990"/>
    <m/>
    <x v="0"/>
    <n v="4.5977011494252875E-6"/>
    <s v="0"/>
    <n v="0"/>
    <x v="30"/>
    <s v="TRI"/>
  </r>
  <r>
    <s v="110017392533"/>
    <s v="Marathon Petroleum Co LLC - Catlettsburg Refining"/>
    <s v="AMMONIA"/>
    <s v="7664417"/>
    <m/>
    <x v="0"/>
    <n v="4.5977011494252875E-6"/>
    <s v="461"/>
    <n v="0.35091725660348633"/>
    <x v="16"/>
    <s v="TRI"/>
  </r>
  <r>
    <s v="110017392533"/>
    <s v="Marathon Petroleum Co LLC - Catlettsburg Refining"/>
    <s v="BENZENE"/>
    <s v="71432"/>
    <m/>
    <x v="0"/>
    <n v="4.5977011494252875E-6"/>
    <s v="0"/>
    <n v="0"/>
    <x v="1"/>
    <s v="TRI"/>
  </r>
  <r>
    <s v="110017392533"/>
    <s v="Marathon Petroleum Co LLC - Catlettsburg Refining"/>
    <s v="BENZO(G,H,I)PERYLENE"/>
    <s v="191242"/>
    <m/>
    <x v="0"/>
    <n v="4.5977011494252875E-6"/>
    <s v="0"/>
    <n v="0"/>
    <x v="32"/>
    <s v="TRI"/>
  </r>
  <r>
    <s v="110017392533"/>
    <s v="Marathon Petroleum Co LLC - Catlettsburg Refining"/>
    <s v="BIPHENYL"/>
    <s v="92524"/>
    <m/>
    <x v="0"/>
    <n v="4.5977011494252875E-6"/>
    <s v="1"/>
    <n v="7.6120879957372308E-4"/>
    <x v="52"/>
    <s v="TRI"/>
  </r>
  <r>
    <s v="110017392533"/>
    <s v="Marathon Petroleum Co LLC - Catlettsburg Refining"/>
    <s v="COBALT AND COBALT COMPOUNDS"/>
    <s v="7440484"/>
    <m/>
    <x v="0"/>
    <n v="4.5977011494252875E-6"/>
    <s v="0"/>
    <n v="0"/>
    <x v="76"/>
    <s v="TRI"/>
  </r>
  <r>
    <s v="110017392533"/>
    <s v="Marathon Petroleum Co LLC - Catlettsburg Refining"/>
    <s v="COPPER AND COPPER COMPOUNDS"/>
    <s v="7440508"/>
    <m/>
    <x v="0"/>
    <n v="4.5977011494252875E-6"/>
    <s v="0"/>
    <n v="0"/>
    <x v="60"/>
    <s v="TRI"/>
  </r>
  <r>
    <s v="110017392533"/>
    <s v="Marathon Petroleum Co LLC - Catlettsburg Refining"/>
    <s v="CUMENE"/>
    <s v="98828"/>
    <m/>
    <x v="0"/>
    <n v="4.5977011494252875E-6"/>
    <s v="0"/>
    <n v="0"/>
    <x v="6"/>
    <s v="TRI"/>
  </r>
  <r>
    <s v="110017392533"/>
    <s v="Marathon Petroleum Co LLC - Catlettsburg Refining"/>
    <s v="CYCLOHEXANE"/>
    <s v="110827"/>
    <m/>
    <x v="0"/>
    <n v="4.5977011494252875E-6"/>
    <s v="0"/>
    <n v="0"/>
    <x v="8"/>
    <s v="TRI"/>
  </r>
  <r>
    <s v="110017392533"/>
    <s v="Marathon Petroleum Co LLC - Catlettsburg Refining"/>
    <s v="ETHYLBENZENE"/>
    <s v="100414"/>
    <m/>
    <x v="0"/>
    <n v="4.5977011494252875E-6"/>
    <s v="1"/>
    <n v="7.6120879957372308E-4"/>
    <x v="10"/>
    <s v="TRI"/>
  </r>
  <r>
    <s v="110017392533"/>
    <s v="Marathon Petroleum Co LLC - Catlettsburg Refining"/>
    <s v="ETHYLENE"/>
    <s v="74851"/>
    <m/>
    <x v="0"/>
    <n v="4.5977011494252875E-6"/>
    <s v="0"/>
    <n v="0"/>
    <x v="38"/>
    <s v="TRI"/>
  </r>
  <r>
    <s v="110017392533"/>
    <s v="Marathon Petroleum Co LLC - Catlettsburg Refining"/>
    <s v="LEAD AND LEAD COMPOUNDS"/>
    <s v="7439921"/>
    <m/>
    <x v="0"/>
    <n v="4.5977011494252875E-6"/>
    <s v="31.1"/>
    <n v="2.3673593666742789E-2"/>
    <x v="11"/>
    <s v="TRI"/>
  </r>
  <r>
    <s v="110017392533"/>
    <s v="Marathon Petroleum Co LLC - Catlettsburg Refining"/>
    <s v="MERCURY AND MERCURY COMPOUNDS"/>
    <s v="N458"/>
    <m/>
    <x v="0"/>
    <n v="4.5977011494252875E-6"/>
    <s v="0"/>
    <n v="0"/>
    <x v="12"/>
    <s v="TRI"/>
  </r>
  <r>
    <s v="110017392533"/>
    <s v="Marathon Petroleum Co LLC - Catlettsburg Refining"/>
    <s v="METHANOL"/>
    <s v="67561"/>
    <m/>
    <x v="0"/>
    <n v="4.5977011494252875E-6"/>
    <s v="0"/>
    <n v="0"/>
    <x v="42"/>
    <s v="TRI"/>
  </r>
  <r>
    <s v="110017392533"/>
    <s v="Marathon Petroleum Co LLC - Catlettsburg Refining"/>
    <s v="MOLYBDENUM TRIOXIDE"/>
    <s v="1313275"/>
    <m/>
    <x v="0"/>
    <n v="4.5977011494252875E-6"/>
    <s v="0"/>
    <n v="0"/>
    <x v="44"/>
    <s v="TRI"/>
  </r>
  <r>
    <s v="110017392533"/>
    <s v="Marathon Petroleum Co LLC - Catlettsburg Refining"/>
    <s v="NAPHTHALENE"/>
    <s v="91203"/>
    <m/>
    <x v="0"/>
    <n v="4.5977011494252875E-6"/>
    <s v="0"/>
    <n v="0"/>
    <x v="13"/>
    <s v="TRI"/>
  </r>
  <r>
    <s v="110017392533"/>
    <s v="Marathon Petroleum Co LLC - Catlettsburg Refining"/>
    <s v="N-HEXANE"/>
    <s v="110543"/>
    <m/>
    <x v="0"/>
    <n v="4.5977011494252875E-6"/>
    <s v="3"/>
    <n v="2.2836263987211693E-3"/>
    <x v="14"/>
    <s v="TRI"/>
  </r>
  <r>
    <s v="110017392533"/>
    <s v="Marathon Petroleum Co LLC - Catlettsburg Refining"/>
    <s v="NICKEL AND NICKEL COMPOUNDS"/>
    <s v="N495"/>
    <m/>
    <x v="0"/>
    <n v="4.5977011494252875E-6"/>
    <s v="61"/>
    <n v="4.6433736773997106E-2"/>
    <x v="45"/>
    <s v="TRI"/>
  </r>
  <r>
    <s v="110017392533"/>
    <s v="Marathon Petroleum Co LLC - Catlettsburg Refining"/>
    <s v="NITRATE COMPOUNDS"/>
    <s v="14797558"/>
    <m/>
    <x v="0"/>
    <n v="4.5977011494252875E-6"/>
    <s v="90642"/>
    <n v="68.997488010961405"/>
    <x v="15"/>
    <s v="TRI"/>
  </r>
  <r>
    <s v="110017392533"/>
    <s v="Marathon Petroleum Co LLC - Catlettsburg Refining"/>
    <s v="POLYCYCLIC AROMATIC COMPOUNDS"/>
    <s v="N590"/>
    <m/>
    <x v="0"/>
    <n v="4.5977011494252875E-6"/>
    <s v="0"/>
    <n v="0"/>
    <x v="21"/>
    <s v="TRI"/>
  </r>
  <r>
    <s v="110017392533"/>
    <s v="Marathon Petroleum Co LLC - Catlettsburg Refining"/>
    <s v="PROPYLENE"/>
    <s v="115071"/>
    <m/>
    <x v="0"/>
    <n v="4.5977011494252875E-6"/>
    <s v="0"/>
    <n v="0"/>
    <x v="54"/>
    <s v="TRI"/>
  </r>
  <r>
    <s v="110017392533"/>
    <s v="Marathon Petroleum Co LLC - Catlettsburg Refining"/>
    <s v="STYRENE"/>
    <s v="100425"/>
    <m/>
    <x v="0"/>
    <n v="4.5977011494252875E-6"/>
    <s v="1"/>
    <n v="7.6120879957372308E-4"/>
    <x v="48"/>
    <s v="TRI"/>
  </r>
  <r>
    <s v="110017392533"/>
    <s v="Marathon Petroleum Co LLC - Catlettsburg Refining"/>
    <s v="TERT-BUTYL ALCOHOL"/>
    <s v="75650"/>
    <m/>
    <x v="0"/>
    <n v="4.5977011494252875E-6"/>
    <s v="0"/>
    <n v="0"/>
    <x v="49"/>
    <s v="TRI"/>
  </r>
  <r>
    <s v="110017392533"/>
    <s v="Marathon Petroleum Co LLC - Catlettsburg Refining"/>
    <s v="TOLUENE"/>
    <s v="108883"/>
    <m/>
    <x v="0"/>
    <n v="4.5977011494252875E-6"/>
    <s v="6"/>
    <n v="4.5672527974423387E-3"/>
    <x v="24"/>
    <s v="TRI"/>
  </r>
  <r>
    <s v="110017392533"/>
    <s v="Marathon Petroleum Co LLC - Catlettsburg Refining"/>
    <s v="XYLENE (MIXED ISOMERS)"/>
    <s v="1330207"/>
    <m/>
    <x v="0"/>
    <n v="4.5977011494252875E-6"/>
    <s v="6"/>
    <n v="4.5672527974423387E-3"/>
    <x v="25"/>
    <s v="TRI"/>
  </r>
  <r>
    <s v="110017392533"/>
    <s v="Marathon Petroleum Co LLC - Catlettsburg Refining"/>
    <s v="ZINC AND ZINC COMPOUNDS"/>
    <s v="7440666"/>
    <m/>
    <x v="0"/>
    <n v="4.5977011494252875E-6"/>
    <s v="931"/>
    <n v="0.70868539240313622"/>
    <x v="29"/>
    <s v="TRI"/>
  </r>
  <r>
    <s v="110000597079"/>
    <s v="Marathon Petroleum Co LP - LA Refining Division - Garyville Refinery"/>
    <s v="1,2,4-TRIMETHYLBENZENE"/>
    <s v="95636"/>
    <m/>
    <x v="2"/>
    <n v="2.2543961194511644E-6"/>
    <s v="7"/>
    <n v="2.61271073446327E-3"/>
    <x v="0"/>
    <s v="TRI"/>
  </r>
  <r>
    <s v="110000597079"/>
    <s v="Marathon Petroleum Co LP - LA Refining Division - Garyville Refinery"/>
    <s v="Benzene"/>
    <s v="71432"/>
    <n v="1.20086695"/>
    <x v="2"/>
    <n v="2.2543961194511644E-6"/>
    <s v=""/>
    <n v="7.4170679234442611E-9"/>
    <x v="1"/>
    <s v="DMR"/>
  </r>
  <r>
    <s v="110000597079"/>
    <s v="Marathon Petroleum Co LP - LA Refining Division - Garyville Refinery"/>
    <s v="BENZO(G,H,I)PERYLENE"/>
    <s v="191242"/>
    <m/>
    <x v="2"/>
    <n v="2.2543961194511644E-6"/>
    <s v="23"/>
    <n v="8.5846209846650295E-3"/>
    <x v="32"/>
    <s v="TRI"/>
  </r>
  <r>
    <s v="110000597079"/>
    <s v="Marathon Petroleum Co LP - LA Refining Division - Garyville Refinery"/>
    <s v="BOD, 5-day, 20 deg. C"/>
    <s v=""/>
    <n v="25027.283446699999"/>
    <x v="2"/>
    <n v="2.2543961194511644E-6"/>
    <s v=""/>
    <n v="1.545792073497119E-4"/>
    <x v="2"/>
    <s v="DMR"/>
  </r>
  <r>
    <s v="110000597079"/>
    <s v="Marathon Petroleum Co LP - LA Refining Division - Garyville Refinery"/>
    <s v="BTEX"/>
    <s v=""/>
    <n v="6.0591604749999997"/>
    <x v="2"/>
    <n v="2.2543961194511644E-6"/>
    <s v=""/>
    <n v="3.7423966745128419E-8"/>
    <x v="75"/>
    <s v="DMR"/>
  </r>
  <r>
    <s v="110000597079"/>
    <s v="Marathon Petroleum Co LP - LA Refining Division - Garyville Refinery"/>
    <s v="CARBON DISULFIDE"/>
    <s v="75150"/>
    <m/>
    <x v="2"/>
    <n v="2.2543961194511644E-6"/>
    <s v="115"/>
    <n v="4.2923104923325149E-2"/>
    <x v="34"/>
    <s v="TRI"/>
  </r>
  <r>
    <s v="110000597079"/>
    <s v="Marathon Petroleum Co LP - LA Refining Division - Garyville Refinery"/>
    <s v="Carbon, tot organic (TOC)"/>
    <s v="7440440"/>
    <n v="51108.755833000003"/>
    <x v="2"/>
    <n v="2.2543961194511644E-6"/>
    <s v=""/>
    <n v="3.1566953649285554E-4"/>
    <x v="3"/>
    <s v="DMR"/>
  </r>
  <r>
    <s v="110000597079"/>
    <s v="Marathon Petroleum Co LP - LA Refining Division - Garyville Refinery"/>
    <s v="COBALT AND COBALT COMPOUNDS"/>
    <s v="7440484"/>
    <m/>
    <x v="2"/>
    <n v="2.2543961194511644E-6"/>
    <s v="46"/>
    <n v="1.7169241969330059E-2"/>
    <x v="76"/>
    <s v="TRI"/>
  </r>
  <r>
    <s v="110000597079"/>
    <s v="Marathon Petroleum Co LP - LA Refining Division - Garyville Refinery"/>
    <s v="ETHYLBENZENE"/>
    <s v="100414"/>
    <m/>
    <x v="2"/>
    <n v="2.2543961194511644E-6"/>
    <s v="23"/>
    <n v="8.5846209846650295E-3"/>
    <x v="10"/>
    <s v="TRI"/>
  </r>
  <r>
    <s v="110000597079"/>
    <s v="Marathon Petroleum Co LP - LA Refining Division - Garyville Refinery"/>
    <s v="Lead, total (as Pb)"/>
    <s v="7439921"/>
    <n v="0.6483345425"/>
    <x v="2"/>
    <n v="2.2543961194511644E-6"/>
    <s v=""/>
    <n v="4.0043914430634136E-9"/>
    <x v="57"/>
    <s v="DMR"/>
  </r>
  <r>
    <s v="110000597079"/>
    <s v="Marathon Petroleum Co LP - LA Refining Division - Garyville Refinery"/>
    <s v="MERCURY AND MERCURY COMPOUNDS"/>
    <s v="N458"/>
    <m/>
    <x v="2"/>
    <n v="2.2543961194511644E-6"/>
    <s v="0.9"/>
    <n v="3.3591995157384902E-4"/>
    <x v="12"/>
    <s v="TRI"/>
  </r>
  <r>
    <s v="110000597079"/>
    <s v="Marathon Petroleum Co LP - LA Refining Division - Garyville Refinery"/>
    <s v="NAPHTHALENE"/>
    <s v="91203"/>
    <m/>
    <x v="2"/>
    <n v="2.2543961194511644E-6"/>
    <s v="23"/>
    <n v="8.5846209846650295E-3"/>
    <x v="13"/>
    <s v="TRI"/>
  </r>
  <r>
    <s v="110000597079"/>
    <s v="Marathon Petroleum Co LP - LA Refining Division - Garyville Refinery"/>
    <s v="N-HEXANE"/>
    <s v="110543"/>
    <m/>
    <x v="2"/>
    <n v="2.2543961194511644E-6"/>
    <s v="9"/>
    <n v="3.3591995157384895E-3"/>
    <x v="14"/>
    <s v="TRI"/>
  </r>
  <r>
    <s v="110000597079"/>
    <s v="Marathon Petroleum Co LP - LA Refining Division - Garyville Refinery"/>
    <s v="Nitrogen, ammonia total (as N)"/>
    <s v="7664417"/>
    <n v="1644.6258503399999"/>
    <x v="2"/>
    <n v="2.2543961194511644E-6"/>
    <s v=""/>
    <n v="1.0157912698508404E-5"/>
    <x v="16"/>
    <s v="DMR"/>
  </r>
  <r>
    <s v="110000597079"/>
    <s v="Marathon Petroleum Co LP - LA Refining Division - Garyville Refinery"/>
    <s v="Oil and grease"/>
    <s v=""/>
    <n v="48943.988490699987"/>
    <x v="2"/>
    <n v="2.2543961194511644E-6"/>
    <s v=""/>
    <n v="3.0229900746273015E-4"/>
    <x v="17"/>
    <s v="DMR"/>
  </r>
  <r>
    <s v="110000597079"/>
    <s v="Marathon Petroleum Co LP - LA Refining Division - Garyville Refinery"/>
    <s v="Chemical Oxygen Demand (COD)"/>
    <s v=""/>
    <n v="533028.96598600002"/>
    <x v="2"/>
    <n v="2.2543961194511644E-6"/>
    <s v=""/>
    <n v="3.2922148834901512E-3"/>
    <x v="18"/>
    <s v="DMR"/>
  </r>
  <r>
    <s v="110000597079"/>
    <s v="Marathon Petroleum Co LP - LA Refining Division - Garyville Refinery"/>
    <s v="Phenolics, total recoverable"/>
    <s v=""/>
    <n v="63.256235827700003"/>
    <x v="2"/>
    <n v="2.2543961194511644E-6"/>
    <s v=""/>
    <n v="3.9069756871521809E-7"/>
    <x v="20"/>
    <s v="DMR"/>
  </r>
  <r>
    <s v="110000597079"/>
    <s v="Marathon Petroleum Co LP - LA Refining Division - Garyville Refinery"/>
    <s v="POLYCYCLIC AROMATIC COMPOUNDS"/>
    <s v="N590"/>
    <m/>
    <x v="2"/>
    <n v="2.2543961194511644E-6"/>
    <s v="23"/>
    <n v="8.5846209846650295E-3"/>
    <x v="21"/>
    <s v="TRI"/>
  </r>
  <r>
    <s v="110000597079"/>
    <s v="Marathon Petroleum Co LP - LA Refining Division - Garyville Refinery"/>
    <s v="Solids, total suspended"/>
    <s v=""/>
    <n v="110013.5833271"/>
    <x v="2"/>
    <n v="2.2543961194511644E-6"/>
    <s v=""/>
    <n v="6.7949094613570292E-4"/>
    <x v="22"/>
    <s v="DMR"/>
  </r>
  <r>
    <s v="110000597079"/>
    <s v="Marathon Petroleum Co LP - LA Refining Division - Garyville Refinery"/>
    <s v="Sulfide, total (as S)"/>
    <s v="18496258"/>
    <n v="727.68253968299996"/>
    <x v="2"/>
    <n v="2.2543961194511644E-6"/>
    <s v=""/>
    <n v="4.4944786127499264E-6"/>
    <x v="23"/>
    <s v="DMR"/>
  </r>
  <r>
    <s v="110000597079"/>
    <s v="Marathon Petroleum Co LP - LA Refining Division - Garyville Refinery"/>
    <s v="TETRACHLOROETHYLENE"/>
    <s v="127184"/>
    <m/>
    <x v="2"/>
    <n v="2.2543961194511644E-6"/>
    <s v="23"/>
    <n v="8.5846209846650295E-3"/>
    <x v="50"/>
    <s v="TRI"/>
  </r>
  <r>
    <s v="110000597079"/>
    <s v="Marathon Petroleum Co LP - LA Refining Division - Garyville Refinery"/>
    <s v="TOLUENE"/>
    <s v="108883"/>
    <m/>
    <x v="2"/>
    <n v="2.2543961194511644E-6"/>
    <s v="24"/>
    <n v="8.9578653753026403E-3"/>
    <x v="24"/>
    <s v="TRI"/>
  </r>
  <r>
    <s v="110000597079"/>
    <s v="Marathon Petroleum Co LP - LA Refining Division - Garyville Refinery"/>
    <s v="XYLENE (MIXED ISOMERS)"/>
    <s v="1330207"/>
    <m/>
    <x v="2"/>
    <n v="2.2543961194511644E-6"/>
    <s v="23"/>
    <n v="8.5846209846650295E-3"/>
    <x v="25"/>
    <s v="TRI"/>
  </r>
  <r>
    <s v="110000597079"/>
    <s v="Marathon Petroleum Co LP - LA Refining Division - Garyville Refinery"/>
    <s v="ZINC AND ZINC COMPOUNDS"/>
    <s v="7440666"/>
    <m/>
    <x v="2"/>
    <n v="2.2543961194511644E-6"/>
    <s v="607"/>
    <n v="0.22655934511702924"/>
    <x v="29"/>
    <s v="TRI"/>
  </r>
  <r>
    <s v="110000493555"/>
    <s v="Marathon Petroleum Company LP - Canton Refinery (1576002006)"/>
    <s v="Barium, total (as Ba)"/>
    <s v="7440393"/>
    <n v="420.54680421500001"/>
    <x v="0"/>
    <n v="1.282051282051282E-5"/>
    <s v=""/>
    <n v="1.4771577246750967E-5"/>
    <x v="56"/>
    <s v="DMR"/>
  </r>
  <r>
    <s v="110000493555"/>
    <s v="Marathon Petroleum Company LP - Canton Refinery (1576002006)"/>
    <s v="BENZENE"/>
    <s v="71432"/>
    <m/>
    <x v="0"/>
    <n v="1.282051282051282E-5"/>
    <s v="0"/>
    <n v="0"/>
    <x v="1"/>
    <s v="TRI"/>
  </r>
  <r>
    <s v="110000493555"/>
    <s v="Marathon Petroleum Company LP - Canton Refinery (1576002006)"/>
    <s v="BOD, 5-day, 20 deg. C"/>
    <s v=""/>
    <n v="3620.3"/>
    <x v="0"/>
    <n v="1.282051282051282E-5"/>
    <s v=""/>
    <n v="1.2716192483315771E-4"/>
    <x v="2"/>
    <s v="DMR"/>
  </r>
  <r>
    <s v="110000493555"/>
    <s v="Marathon Petroleum Company LP - Canton Refinery (1576002006)"/>
    <s v="DIOXIN AND DIOXIN-LIKE COMPOUNDS"/>
    <s v="N150"/>
    <m/>
    <x v="0"/>
    <n v="1.282051282051282E-5"/>
    <s v="0"/>
    <n v="0"/>
    <x v="37"/>
    <s v="TRI"/>
  </r>
  <r>
    <s v="110000493555"/>
    <s v="Marathon Petroleum Company LP - Canton Refinery (1576002006)"/>
    <s v="Fluoride, total (as F)"/>
    <s v="16984488"/>
    <n v="3851.41"/>
    <x v="0"/>
    <n v="1.282051282051282E-5"/>
    <s v=""/>
    <n v="1.3527959255356517E-4"/>
    <x v="94"/>
    <s v="DMR"/>
  </r>
  <r>
    <s v="110000493555"/>
    <s v="Marathon Petroleum Company LP - Canton Refinery (1576002006)"/>
    <s v="LEAD AND LEAD COMPOUNDS"/>
    <s v="7439921"/>
    <m/>
    <x v="0"/>
    <n v="1.282051282051282E-5"/>
    <s v="23.1"/>
    <n v="4.903209373408049E-2"/>
    <x v="11"/>
    <s v="TRI"/>
  </r>
  <r>
    <s v="110000493555"/>
    <s v="Marathon Petroleum Company LP - Canton Refinery (1576002006)"/>
    <s v="Nitrogen, ammonia total (as N)"/>
    <s v="7664417"/>
    <n v="1200.44791852"/>
    <x v="0"/>
    <n v="1.282051282051282E-5"/>
    <s v=""/>
    <n v="4.216536419107833E-5"/>
    <x v="16"/>
    <s v="DMR"/>
  </r>
  <r>
    <s v="110000493555"/>
    <s v="Marathon Petroleum Company LP - Canton Refinery (1576002006)"/>
    <s v="Oil and grease (soxhlet extr.) tot."/>
    <s v=""/>
    <n v="133.30000000000001"/>
    <x v="0"/>
    <n v="1.282051282051282E-5"/>
    <s v=""/>
    <n v="4.6821215314366005E-6"/>
    <x v="82"/>
    <s v="DMR"/>
  </r>
  <r>
    <s v="110000493555"/>
    <s v="Marathon Petroleum Company LP - Canton Refinery (1576002006)"/>
    <s v="Chemical Oxygen Demand (COD)"/>
    <s v=""/>
    <n v="74190"/>
    <x v="0"/>
    <n v="1.282051282051282E-5"/>
    <s v=""/>
    <n v="2.605900948366702E-3"/>
    <x v="18"/>
    <s v="DMR"/>
  </r>
  <r>
    <s v="110000493555"/>
    <s v="Marathon Petroleum Company LP - Canton Refinery (1576002006)"/>
    <s v="PROPYLENE"/>
    <s v="115071"/>
    <m/>
    <x v="0"/>
    <n v="1.282051282051282E-5"/>
    <s v="0"/>
    <n v="0"/>
    <x v="54"/>
    <s v="TRI"/>
  </r>
  <r>
    <s v="110000493555"/>
    <s v="Marathon Petroleum Company LP - Canton Refinery (1576002006)"/>
    <s v="Residue, tot fltrble (dried at 105 C)"/>
    <s v=""/>
    <n v="4666542.0298600001"/>
    <x v="0"/>
    <n v="1.282051282051282E-5"/>
    <s v=""/>
    <n v="0.16391085457885496"/>
    <x v="131"/>
    <s v="DMR"/>
  </r>
  <r>
    <s v="110000493555"/>
    <s v="Marathon Petroleum Company LP - Canton Refinery (1576002006)"/>
    <s v="Selenium, total (as Se)"/>
    <s v="7782492"/>
    <n v="44.182952235000002"/>
    <x v="0"/>
    <n v="1.282051282051282E-5"/>
    <s v=""/>
    <n v="1.5519126180189676E-6"/>
    <x v="55"/>
    <s v="DMR"/>
  </r>
  <r>
    <s v="110000493555"/>
    <s v="Marathon Petroleum Company LP - Canton Refinery (1576002006)"/>
    <s v="Solids, total suspended"/>
    <s v=""/>
    <n v="758.7"/>
    <x v="0"/>
    <n v="1.282051282051282E-5"/>
    <s v=""/>
    <n v="2.6649104320337201E-5"/>
    <x v="22"/>
    <s v="DMR"/>
  </r>
  <r>
    <s v="110000336440"/>
    <s v="MONROE ENERGY LLC/TRAINER"/>
    <s v="1,2,4-TRIMETHYLBENZENE"/>
    <s v="95636"/>
    <m/>
    <x v="4"/>
    <n v="5.4054054054054052E-6"/>
    <s v="14"/>
    <n v="1.2529085376767496E-2"/>
    <x v="0"/>
    <s v="TRI"/>
  </r>
  <r>
    <s v="110000336440"/>
    <s v="MONROE ENERGY LLC/TRAINER"/>
    <s v="1,3-BUTADIENE"/>
    <s v="106990"/>
    <m/>
    <x v="4"/>
    <n v="5.4054054054054052E-6"/>
    <s v="0"/>
    <n v="0"/>
    <x v="30"/>
    <s v="TRI"/>
  </r>
  <r>
    <s v="110000336440"/>
    <s v="MONROE ENERGY LLC/TRAINER"/>
    <s v="Aluminum, total (as Al)"/>
    <s v="7429905"/>
    <n v="86362.781410449999"/>
    <x v="4"/>
    <n v="5.4054054054054052E-6"/>
    <s v=""/>
    <n v="1.2789749190736763E-3"/>
    <x v="91"/>
    <s v="DMR"/>
  </r>
  <r>
    <s v="110000336440"/>
    <s v="MONROE ENERGY LLC/TRAINER"/>
    <s v="ANTHRACENE"/>
    <s v="120127"/>
    <m/>
    <x v="4"/>
    <n v="5.4054054054054052E-6"/>
    <s v="0"/>
    <n v="0"/>
    <x v="31"/>
    <s v="TRI"/>
  </r>
  <r>
    <s v="110000336440"/>
    <s v="MONROE ENERGY LLC/TRAINER"/>
    <s v="ANTIMONY AND ANTIMONY COMPOUNDS"/>
    <s v="7440360"/>
    <m/>
    <x v="4"/>
    <n v="5.4054054054054052E-6"/>
    <s v="0"/>
    <n v="0"/>
    <x v="92"/>
    <s v="TRI"/>
  </r>
  <r>
    <s v="110000336440"/>
    <s v="MONROE ENERGY LLC/TRAINER"/>
    <s v="BENZENE"/>
    <s v="71432"/>
    <m/>
    <x v="4"/>
    <n v="5.4054054054054052E-6"/>
    <s v="14"/>
    <n v="1.2529085376767496E-2"/>
    <x v="1"/>
    <s v="TRI"/>
  </r>
  <r>
    <s v="110000336440"/>
    <s v="MONROE ENERGY LLC/TRAINER"/>
    <s v="BENZO(G,H,I)PERYLENE"/>
    <s v="191242"/>
    <m/>
    <x v="4"/>
    <n v="5.4054054054054052E-6"/>
    <s v="0"/>
    <n v="0"/>
    <x v="32"/>
    <s v="TRI"/>
  </r>
  <r>
    <s v="110000336440"/>
    <s v="MONROE ENERGY LLC/TRAINER"/>
    <s v="BOD, 5-day, 20 deg. C"/>
    <s v=""/>
    <n v="10227.210884399999"/>
    <x v="4"/>
    <n v="5.4054054054054052E-6"/>
    <s v=""/>
    <n v="1.5145813971714179E-4"/>
    <x v="2"/>
    <s v="DMR"/>
  </r>
  <r>
    <s v="110000336440"/>
    <s v="MONROE ENERGY LLC/TRAINER"/>
    <s v="BOD, carbonaceous, 20 day, 20 C"/>
    <s v=""/>
    <n v="45409.070294800003"/>
    <x v="4"/>
    <n v="5.4054054054054052E-6"/>
    <s v=""/>
    <n v="6.7247790144094781E-4"/>
    <x v="132"/>
    <s v="DMR"/>
  </r>
  <r>
    <s v="110000336440"/>
    <s v="MONROE ENERGY LLC/TRAINER"/>
    <s v="Chlorine, total residual"/>
    <s v="7782505"/>
    <n v="6136.5250801499997"/>
    <x v="4"/>
    <n v="5.4054054054054052E-6"/>
    <s v=""/>
    <n v="9.0877824215475741E-5"/>
    <x v="53"/>
    <s v="DMR"/>
  </r>
  <r>
    <s v="110000336440"/>
    <s v="MONROE ENERGY LLC/TRAINER"/>
    <s v="Chromium, hexavalent (as Cr)"/>
    <s v="18540299"/>
    <n v="0"/>
    <x v="4"/>
    <n v="5.4054054054054052E-6"/>
    <s v=""/>
    <n v="0"/>
    <x v="4"/>
    <s v="DMR"/>
  </r>
  <r>
    <s v="110000336440"/>
    <s v="MONROE ENERGY LLC/TRAINER"/>
    <s v="Chromium, total (as Cr)"/>
    <s v="7440473"/>
    <n v="1.0702947845799999"/>
    <x v="4"/>
    <n v="5.4054054054054052E-6"/>
    <s v=""/>
    <n v="1.5850348531358754E-8"/>
    <x v="5"/>
    <s v="DMR"/>
  </r>
  <r>
    <s v="110000336440"/>
    <s v="MONROE ENERGY LLC/TRAINER"/>
    <s v="Copper, total (as Cu)"/>
    <s v="7440508"/>
    <n v="5.9143198799999999"/>
    <x v="4"/>
    <n v="5.4054054054054052E-6"/>
    <s v=""/>
    <n v="8.7587114105886707E-8"/>
    <x v="68"/>
    <s v="DMR"/>
  </r>
  <r>
    <s v="110000336440"/>
    <s v="MONROE ENERGY LLC/TRAINER"/>
    <s v="CUMENE"/>
    <s v="98828"/>
    <m/>
    <x v="4"/>
    <n v="5.4054054054054052E-6"/>
    <s v="14"/>
    <n v="1.2529085376767496E-2"/>
    <x v="6"/>
    <s v="TRI"/>
  </r>
  <r>
    <s v="110000336440"/>
    <s v="MONROE ENERGY LLC/TRAINER"/>
    <s v="Cyanide, free available"/>
    <s v="57125"/>
    <n v="8.4809737999999992"/>
    <x v="4"/>
    <n v="5.4054054054054052E-6"/>
    <s v=""/>
    <n v="1.2559753868937428E-7"/>
    <x v="133"/>
    <s v="DMR"/>
  </r>
  <r>
    <s v="110000336440"/>
    <s v="MONROE ENERGY LLC/TRAINER"/>
    <s v="Cyanide, total (as CN)"/>
    <s v="57125"/>
    <n v="239.85956429500001"/>
    <x v="4"/>
    <n v="5.4054054054054052E-6"/>
    <s v=""/>
    <n v="3.5521594119955571E-6"/>
    <x v="85"/>
    <s v="DMR"/>
  </r>
  <r>
    <s v="110000336440"/>
    <s v="MONROE ENERGY LLC/TRAINER"/>
    <s v="CYCLOHEXANE"/>
    <s v="110827"/>
    <m/>
    <x v="4"/>
    <n v="5.4054054054054052E-6"/>
    <s v="14"/>
    <n v="1.2529085376767496E-2"/>
    <x v="8"/>
    <s v="TRI"/>
  </r>
  <r>
    <s v="110000336440"/>
    <s v="MONROE ENERGY LLC/TRAINER"/>
    <s v="DIETHANOLAMINE"/>
    <s v="111422"/>
    <m/>
    <x v="4"/>
    <n v="5.4054054054054052E-6"/>
    <s v="0"/>
    <n v="0"/>
    <x v="9"/>
    <s v="TRI"/>
  </r>
  <r>
    <s v="110000336440"/>
    <s v="MONROE ENERGY LLC/TRAINER"/>
    <s v="DIOXIN AND DIOXIN-LIKE COMPOUNDS"/>
    <s v="N150"/>
    <m/>
    <x v="4"/>
    <n v="5.4054054054054052E-6"/>
    <s v="0"/>
    <n v="0"/>
    <x v="37"/>
    <s v="TRI"/>
  </r>
  <r>
    <s v="110000336440"/>
    <s v="MONROE ENERGY LLC/TRAINER"/>
    <s v="ETHYLBENZENE"/>
    <s v="100414"/>
    <m/>
    <x v="4"/>
    <n v="5.4054054054054052E-6"/>
    <s v="14"/>
    <n v="1.2529085376767496E-2"/>
    <x v="10"/>
    <s v="TRI"/>
  </r>
  <r>
    <s v="110000336440"/>
    <s v="MONROE ENERGY LLC/TRAINER"/>
    <s v="ETHYLENE"/>
    <s v="74851"/>
    <m/>
    <x v="4"/>
    <n v="5.4054054054054052E-6"/>
    <s v="0"/>
    <n v="0"/>
    <x v="38"/>
    <s v="TRI"/>
  </r>
  <r>
    <s v="110000336440"/>
    <s v="MONROE ENERGY LLC/TRAINER"/>
    <s v="HYDROGEN CYANIDE"/>
    <s v="74908"/>
    <m/>
    <x v="4"/>
    <n v="5.4054054054054052E-6"/>
    <s v="0"/>
    <n v="0"/>
    <x v="41"/>
    <s v="TRI"/>
  </r>
  <r>
    <s v="110000336440"/>
    <s v="MONROE ENERGY LLC/TRAINER"/>
    <s v="HYDROGEN FLUORIDE"/>
    <s v="7664393"/>
    <m/>
    <x v="4"/>
    <n v="5.4054054054054052E-6"/>
    <s v="0"/>
    <n v="0"/>
    <x v="77"/>
    <s v="TRI"/>
  </r>
  <r>
    <s v="110000336440"/>
    <s v="MONROE ENERGY LLC/TRAINER"/>
    <s v="Iron, total (as Fe)"/>
    <s v="7439896"/>
    <n v="33604.255772800003"/>
    <x v="4"/>
    <n v="5.4054054054054052E-6"/>
    <s v=""/>
    <n v="4.9765650903813409E-4"/>
    <x v="110"/>
    <s v="DMR"/>
  </r>
  <r>
    <s v="110000336440"/>
    <s v="MONROE ENERGY LLC/TRAINER"/>
    <s v="Lead, total (as Pb)"/>
    <s v="7439921"/>
    <n v="9.5763528000000004"/>
    <x v="4"/>
    <n v="5.4054054054054052E-6"/>
    <s v=""/>
    <n v="1.4181936764161421E-7"/>
    <x v="57"/>
    <s v="DMR"/>
  </r>
  <r>
    <s v="110000336440"/>
    <s v="MONROE ENERGY LLC/TRAINER"/>
    <s v="Magnesium, total (as Mg)"/>
    <s v="7439954"/>
    <n v="26911.767447599999"/>
    <x v="4"/>
    <n v="5.4054054054054052E-6"/>
    <s v=""/>
    <n v="3.9854524172676782E-4"/>
    <x v="134"/>
    <s v="DMR"/>
  </r>
  <r>
    <s v="110000336440"/>
    <s v="MONROE ENERGY LLC/TRAINER"/>
    <s v="MERCURY AND MERCURY COMPOUNDS"/>
    <s v="N458"/>
    <m/>
    <x v="4"/>
    <n v="5.4054054054054052E-6"/>
    <s v="0"/>
    <n v="0"/>
    <x v="12"/>
    <s v="TRI"/>
  </r>
  <r>
    <s v="110000336440"/>
    <s v="MONROE ENERGY LLC/TRAINER"/>
    <s v="MOLYBDENUM TRIOXIDE"/>
    <s v="1313275"/>
    <m/>
    <x v="4"/>
    <n v="5.4054054054054052E-6"/>
    <s v="0"/>
    <n v="0"/>
    <x v="44"/>
    <s v="TRI"/>
  </r>
  <r>
    <s v="110000336440"/>
    <s v="MONROE ENERGY LLC/TRAINER"/>
    <s v="NAPHTHALENE"/>
    <s v="91203"/>
    <m/>
    <x v="4"/>
    <n v="5.4054054054054052E-6"/>
    <s v="14"/>
    <n v="1.2529085376767496E-2"/>
    <x v="13"/>
    <s v="TRI"/>
  </r>
  <r>
    <s v="110000336440"/>
    <s v="MONROE ENERGY LLC/TRAINER"/>
    <s v="N-HEXANE"/>
    <s v="110543"/>
    <m/>
    <x v="4"/>
    <n v="5.4054054054054052E-6"/>
    <s v="14"/>
    <n v="1.2529085376767496E-2"/>
    <x v="14"/>
    <s v="TRI"/>
  </r>
  <r>
    <s v="110000336440"/>
    <s v="MONROE ENERGY LLC/TRAINER"/>
    <s v="NICKEL AND NICKEL COMPOUNDS"/>
    <s v="N495"/>
    <m/>
    <x v="4"/>
    <n v="5.4054054054054052E-6"/>
    <s v="0"/>
    <n v="0"/>
    <x v="45"/>
    <s v="TRI"/>
  </r>
  <r>
    <s v="110000336440"/>
    <s v="MONROE ENERGY LLC/TRAINER"/>
    <s v="NITRATE COMPOUNDS"/>
    <s v="14797558"/>
    <m/>
    <x v="4"/>
    <n v="5.4054054054054052E-6"/>
    <s v="165863"/>
    <n v="148.43654913191335"/>
    <x v="15"/>
    <s v="TRI"/>
  </r>
  <r>
    <s v="110000336440"/>
    <s v="MONROE ENERGY LLC/TRAINER"/>
    <s v="Nitrogen, ammonia total (as N)"/>
    <s v="7664417"/>
    <n v="36575.963718799998"/>
    <x v="4"/>
    <n v="5.4054054054054052E-6"/>
    <s v=""/>
    <n v="5.4166551231099591E-4"/>
    <x v="16"/>
    <s v="DMR"/>
  </r>
  <r>
    <s v="110000336440"/>
    <s v="MONROE ENERGY LLC/TRAINER"/>
    <s v="Oil &amp; grease"/>
    <s v=""/>
    <n v="0"/>
    <x v="4"/>
    <n v="5.4054054054054052E-6"/>
    <s v=""/>
    <n v="0"/>
    <x v="28"/>
    <s v="DMR"/>
  </r>
  <r>
    <s v="110000336440"/>
    <s v="MONROE ENERGY LLC/TRAINER"/>
    <s v="Chemical Oxygen Demand (COD)"/>
    <s v=""/>
    <n v="148517.46031699999"/>
    <x v="4"/>
    <n v="5.4054054054054052E-6"/>
    <s v=""/>
    <n v="2.1994440624509438E-3"/>
    <x v="18"/>
    <s v="DMR"/>
  </r>
  <r>
    <s v="110000336440"/>
    <s v="MONROE ENERGY LLC/TRAINER"/>
    <s v="PHENANTHRENE"/>
    <s v="85018"/>
    <m/>
    <x v="4"/>
    <n v="5.4054054054054052E-6"/>
    <s v="0"/>
    <n v="0"/>
    <x v="46"/>
    <s v="TRI"/>
  </r>
  <r>
    <s v="110000336440"/>
    <s v="MONROE ENERGY LLC/TRAINER"/>
    <s v="PHENOL"/>
    <s v="108952"/>
    <m/>
    <x v="4"/>
    <n v="5.4054054054054052E-6"/>
    <s v="0.7"/>
    <n v="6.2645426883837477E-4"/>
    <x v="19"/>
    <s v="TRI"/>
  </r>
  <r>
    <s v="110000336440"/>
    <s v="MONROE ENERGY LLC/TRAINER"/>
    <s v="Phenolics, total recoverable"/>
    <s v=""/>
    <n v="0"/>
    <x v="4"/>
    <n v="5.4054054054054052E-6"/>
    <s v=""/>
    <n v="0"/>
    <x v="20"/>
    <s v="DMR"/>
  </r>
  <r>
    <s v="110000336440"/>
    <s v="MONROE ENERGY LLC/TRAINER"/>
    <s v="POLYCYCLIC AROMATIC COMPOUNDS"/>
    <s v="N590"/>
    <m/>
    <x v="4"/>
    <n v="5.4054054054054052E-6"/>
    <s v="0.8"/>
    <n v="7.1594773581528553E-4"/>
    <x v="21"/>
    <s v="TRI"/>
  </r>
  <r>
    <s v="110000336440"/>
    <s v="MONROE ENERGY LLC/TRAINER"/>
    <s v="PROPYLENE"/>
    <s v="115071"/>
    <m/>
    <x v="4"/>
    <n v="5.4054054054054052E-6"/>
    <s v="0"/>
    <n v="0"/>
    <x v="54"/>
    <s v="TRI"/>
  </r>
  <r>
    <s v="110000336440"/>
    <s v="MONROE ENERGY LLC/TRAINER"/>
    <s v="Selenium, total (as Se)"/>
    <s v="7782492"/>
    <n v="43.457973334999998"/>
    <x v="4"/>
    <n v="5.4054054054054052E-6"/>
    <s v=""/>
    <n v="6.4358346293965188E-7"/>
    <x v="55"/>
    <s v="DMR"/>
  </r>
  <r>
    <s v="110000336440"/>
    <s v="MONROE ENERGY LLC/TRAINER"/>
    <s v="Solids, total suspended"/>
    <s v=""/>
    <n v="19553.7414966"/>
    <x v="4"/>
    <n v="5.4054054054054052E-6"/>
    <s v=""/>
    <n v="2.8957780816882636E-4"/>
    <x v="22"/>
    <s v="DMR"/>
  </r>
  <r>
    <s v="110000336440"/>
    <s v="MONROE ENERGY LLC/TRAINER"/>
    <s v="Sulfide, total (as S)"/>
    <s v="18496258"/>
    <n v="97.959183673499993"/>
    <x v="4"/>
    <n v="5.4054054054054052E-6"/>
    <s v=""/>
    <n v="1.4507098655831172E-6"/>
    <x v="23"/>
    <s v="DMR"/>
  </r>
  <r>
    <s v="110000336440"/>
    <s v="MONROE ENERGY LLC/TRAINER"/>
    <s v="TOLUENE"/>
    <s v="108883"/>
    <m/>
    <x v="4"/>
    <n v="5.4054054054054052E-6"/>
    <s v="14"/>
    <n v="1.2529085376767496E-2"/>
    <x v="24"/>
    <s v="TRI"/>
  </r>
  <r>
    <s v="110000336440"/>
    <s v="MONROE ENERGY LLC/TRAINER"/>
    <s v="XYLENE (MIXED ISOMERS)"/>
    <s v="1330207"/>
    <m/>
    <x v="4"/>
    <n v="5.4054054054054052E-6"/>
    <s v="27.9"/>
    <n v="2.4968677286558077E-2"/>
    <x v="25"/>
    <s v="TRI"/>
  </r>
  <r>
    <s v="110000336440"/>
    <s v="MONROE ENERGY LLC/TRAINER"/>
    <s v="Zinc, total (as Zn)"/>
    <s v="7440666"/>
    <n v="39.171377565"/>
    <x v="4"/>
    <n v="5.4054054054054052E-6"/>
    <s v=""/>
    <n v="5.8010185212884113E-7"/>
    <x v="98"/>
    <s v="DMR"/>
  </r>
  <r>
    <s v="110000597337"/>
    <s v="Motiva Enterprises LLC - Convent Refinery"/>
    <s v="Alkalinity, phenolphthaline method"/>
    <s v=""/>
    <n v="228360.70022999999"/>
    <x v="4"/>
    <n v="4.3300295510163335E-6"/>
    <s v=""/>
    <n v="2.7090646035251571E-3"/>
    <x v="135"/>
    <s v="DMR"/>
  </r>
  <r>
    <s v="110000597337"/>
    <s v="Motiva Enterprises LLC - Convent Refinery"/>
    <s v="BOD, 5-day, 20 deg. C"/>
    <s v=""/>
    <n v="38775.963718799998"/>
    <x v="4"/>
    <n v="4.3300295510163335E-6"/>
    <s v=""/>
    <n v="4.6000292814120874E-4"/>
    <x v="2"/>
    <s v="DMR"/>
  </r>
  <r>
    <s v="110000597337"/>
    <s v="Motiva Enterprises LLC - Convent Refinery"/>
    <s v="Carbon, tot organic (TOC)"/>
    <s v="7440440"/>
    <n v="150673.81747000001"/>
    <x v="4"/>
    <n v="4.3300295510163335E-6"/>
    <s v=""/>
    <n v="1.7874577594781949E-3"/>
    <x v="3"/>
    <s v="DMR"/>
  </r>
  <r>
    <s v="110000597337"/>
    <s v="Motiva Enterprises LLC - Convent Refinery"/>
    <s v="NITRATE COMPOUNDS"/>
    <s v="14797558"/>
    <m/>
    <x v="4"/>
    <n v="4.3300295510163335E-6"/>
    <s v="489417"/>
    <n v="350.85928357115245"/>
    <x v="15"/>
    <s v="TRI"/>
  </r>
  <r>
    <s v="110000597337"/>
    <s v="Motiva Enterprises LLC - Convent Refinery"/>
    <s v="Nitrogen, ammonia total (as N)"/>
    <s v="7664417"/>
    <n v="5381.85941043"/>
    <x v="4"/>
    <n v="4.3300295510163335E-6"/>
    <s v=""/>
    <n v="6.3845507634458201E-5"/>
    <x v="16"/>
    <s v="DMR"/>
  </r>
  <r>
    <s v="110000597337"/>
    <s v="Motiva Enterprises LLC - Convent Refinery"/>
    <s v="Oil and grease"/>
    <s v=""/>
    <n v="14823.1292517"/>
    <x v="4"/>
    <n v="4.3300295510163335E-6"/>
    <s v=""/>
    <n v="1.7584818547505652E-4"/>
    <x v="17"/>
    <s v="DMR"/>
  </r>
  <r>
    <s v="110000597337"/>
    <s v="Motiva Enterprises LLC - Convent Refinery"/>
    <s v="Chemical Oxygen Demand (COD)"/>
    <s v=""/>
    <n v="264924.26303899998"/>
    <x v="4"/>
    <n v="4.3300295510163335E-6"/>
    <s v=""/>
    <n v="3.1428216102468332E-3"/>
    <x v="18"/>
    <s v="DMR"/>
  </r>
  <r>
    <s v="110000597337"/>
    <s v="Motiva Enterprises LLC - Convent Refinery"/>
    <s v="PHENOL"/>
    <s v="108952"/>
    <m/>
    <x v="4"/>
    <n v="4.3300295510163335E-6"/>
    <s v="5462"/>
    <n v="3.9156657959687444"/>
    <x v="19"/>
    <s v="TRI"/>
  </r>
  <r>
    <s v="110000597337"/>
    <s v="Motiva Enterprises LLC - Convent Refinery"/>
    <s v="Phenolics, total recoverable"/>
    <s v=""/>
    <n v="44.766439909299997"/>
    <x v="4"/>
    <n v="4.3300295510163335E-6"/>
    <s v=""/>
    <n v="5.3106851424949569E-7"/>
    <x v="20"/>
    <s v="DMR"/>
  </r>
  <r>
    <s v="110000597337"/>
    <s v="Motiva Enterprises LLC - Convent Refinery"/>
    <s v="Solids, total suspended"/>
    <s v=""/>
    <n v="84513.832199500001"/>
    <x v="4"/>
    <n v="4.3300295510163335E-6"/>
    <s v=""/>
    <n v="1.0025955914889609E-3"/>
    <x v="22"/>
    <s v="DMR"/>
  </r>
  <r>
    <s v="110000597337"/>
    <s v="Motiva Enterprises LLC - Convent Refinery"/>
    <s v="Sulfide, total (as S)"/>
    <s v="18496258"/>
    <n v="110.340136054"/>
    <x v="4"/>
    <n v="4.3300295510163335E-6"/>
    <s v=""/>
    <n v="1.3089754788410487E-6"/>
    <x v="23"/>
    <s v="DMR"/>
  </r>
  <r>
    <s v="110000448864"/>
    <s v="Motiva Enterprises LLC - Norco Refinery"/>
    <s v="BOD, 5-day, 20 deg. C"/>
    <s v=""/>
    <n v="0"/>
    <x v="2"/>
    <n v="4.4678032185486709E-6"/>
    <s v=""/>
    <n v="0"/>
    <x v="2"/>
    <s v="DMR"/>
  </r>
  <r>
    <s v="110000448864"/>
    <s v="Motiva Enterprises LLC - Norco Refinery"/>
    <s v="Carbon, tot organic (TOC)"/>
    <s v="7440440"/>
    <n v="1716765.7465104999"/>
    <x v="2"/>
    <n v="4.4678032185486709E-6"/>
    <s v=""/>
    <n v="2.1014168569188283E-2"/>
    <x v="3"/>
    <s v="DMR"/>
  </r>
  <r>
    <s v="110000448864"/>
    <s v="Motiva Enterprises LLC - Norco Refinery"/>
    <s v="Copper, total (as Cu)"/>
    <s v="7440508"/>
    <n v="0"/>
    <x v="2"/>
    <n v="4.4678032185486709E-6"/>
    <s v=""/>
    <n v="0"/>
    <x v="68"/>
    <s v="DMR"/>
  </r>
  <r>
    <s v="110000448864"/>
    <s v="Motiva Enterprises LLC - Norco Refinery"/>
    <s v="Nitrogen, ammonia total (as N)"/>
    <s v="7664417"/>
    <n v="7288.8888888900001"/>
    <x v="2"/>
    <n v="4.4678032185486709E-6"/>
    <s v=""/>
    <n v="8.9220058184729837E-5"/>
    <x v="16"/>
    <s v="DMR"/>
  </r>
  <r>
    <s v="110000448864"/>
    <s v="Motiva Enterprises LLC - Norco Refinery"/>
    <s v="Oil and grease"/>
    <s v=""/>
    <n v="530826.56799999997"/>
    <x v="2"/>
    <n v="4.4678032185486709E-6"/>
    <s v=""/>
    <n v="6.4976127369905335E-3"/>
    <x v="17"/>
    <s v="DMR"/>
  </r>
  <r>
    <s v="110000448864"/>
    <s v="Motiva Enterprises LLC - Norco Refinery"/>
    <s v="Phenolics, total recoverable"/>
    <s v=""/>
    <n v="0"/>
    <x v="2"/>
    <n v="4.4678032185486709E-6"/>
    <s v=""/>
    <n v="0"/>
    <x v="20"/>
    <s v="DMR"/>
  </r>
  <r>
    <s v="110000448864"/>
    <s v="Motiva Enterprises LLC - Norco Refinery"/>
    <s v="Solids, total suspended"/>
    <s v=""/>
    <n v="169622.67573700001"/>
    <x v="2"/>
    <n v="4.4678032185486709E-6"/>
    <s v=""/>
    <n v="2.0762759906756334E-3"/>
    <x v="22"/>
    <s v="DMR"/>
  </r>
  <r>
    <s v="110000448864"/>
    <s v="Motiva Enterprises LLC - Norco Refinery"/>
    <s v="Sulfide, total (as S)"/>
    <s v="18496258"/>
    <n v="68.888888888899999"/>
    <x v="2"/>
    <n v="4.4678032185486709E-6"/>
    <s v=""/>
    <n v="8.4323835479471006E-7"/>
    <x v="23"/>
    <s v="DMR"/>
  </r>
  <r>
    <s v="110015862440"/>
    <s v="NATIONAL COOP. REFINERY ASSN."/>
    <s v="1,2,4-TRIMETHYLBENZENE"/>
    <s v="95636"/>
    <m/>
    <x v="2"/>
    <n v="1.2091898428053204E-5"/>
    <s v="0"/>
    <n v="0"/>
    <x v="0"/>
    <s v="TRI"/>
  </r>
  <r>
    <s v="110015862440"/>
    <s v="NATIONAL COOP. REFINERY ASSN."/>
    <s v="1,3-BUTADIENE"/>
    <s v="106990"/>
    <m/>
    <x v="2"/>
    <n v="1.2091898428053204E-5"/>
    <s v="0"/>
    <n v="0"/>
    <x v="30"/>
    <s v="TRI"/>
  </r>
  <r>
    <s v="110015862440"/>
    <s v="NATIONAL COOP. REFINERY ASSN."/>
    <s v="AMMONIA"/>
    <s v="7664417"/>
    <m/>
    <x v="2"/>
    <n v="1.2091898428053204E-5"/>
    <s v="0"/>
    <n v="0"/>
    <x v="16"/>
    <s v="TRI"/>
  </r>
  <r>
    <s v="110015862440"/>
    <s v="NATIONAL COOP. REFINERY ASSN."/>
    <s v="BENZENE"/>
    <s v="71432"/>
    <m/>
    <x v="2"/>
    <n v="1.2091898428053204E-5"/>
    <s v="0"/>
    <n v="0"/>
    <x v="1"/>
    <s v="TRI"/>
  </r>
  <r>
    <s v="110015862440"/>
    <s v="NATIONAL COOP. REFINERY ASSN."/>
    <s v="BENZO(G,H,I)PERYLENE"/>
    <s v="191242"/>
    <m/>
    <x v="2"/>
    <n v="1.2091898428053204E-5"/>
    <s v="0"/>
    <n v="0"/>
    <x v="32"/>
    <s v="TRI"/>
  </r>
  <r>
    <s v="110015862440"/>
    <s v="NATIONAL COOP. REFINERY ASSN."/>
    <s v="COBALT AND COBALT COMPOUNDS"/>
    <s v="7440484"/>
    <m/>
    <x v="2"/>
    <n v="1.2091898428053204E-5"/>
    <s v="0"/>
    <n v="0"/>
    <x v="76"/>
    <s v="TRI"/>
  </r>
  <r>
    <s v="110015862440"/>
    <s v="NATIONAL COOP. REFINERY ASSN."/>
    <s v="CRESOL (MIXED ISOMERS)"/>
    <s v="1319773"/>
    <m/>
    <x v="2"/>
    <n v="1.2091898428053204E-5"/>
    <s v="0"/>
    <n v="0"/>
    <x v="61"/>
    <s v="TRI"/>
  </r>
  <r>
    <s v="110015862440"/>
    <s v="NATIONAL COOP. REFINERY ASSN."/>
    <s v="CYCLOHEXANE"/>
    <s v="110827"/>
    <m/>
    <x v="2"/>
    <n v="1.2091898428053204E-5"/>
    <s v="0"/>
    <n v="0"/>
    <x v="8"/>
    <s v="TRI"/>
  </r>
  <r>
    <s v="110015862440"/>
    <s v="NATIONAL COOP. REFINERY ASSN."/>
    <s v="ETHYLBENZENE"/>
    <s v="100414"/>
    <m/>
    <x v="2"/>
    <n v="1.2091898428053204E-5"/>
    <s v="0"/>
    <n v="0"/>
    <x v="10"/>
    <s v="TRI"/>
  </r>
  <r>
    <s v="110015862440"/>
    <s v="NATIONAL COOP. REFINERY ASSN."/>
    <s v="ETHYLENE"/>
    <s v="74851"/>
    <m/>
    <x v="2"/>
    <n v="1.2091898428053204E-5"/>
    <s v="0"/>
    <n v="0"/>
    <x v="38"/>
    <s v="TRI"/>
  </r>
  <r>
    <s v="110015862440"/>
    <s v="NATIONAL COOP. REFINERY ASSN."/>
    <s v="ETHYLENE GLYCOL"/>
    <s v="107211"/>
    <m/>
    <x v="2"/>
    <n v="1.2091898428053204E-5"/>
    <s v="0"/>
    <n v="0"/>
    <x v="39"/>
    <s v="TRI"/>
  </r>
  <r>
    <s v="110015862440"/>
    <s v="NATIONAL COOP. REFINERY ASSN."/>
    <s v="HYDROGEN FLUORIDE"/>
    <s v="7664393"/>
    <m/>
    <x v="2"/>
    <n v="1.2091898428053204E-5"/>
    <s v="0"/>
    <n v="0"/>
    <x v="77"/>
    <s v="TRI"/>
  </r>
  <r>
    <s v="110015862440"/>
    <s v="NATIONAL COOP. REFINERY ASSN."/>
    <s v="LEAD AND LEAD COMPOUNDS"/>
    <s v="7439921"/>
    <m/>
    <x v="2"/>
    <n v="1.2091898428053204E-5"/>
    <s v="0"/>
    <n v="0"/>
    <x v="11"/>
    <s v="TRI"/>
  </r>
  <r>
    <s v="110015862440"/>
    <s v="NATIONAL COOP. REFINERY ASSN."/>
    <s v="MERCURY AND MERCURY COMPOUNDS"/>
    <s v="N458"/>
    <m/>
    <x v="2"/>
    <n v="1.2091898428053204E-5"/>
    <s v="0"/>
    <n v="0"/>
    <x v="12"/>
    <s v="TRI"/>
  </r>
  <r>
    <s v="110015862440"/>
    <s v="NATIONAL COOP. REFINERY ASSN."/>
    <s v="METHANOL"/>
    <s v="67561"/>
    <m/>
    <x v="2"/>
    <n v="1.2091898428053204E-5"/>
    <s v="0"/>
    <n v="0"/>
    <x v="42"/>
    <s v="TRI"/>
  </r>
  <r>
    <s v="110015862440"/>
    <s v="NATIONAL COOP. REFINERY ASSN."/>
    <s v="MOLYBDENUM TRIOXIDE"/>
    <s v="1313275"/>
    <m/>
    <x v="2"/>
    <n v="1.2091898428053204E-5"/>
    <s v="0"/>
    <n v="0"/>
    <x v="44"/>
    <s v="TRI"/>
  </r>
  <r>
    <s v="110015862440"/>
    <s v="NATIONAL COOP. REFINERY ASSN."/>
    <s v="NAPHTHALENE"/>
    <s v="91203"/>
    <m/>
    <x v="2"/>
    <n v="1.2091898428053204E-5"/>
    <s v="0"/>
    <n v="0"/>
    <x v="13"/>
    <s v="TRI"/>
  </r>
  <r>
    <s v="110015862440"/>
    <s v="NATIONAL COOP. REFINERY ASSN."/>
    <s v="N-HEXANE"/>
    <s v="110543"/>
    <m/>
    <x v="2"/>
    <n v="1.2091898428053204E-5"/>
    <s v="0"/>
    <n v="0"/>
    <x v="14"/>
    <s v="TRI"/>
  </r>
  <r>
    <s v="110015862440"/>
    <s v="NATIONAL COOP. REFINERY ASSN."/>
    <s v="NICKEL AND NICKEL COMPOUNDS"/>
    <s v="N495"/>
    <m/>
    <x v="2"/>
    <n v="1.2091898428053204E-5"/>
    <s v="0"/>
    <n v="0"/>
    <x v="45"/>
    <s v="TRI"/>
  </r>
  <r>
    <s v="110015862440"/>
    <s v="NATIONAL COOP. REFINERY ASSN."/>
    <s v="POLYCYCLIC AROMATIC COMPOUNDS"/>
    <s v="N590"/>
    <m/>
    <x v="2"/>
    <n v="1.2091898428053204E-5"/>
    <s v="0"/>
    <n v="0"/>
    <x v="21"/>
    <s v="TRI"/>
  </r>
  <r>
    <s v="110015862440"/>
    <s v="NATIONAL COOP. REFINERY ASSN."/>
    <s v="PROPYLENE"/>
    <s v="115071"/>
    <m/>
    <x v="2"/>
    <n v="1.2091898428053204E-5"/>
    <s v="0"/>
    <n v="0"/>
    <x v="54"/>
    <s v="TRI"/>
  </r>
  <r>
    <s v="110015862440"/>
    <s v="NATIONAL COOP. REFINERY ASSN."/>
    <s v="TETRACHLOROETHYLENE"/>
    <s v="127184"/>
    <m/>
    <x v="2"/>
    <n v="1.2091898428053204E-5"/>
    <s v="0"/>
    <n v="0"/>
    <x v="50"/>
    <s v="TRI"/>
  </r>
  <r>
    <s v="110015862440"/>
    <s v="NATIONAL COOP. REFINERY ASSN."/>
    <s v="TOLUENE"/>
    <s v="108883"/>
    <m/>
    <x v="2"/>
    <n v="1.2091898428053204E-5"/>
    <s v="0"/>
    <n v="0"/>
    <x v="24"/>
    <s v="TRI"/>
  </r>
  <r>
    <s v="110015862440"/>
    <s v="NATIONAL COOP. REFINERY ASSN."/>
    <s v="XYLENE (MIXED ISOMERS)"/>
    <s v="1330207"/>
    <m/>
    <x v="2"/>
    <n v="1.2091898428053204E-5"/>
    <s v="0"/>
    <n v="0"/>
    <x v="25"/>
    <s v="TRI"/>
  </r>
  <r>
    <s v="110015862440"/>
    <s v="NATIONAL COOP. REFINERY ASSN."/>
    <s v="ZINC AND ZINC COMPOUNDS"/>
    <s v="7440666"/>
    <m/>
    <x v="2"/>
    <n v="1.2091898428053204E-5"/>
    <s v="0"/>
    <n v="0"/>
    <x v="29"/>
    <s v="TRI"/>
  </r>
  <r>
    <s v="110000468226"/>
    <s v="Newcastle Refinery"/>
    <s v="AMMONIA"/>
    <s v="7664417"/>
    <m/>
    <x v="0"/>
    <n v="7.8266104756170981E-5"/>
    <s v="4262.1"/>
    <n v="55.2281399141186"/>
    <x v="16"/>
    <s v="TRI"/>
  </r>
  <r>
    <s v="110000462703"/>
    <s v="PASADENA REFINING SYSTEM"/>
    <s v="BENZENE"/>
    <s v="71432"/>
    <m/>
    <x v="3"/>
    <n v="8.4410134427104247E-6"/>
    <s v="1.39"/>
    <n v="1.9425511068489221E-3"/>
    <x v="1"/>
    <s v="TRI"/>
  </r>
  <r>
    <s v="110000462703"/>
    <s v="PASADENA REFINING SYSTEM"/>
    <s v="ETHYLBENZENE"/>
    <s v="100414"/>
    <m/>
    <x v="3"/>
    <n v="8.4410134427104247E-6"/>
    <s v="2.66"/>
    <n v="3.7173999598691604E-3"/>
    <x v="10"/>
    <s v="TRI"/>
  </r>
  <r>
    <s v="110000462703"/>
    <s v="PASADENA REFINING SYSTEM"/>
    <s v="TOLUENE"/>
    <s v="108883"/>
    <m/>
    <x v="3"/>
    <n v="8.4410134427104247E-6"/>
    <s v="1.04"/>
    <n v="1.4534195331819275E-3"/>
    <x v="24"/>
    <s v="TRI"/>
  </r>
  <r>
    <s v="110000462703"/>
    <s v="PASADENA REFINING SYSTEM"/>
    <s v="XYLENE (MIXED ISOMERS)"/>
    <s v="1330207"/>
    <m/>
    <x v="3"/>
    <n v="8.4410134427104247E-6"/>
    <s v="6.58"/>
    <n v="9.1956735849395028E-3"/>
    <x v="25"/>
    <s v="TRI"/>
  </r>
  <r>
    <s v="110022294569"/>
    <s v="Paulsboro Refining Company LLC"/>
    <s v="1,2,4-TRIMETHYLBENZENE"/>
    <s v="95636"/>
    <m/>
    <x v="3"/>
    <n v="3.9258236338528303E-6"/>
    <s v="134"/>
    <n v="8.7096087241105832E-2"/>
    <x v="0"/>
    <s v="TRI"/>
  </r>
  <r>
    <s v="110022294569"/>
    <s v="Paulsboro Refining Company LLC"/>
    <s v="1,3-BUTADIENE"/>
    <s v="106990"/>
    <m/>
    <x v="3"/>
    <n v="3.9258236338528303E-6"/>
    <s v="0"/>
    <n v="0"/>
    <x v="30"/>
    <s v="TRI"/>
  </r>
  <r>
    <s v="110022294569"/>
    <s v="Paulsboro Refining Company LLC"/>
    <s v="AMMONIA"/>
    <s v="7664417"/>
    <m/>
    <x v="3"/>
    <n v="3.9258236338528303E-6"/>
    <s v="2195"/>
    <n v="1.4266859066733379"/>
    <x v="16"/>
    <s v="TRI"/>
  </r>
  <r>
    <s v="110022294569"/>
    <s v="Paulsboro Refining Company LLC"/>
    <s v="BENZENE"/>
    <s v="71432"/>
    <m/>
    <x v="3"/>
    <n v="3.9258236338528303E-6"/>
    <s v="13"/>
    <n v="8.4496204039878793E-3"/>
    <x v="1"/>
    <s v="TRI"/>
  </r>
  <r>
    <s v="110022294569"/>
    <s v="Paulsboro Refining Company LLC"/>
    <s v="BENZO(G,H,I)PERYLENE"/>
    <s v="191242"/>
    <m/>
    <x v="3"/>
    <n v="3.9258236338528303E-6"/>
    <s v="134"/>
    <n v="8.7096087241105832E-2"/>
    <x v="32"/>
    <s v="TRI"/>
  </r>
  <r>
    <s v="110022294569"/>
    <s v="Paulsboro Refining Company LLC"/>
    <s v="Chlorine produced oxidants"/>
    <s v=""/>
    <n v="3698.2443935000001"/>
    <x v="3"/>
    <n v="3.9258236338528303E-6"/>
    <s v=""/>
    <n v="3.97771376541535E-5"/>
    <x v="136"/>
    <s v="DMR"/>
  </r>
  <r>
    <s v="110022294569"/>
    <s v="Paulsboro Refining Company LLC"/>
    <s v="COBALT AND COBALT COMPOUNDS"/>
    <s v="7440484"/>
    <m/>
    <x v="3"/>
    <n v="3.9258236338528303E-6"/>
    <s v="67"/>
    <n v="4.3548043620552916E-2"/>
    <x v="76"/>
    <s v="TRI"/>
  </r>
  <r>
    <s v="110022294569"/>
    <s v="Paulsboro Refining Company LLC"/>
    <s v="CUMENE"/>
    <s v="98828"/>
    <m/>
    <x v="3"/>
    <n v="3.9258236338528303E-6"/>
    <s v="134"/>
    <n v="8.7096087241105832E-2"/>
    <x v="6"/>
    <s v="TRI"/>
  </r>
  <r>
    <s v="110022294569"/>
    <s v="Paulsboro Refining Company LLC"/>
    <s v="CYCLOHEXANE"/>
    <s v="110827"/>
    <m/>
    <x v="3"/>
    <n v="3.9258236338528303E-6"/>
    <s v="134"/>
    <n v="8.7096087241105832E-2"/>
    <x v="8"/>
    <s v="TRI"/>
  </r>
  <r>
    <s v="110022294569"/>
    <s v="Paulsboro Refining Company LLC"/>
    <s v="DIETHANOLAMINE"/>
    <s v="111422"/>
    <m/>
    <x v="3"/>
    <n v="3.9258236338528303E-6"/>
    <s v="13"/>
    <n v="8.4496204039878793E-3"/>
    <x v="9"/>
    <s v="TRI"/>
  </r>
  <r>
    <s v="110022294569"/>
    <s v="Paulsboro Refining Company LLC"/>
    <s v="DIOXIN AND DIOXIN-LIKE COMPOUNDS"/>
    <s v="N150"/>
    <m/>
    <x v="3"/>
    <n v="3.9258236338528303E-6"/>
    <s v="0"/>
    <n v="0"/>
    <x v="37"/>
    <s v="TRI"/>
  </r>
  <r>
    <s v="110022294569"/>
    <s v="Paulsboro Refining Company LLC"/>
    <s v="ETHYLBENZENE"/>
    <s v="100414"/>
    <m/>
    <x v="3"/>
    <n v="3.9258236338528303E-6"/>
    <s v="13"/>
    <n v="8.4496204039878793E-3"/>
    <x v="10"/>
    <s v="TRI"/>
  </r>
  <r>
    <s v="110022294569"/>
    <s v="Paulsboro Refining Company LLC"/>
    <s v="HYDROGEN FLUORIDE"/>
    <s v="7664393"/>
    <m/>
    <x v="3"/>
    <n v="3.9258236338528303E-6"/>
    <s v="0"/>
    <n v="0"/>
    <x v="77"/>
    <s v="TRI"/>
  </r>
  <r>
    <s v="110022294569"/>
    <s v="Paulsboro Refining Company LLC"/>
    <s v="LEAD AND LEAD COMPOUNDS"/>
    <s v="7439921"/>
    <m/>
    <x v="3"/>
    <n v="3.9258236338528303E-6"/>
    <s v="67.2"/>
    <n v="4.3678037780614271E-2"/>
    <x v="11"/>
    <s v="TRI"/>
  </r>
  <r>
    <s v="110022294569"/>
    <s v="Paulsboro Refining Company LLC"/>
    <s v="MERCURY AND MERCURY COMPOUNDS"/>
    <s v="N458"/>
    <m/>
    <x v="3"/>
    <n v="3.9258236338528303E-6"/>
    <s v="2.7"/>
    <n v="1.754921160828252E-3"/>
    <x v="12"/>
    <s v="TRI"/>
  </r>
  <r>
    <s v="110022294569"/>
    <s v="Paulsboro Refining Company LLC"/>
    <s v="METHANOL"/>
    <s v="67561"/>
    <m/>
    <x v="3"/>
    <n v="3.9258236338528303E-6"/>
    <s v="0"/>
    <n v="0"/>
    <x v="42"/>
    <s v="TRI"/>
  </r>
  <r>
    <s v="110022294569"/>
    <s v="Paulsboro Refining Company LLC"/>
    <s v="NAPHTHALENE"/>
    <s v="91203"/>
    <m/>
    <x v="3"/>
    <n v="3.9258236338528303E-6"/>
    <s v="134"/>
    <n v="8.7096087241105832E-2"/>
    <x v="13"/>
    <s v="TRI"/>
  </r>
  <r>
    <s v="110022294569"/>
    <s v="Paulsboro Refining Company LLC"/>
    <s v="N-HEXANE"/>
    <s v="110543"/>
    <m/>
    <x v="3"/>
    <n v="3.9258236338528303E-6"/>
    <s v="134"/>
    <n v="8.7096087241105832E-2"/>
    <x v="14"/>
    <s v="TRI"/>
  </r>
  <r>
    <s v="110022294569"/>
    <s v="Paulsboro Refining Company LLC"/>
    <s v="NICKEL AND NICKEL COMPOUNDS"/>
    <s v="N495"/>
    <m/>
    <x v="3"/>
    <n v="3.9258236338528303E-6"/>
    <s v="121"/>
    <n v="7.8646466837117956E-2"/>
    <x v="45"/>
    <s v="TRI"/>
  </r>
  <r>
    <s v="110022294569"/>
    <s v="Paulsboro Refining Company LLC"/>
    <s v="NITRATE COMPOUNDS"/>
    <s v="14797558"/>
    <m/>
    <x v="3"/>
    <n v="3.9258236338528303E-6"/>
    <s v="793598"/>
    <n v="515.815527181844"/>
    <x v="15"/>
    <s v="TRI"/>
  </r>
  <r>
    <s v="110022294569"/>
    <s v="Paulsboro Refining Company LLC"/>
    <s v="Oil and grease, hexane extr method"/>
    <s v=""/>
    <n v="3969.1849130000001"/>
    <x v="3"/>
    <n v="3.9258236338528303E-6"/>
    <s v=""/>
    <n v="4.2691287502979426E-5"/>
    <x v="65"/>
    <s v="DMR"/>
  </r>
  <r>
    <s v="110022294569"/>
    <s v="Paulsboro Refining Company LLC"/>
    <s v="Chemical Oxygen Demand (COD)"/>
    <s v=""/>
    <n v="40083.005412999999"/>
    <x v="3"/>
    <n v="3.9258236338528303E-6"/>
    <s v=""/>
    <n v="4.3112002730467486E-4"/>
    <x v="18"/>
    <s v="DMR"/>
  </r>
  <r>
    <s v="110022294569"/>
    <s v="Paulsboro Refining Company LLC"/>
    <s v="Phosphorus, total (as P)"/>
    <s v="7723140"/>
    <n v="5800.6"/>
    <x v="3"/>
    <n v="3.9258236338528303E-6"/>
    <s v=""/>
    <n v="6.2389404302812964E-5"/>
    <x v="66"/>
    <s v="DMR"/>
  </r>
  <r>
    <s v="110022294569"/>
    <s v="Paulsboro Refining Company LLC"/>
    <s v="POLYCYCLIC AROMATIC COMPOUNDS"/>
    <s v="N590"/>
    <m/>
    <x v="3"/>
    <n v="3.9258236338528303E-6"/>
    <s v="13.4"/>
    <n v="8.7096087241105829E-3"/>
    <x v="21"/>
    <s v="TRI"/>
  </r>
  <r>
    <s v="110022294569"/>
    <s v="Paulsboro Refining Company LLC"/>
    <s v="Solids, total suspended"/>
    <s v=""/>
    <n v="14366.588239999999"/>
    <x v="3"/>
    <n v="3.9258236338528303E-6"/>
    <s v=""/>
    <n v="1.5452244287787436E-4"/>
    <x v="22"/>
    <s v="DMR"/>
  </r>
  <r>
    <s v="110022294569"/>
    <s v="Paulsboro Refining Company LLC"/>
    <s v="TOLUENE"/>
    <s v="108883"/>
    <m/>
    <x v="3"/>
    <n v="3.9258236338528303E-6"/>
    <s v="13"/>
    <n v="8.4496204039878793E-3"/>
    <x v="24"/>
    <s v="TRI"/>
  </r>
  <r>
    <s v="110022294569"/>
    <s v="Paulsboro Refining Company LLC"/>
    <s v="VANADIUM AND VANADIUM COMPOUNDS"/>
    <s v="7440622"/>
    <m/>
    <x v="3"/>
    <n v="3.9258236338528303E-6"/>
    <s v="67"/>
    <n v="4.3548043620552916E-2"/>
    <x v="78"/>
    <s v="TRI"/>
  </r>
  <r>
    <s v="110022294569"/>
    <s v="Paulsboro Refining Company LLC"/>
    <s v="XYLENE (MIXED ISOMERS)"/>
    <s v="1330207"/>
    <m/>
    <x v="3"/>
    <n v="3.9258236338528303E-6"/>
    <s v="13"/>
    <n v="8.4496204039878793E-3"/>
    <x v="25"/>
    <s v="TRI"/>
  </r>
  <r>
    <s v="110000549513"/>
    <s v="Pelican Refining Co LLC"/>
    <s v="BENZENE"/>
    <s v="71432"/>
    <m/>
    <x v="5"/>
    <n v="3.0716147127522115E-5"/>
    <s v="1.64"/>
    <n v="8.3401459087973952E-3"/>
    <x v="1"/>
    <s v="TRI"/>
  </r>
  <r>
    <s v="110000549513"/>
    <s v="Pelican Refining Co LLC"/>
    <s v="ETHYLBENZENE"/>
    <s v="100414"/>
    <m/>
    <x v="5"/>
    <n v="3.0716147127522115E-5"/>
    <s v="2.75"/>
    <n v="1.3985000761702948E-2"/>
    <x v="10"/>
    <s v="TRI"/>
  </r>
  <r>
    <s v="110000549513"/>
    <s v="Pelican Refining Co LLC"/>
    <s v="PHENOL"/>
    <s v="108952"/>
    <m/>
    <x v="5"/>
    <n v="3.0716147127522115E-5"/>
    <s v="0.55"/>
    <n v="2.7970001523405902E-3"/>
    <x v="19"/>
    <s v="TRI"/>
  </r>
  <r>
    <s v="110000549513"/>
    <s v="Pelican Refining Co LLC"/>
    <s v="TOLUENE"/>
    <s v="108883"/>
    <m/>
    <x v="5"/>
    <n v="3.0716147127522115E-5"/>
    <s v="2.75"/>
    <n v="1.3985000761702948E-2"/>
    <x v="24"/>
    <s v="TRI"/>
  </r>
  <r>
    <s v="110000549513"/>
    <s v="Pelican Refining Co LLC"/>
    <s v="XYLENE (MIXED ISOMERS)"/>
    <s v="1330207"/>
    <m/>
    <x v="5"/>
    <n v="3.0716147127522115E-5"/>
    <s v="0"/>
    <n v="0"/>
    <x v="25"/>
    <s v="TRI"/>
  </r>
  <r>
    <s v="110041133163"/>
    <s v="PHILLIPS 66 CO"/>
    <s v="1,2,4-TRIMETHYLBENZENE"/>
    <s v="95636"/>
    <m/>
    <x v="0"/>
    <n v="3.0515855977427466E-6"/>
    <s v="15"/>
    <n v="7.5784410539968868E-3"/>
    <x v="0"/>
    <s v="TRI"/>
  </r>
  <r>
    <s v="110041133163"/>
    <s v="PHILLIPS 66 CO"/>
    <s v="1,3-BUTADIENE"/>
    <s v="106990"/>
    <m/>
    <x v="0"/>
    <n v="3.0515855977427466E-6"/>
    <s v="0"/>
    <n v="0"/>
    <x v="30"/>
    <s v="TRI"/>
  </r>
  <r>
    <s v="110041133163"/>
    <s v="PHILLIPS 66 CO"/>
    <s v="AMMONIA"/>
    <s v="7664417"/>
    <m/>
    <x v="0"/>
    <n v="3.0515855977427466E-6"/>
    <s v="100"/>
    <n v="5.052294035997925E-2"/>
    <x v="16"/>
    <s v="TRI"/>
  </r>
  <r>
    <s v="110041133163"/>
    <s v="PHILLIPS 66 CO"/>
    <s v="BENZENE"/>
    <s v="71432"/>
    <m/>
    <x v="0"/>
    <n v="3.0515855977427466E-6"/>
    <s v="300"/>
    <n v="0.15156882107993774"/>
    <x v="1"/>
    <s v="TRI"/>
  </r>
  <r>
    <s v="110041133163"/>
    <s v="PHILLIPS 66 CO"/>
    <s v="CUMENE"/>
    <s v="98828"/>
    <m/>
    <x v="0"/>
    <n v="3.0515855977427466E-6"/>
    <s v="2"/>
    <n v="1.0104588071995851E-3"/>
    <x v="6"/>
    <s v="TRI"/>
  </r>
  <r>
    <s v="110041133163"/>
    <s v="PHILLIPS 66 CO"/>
    <s v="CYCLOHEXANE"/>
    <s v="110827"/>
    <m/>
    <x v="0"/>
    <n v="3.0515855977427466E-6"/>
    <s v="2"/>
    <n v="1.0104588071995851E-3"/>
    <x v="8"/>
    <s v="TRI"/>
  </r>
  <r>
    <s v="110041133163"/>
    <s v="PHILLIPS 66 CO"/>
    <s v="ETHYLBENZENE"/>
    <s v="100414"/>
    <m/>
    <x v="0"/>
    <n v="3.0515855977427466E-6"/>
    <s v="200"/>
    <n v="0.1010458807199585"/>
    <x v="10"/>
    <s v="TRI"/>
  </r>
  <r>
    <s v="110041133163"/>
    <s v="PHILLIPS 66 CO"/>
    <s v="LEAD AND LEAD COMPOUNDS"/>
    <s v="7439921"/>
    <m/>
    <x v="0"/>
    <n v="3.0515855977427466E-6"/>
    <s v="110"/>
    <n v="5.5575234395977169E-2"/>
    <x v="11"/>
    <s v="TRI"/>
  </r>
  <r>
    <s v="110041133163"/>
    <s v="PHILLIPS 66 CO"/>
    <s v="NAPHTHALENE"/>
    <s v="91203"/>
    <m/>
    <x v="0"/>
    <n v="3.0515855977427466E-6"/>
    <s v="300"/>
    <n v="0.15156882107993774"/>
    <x v="13"/>
    <s v="TRI"/>
  </r>
  <r>
    <s v="110041133163"/>
    <s v="PHILLIPS 66 CO"/>
    <s v="N-HEXANE"/>
    <s v="110543"/>
    <m/>
    <x v="0"/>
    <n v="3.0515855977427466E-6"/>
    <s v="3"/>
    <n v="1.5156882107993774E-3"/>
    <x v="14"/>
    <s v="TRI"/>
  </r>
  <r>
    <s v="110041133163"/>
    <s v="PHILLIPS 66 CO"/>
    <s v="NICKEL AND NICKEL COMPOUNDS"/>
    <s v="N495"/>
    <m/>
    <x v="0"/>
    <n v="3.0515855977427466E-6"/>
    <s v="500"/>
    <n v="0.2526147017998962"/>
    <x v="45"/>
    <s v="TRI"/>
  </r>
  <r>
    <s v="110041133163"/>
    <s v="PHILLIPS 66 CO"/>
    <s v="NITRATE COMPOUNDS"/>
    <s v="14797558"/>
    <m/>
    <x v="0"/>
    <n v="3.0515855977427466E-6"/>
    <s v="2600000"/>
    <n v="1313.5964493594604"/>
    <x v="15"/>
    <s v="TRI"/>
  </r>
  <r>
    <s v="110041133163"/>
    <s v="PHILLIPS 66 CO"/>
    <s v="PHENOL"/>
    <s v="108952"/>
    <m/>
    <x v="0"/>
    <n v="3.0515855977427466E-6"/>
    <s v="36"/>
    <n v="1.8188258529592528E-2"/>
    <x v="19"/>
    <s v="TRI"/>
  </r>
  <r>
    <s v="110041133163"/>
    <s v="PHILLIPS 66 CO"/>
    <s v="POLYCYCLIC AROMATIC COMPOUNDS"/>
    <s v="N590"/>
    <m/>
    <x v="0"/>
    <n v="3.0515855977427466E-6"/>
    <s v="1.97"/>
    <n v="9.9530192509159109E-4"/>
    <x v="21"/>
    <s v="TRI"/>
  </r>
  <r>
    <s v="110041133163"/>
    <s v="PHILLIPS 66 CO"/>
    <s v="TOLUENE"/>
    <s v="108883"/>
    <m/>
    <x v="0"/>
    <n v="3.0515855977427466E-6"/>
    <s v="600"/>
    <n v="0.30313764215987549"/>
    <x v="24"/>
    <s v="TRI"/>
  </r>
  <r>
    <s v="110041133163"/>
    <s v="PHILLIPS 66 CO"/>
    <s v="XYLENE (MIXED ISOMERS)"/>
    <s v="1330207"/>
    <m/>
    <x v="0"/>
    <n v="3.0515855977427466E-6"/>
    <s v="1500"/>
    <n v="0.75784410539968872"/>
    <x v="25"/>
    <s v="TRI"/>
  </r>
  <r>
    <s v="110000483487"/>
    <s v="PHILLIPS 66 COMPANY - SAN FRAN"/>
    <s v="1,2,4-TRIMETHYLBENZENE"/>
    <s v="95636"/>
    <m/>
    <x v="2"/>
    <n v="6.8988587888980795E-6"/>
    <s v="5"/>
    <n v="5.7109758186242379E-3"/>
    <x v="0"/>
    <s v="TRI"/>
  </r>
  <r>
    <s v="110000481755"/>
    <s v="PHILLIPS 66 COMPANY - SAN FRAN"/>
    <s v="1,2,4-TRIMETHYLBENZENE"/>
    <s v="95636"/>
    <m/>
    <x v="2"/>
    <n v="6.8988587888980795E-6"/>
    <s v="0"/>
    <n v="0"/>
    <x v="0"/>
    <s v="TRI"/>
  </r>
  <r>
    <s v="110000483487"/>
    <s v="PHILLIPS 66 COMPANY - SAN FRAN"/>
    <s v="Aluminum, total (as Al)"/>
    <s v="7429905"/>
    <n v="301.91703519999999"/>
    <x v="2"/>
    <n v="6.8988587888980795E-6"/>
    <s v=""/>
    <n v="5.7065287446782756E-6"/>
    <x v="91"/>
    <s v="DMR"/>
  </r>
  <r>
    <s v="110000483487"/>
    <s v="PHILLIPS 66 COMPANY - SAN FRAN"/>
    <s v="Arsenic, total (as As)"/>
    <s v="7440382"/>
    <n v="48.702049199999998"/>
    <x v="2"/>
    <n v="6.8988587888980795E-6"/>
    <s v=""/>
    <n v="9.2051660318018254E-7"/>
    <x v="26"/>
    <s v="DMR"/>
  </r>
  <r>
    <s v="110000483487"/>
    <s v="PHILLIPS 66 COMPANY - SAN FRAN"/>
    <s v="BENZENE"/>
    <s v="71432"/>
    <m/>
    <x v="2"/>
    <n v="6.8988587888980795E-6"/>
    <s v="2"/>
    <n v="2.2843903274496953E-3"/>
    <x v="1"/>
    <s v="TRI"/>
  </r>
  <r>
    <s v="110000481755"/>
    <s v="PHILLIPS 66 COMPANY - SAN FRAN"/>
    <s v="BENZENE"/>
    <s v="71432"/>
    <m/>
    <x v="2"/>
    <n v="6.8988587888980795E-6"/>
    <s v="0"/>
    <n v="0"/>
    <x v="1"/>
    <s v="TRI"/>
  </r>
  <r>
    <s v="110000483487"/>
    <s v="PHILLIPS 66 COMPANY - SAN FRAN"/>
    <s v="BENZO(G,H,I)PERYLENE"/>
    <s v="191242"/>
    <m/>
    <x v="2"/>
    <n v="6.8988587888980795E-6"/>
    <s v="0"/>
    <n v="0"/>
    <x v="32"/>
    <s v="TRI"/>
  </r>
  <r>
    <s v="110000481755"/>
    <s v="PHILLIPS 66 COMPANY - SAN FRAN"/>
    <s v="BENZO(G,H,I)PERYLENE"/>
    <s v="191242"/>
    <m/>
    <x v="2"/>
    <n v="6.8988587888980795E-6"/>
    <s v="0"/>
    <n v="0"/>
    <x v="32"/>
    <s v="TRI"/>
  </r>
  <r>
    <s v="110000481755"/>
    <s v="PHILLIPS 66 COMPANY - SAN FRAN"/>
    <s v="BIPHENYL"/>
    <s v="92524"/>
    <m/>
    <x v="2"/>
    <n v="6.8988587888980795E-6"/>
    <s v="0.6"/>
    <n v="6.8531709823490855E-4"/>
    <x v="52"/>
    <s v="TRI"/>
  </r>
  <r>
    <s v="110000483487"/>
    <s v="PHILLIPS 66 COMPANY - SAN FRAN"/>
    <s v="BOD, 5-day, 20 deg. C"/>
    <s v=""/>
    <n v="24128.798185899999"/>
    <x v="2"/>
    <n v="6.8988587888980795E-6"/>
    <s v=""/>
    <n v="4.560580039187513E-4"/>
    <x v="2"/>
    <s v="DMR"/>
  </r>
  <r>
    <s v="110000481755"/>
    <s v="PHILLIPS 66 COMPANY - SAN FRAN"/>
    <s v="Chemical Oxygen Demand (COD)"/>
    <s v=""/>
    <n v="139861.22448999999"/>
    <x v="2"/>
    <n v="6.8988587888980795E-6"/>
    <s v=""/>
    <n v="2.6435146241065308E-3"/>
    <x v="18"/>
    <s v="DMR"/>
  </r>
  <r>
    <s v="110000483487"/>
    <s v="PHILLIPS 66 COMPANY - SAN FRAN"/>
    <s v="Chemical Oxygen Demand (COD)"/>
    <s v=""/>
    <n v="85480.272108799996"/>
    <x v="2"/>
    <n v="6.8988587888980795E-6"/>
    <s v=""/>
    <n v="1.6156611685347786E-3"/>
    <x v="18"/>
    <s v="DMR"/>
  </r>
  <r>
    <s v="110000483487"/>
    <s v="PHILLIPS 66 COMPANY - SAN FRAN"/>
    <s v="Chlorine, total residual"/>
    <s v="7782505"/>
    <n v="1249.05"/>
    <x v="2"/>
    <n v="6.8988587888980795E-6"/>
    <s v=""/>
    <n v="2.3608272795268889E-5"/>
    <x v="53"/>
    <s v="DMR"/>
  </r>
  <r>
    <s v="110000483487"/>
    <s v="PHILLIPS 66 COMPANY - SAN FRAN"/>
    <s v="CHROMIUM AND CHROMIUM COMPOUNDS"/>
    <s v="N090"/>
    <m/>
    <x v="2"/>
    <n v="6.8988587888980795E-6"/>
    <s v="63"/>
    <n v="7.1958295314665396E-2"/>
    <x v="59"/>
    <s v="TRI"/>
  </r>
  <r>
    <s v="110000483487"/>
    <s v="PHILLIPS 66 COMPANY - SAN FRAN"/>
    <s v="Chromium, hexavalent (as Cr)"/>
    <s v="18540299"/>
    <n v="0.38594104308400001"/>
    <x v="2"/>
    <n v="6.8988587888980795E-6"/>
    <s v=""/>
    <n v="7.2946650878809472E-9"/>
    <x v="4"/>
    <s v="DMR"/>
  </r>
  <r>
    <s v="110000483487"/>
    <s v="PHILLIPS 66 COMPANY - SAN FRAN"/>
    <s v="Chromium, total (as Cr)"/>
    <s v="7440473"/>
    <n v="1.0335600907"/>
    <x v="2"/>
    <n v="6.8988587888980795E-6"/>
    <s v=""/>
    <n v="1.9535301686520521E-8"/>
    <x v="5"/>
    <s v="DMR"/>
  </r>
  <r>
    <s v="110000483487"/>
    <s v="PHILLIPS 66 COMPANY - SAN FRAN"/>
    <s v="Copper, total (as Cu)"/>
    <s v="7440508"/>
    <n v="211.71304767499998"/>
    <x v="2"/>
    <n v="6.8988587888980795E-6"/>
    <s v=""/>
    <n v="4.0015847114440317E-6"/>
    <x v="68"/>
    <s v="DMR"/>
  </r>
  <r>
    <s v="110000481755"/>
    <s v="PHILLIPS 66 COMPANY - SAN FRAN"/>
    <s v="CUMENE"/>
    <s v="98828"/>
    <m/>
    <x v="2"/>
    <n v="6.8988587888980795E-6"/>
    <s v="0"/>
    <n v="0"/>
    <x v="6"/>
    <s v="TRI"/>
  </r>
  <r>
    <s v="110000483487"/>
    <s v="PHILLIPS 66 COMPANY - SAN FRAN"/>
    <s v="CYCLOHEXANE"/>
    <s v="110827"/>
    <m/>
    <x v="2"/>
    <n v="6.8988587888980795E-6"/>
    <s v="0"/>
    <n v="0"/>
    <x v="8"/>
    <s v="TRI"/>
  </r>
  <r>
    <s v="110000481755"/>
    <s v="PHILLIPS 66 COMPANY - SAN FRAN"/>
    <s v="CYCLOHEXANE"/>
    <s v="110827"/>
    <m/>
    <x v="2"/>
    <n v="6.8988587888980795E-6"/>
    <s v="0"/>
    <n v="0"/>
    <x v="8"/>
    <s v="TRI"/>
  </r>
  <r>
    <s v="110000481755"/>
    <s v="PHILLIPS 66 COMPANY - SAN FRAN"/>
    <s v="DIOXIN AND DIOXIN-LIKE COMPOUNDS"/>
    <s v="N150"/>
    <m/>
    <x v="2"/>
    <n v="6.8988587888980795E-6"/>
    <s v="0.0000309"/>
    <n v="3.5293830559097785E-8"/>
    <x v="37"/>
    <s v="TRI"/>
  </r>
  <r>
    <s v="110000483487"/>
    <s v="PHILLIPS 66 COMPANY - SAN FRAN"/>
    <s v="DIOXIN AND DIOXIN-LIKE COMPOUNDS"/>
    <s v="N150"/>
    <m/>
    <x v="2"/>
    <n v="6.8988587888980795E-6"/>
    <s v="0.000377945"/>
    <n v="4.3168695115398749E-7"/>
    <x v="37"/>
    <s v="TRI"/>
  </r>
  <r>
    <s v="110000481755"/>
    <s v="PHILLIPS 66 COMPANY - SAN FRAN"/>
    <s v="ETHYLBENZENE"/>
    <s v="100414"/>
    <m/>
    <x v="2"/>
    <n v="6.8988587888980795E-6"/>
    <s v="0"/>
    <n v="0"/>
    <x v="10"/>
    <s v="TRI"/>
  </r>
  <r>
    <s v="110000483487"/>
    <s v="PHILLIPS 66 COMPANY - SAN FRAN"/>
    <s v="ETHYLBENZENE"/>
    <s v="100414"/>
    <m/>
    <x v="2"/>
    <n v="6.8988587888980795E-6"/>
    <s v="2"/>
    <n v="2.2843903274496953E-3"/>
    <x v="10"/>
    <s v="TRI"/>
  </r>
  <r>
    <s v="110000483487"/>
    <s v="PHILLIPS 66 COMPANY - SAN FRAN"/>
    <s v="Lead, total (as Pb)"/>
    <s v="7439921"/>
    <n v="54.542659989999997"/>
    <x v="2"/>
    <n v="6.8988587888980795E-6"/>
    <s v=""/>
    <n v="1.0309098883339483E-6"/>
    <x v="57"/>
    <s v="DMR"/>
  </r>
  <r>
    <s v="110000481755"/>
    <s v="PHILLIPS 66 COMPANY - SAN FRAN"/>
    <s v="MERCURY AND MERCURY COMPOUNDS"/>
    <s v="N458"/>
    <m/>
    <x v="2"/>
    <n v="6.8988587888980795E-6"/>
    <s v="0"/>
    <n v="0"/>
    <x v="12"/>
    <s v="TRI"/>
  </r>
  <r>
    <s v="110000483487"/>
    <s v="PHILLIPS 66 COMPANY - SAN FRAN"/>
    <s v="MERCURY AND MERCURY COMPOUNDS"/>
    <s v="N458"/>
    <m/>
    <x v="2"/>
    <n v="6.8988587888980795E-6"/>
    <s v="0.06"/>
    <n v="6.853170982349085E-5"/>
    <x v="12"/>
    <s v="TRI"/>
  </r>
  <r>
    <s v="110000483487"/>
    <s v="PHILLIPS 66 COMPANY - SAN FRAN"/>
    <s v="Mercury, total (as Hg)"/>
    <s v="7439976"/>
    <n v="2.0907931219999999E-2"/>
    <x v="2"/>
    <n v="6.8988587888980795E-6"/>
    <s v=""/>
    <n v="3.9518045220485898E-10"/>
    <x v="64"/>
    <s v="DMR"/>
  </r>
  <r>
    <s v="110000483487"/>
    <s v="PHILLIPS 66 COMPANY - SAN FRAN"/>
    <s v="METHANOL"/>
    <s v="67561"/>
    <m/>
    <x v="2"/>
    <n v="6.8988587888980795E-6"/>
    <s v="9"/>
    <n v="1.0279756473523628E-2"/>
    <x v="42"/>
    <s v="TRI"/>
  </r>
  <r>
    <s v="110000481755"/>
    <s v="PHILLIPS 66 COMPANY - SAN FRAN"/>
    <s v="NAPHTHALENE"/>
    <s v="91203"/>
    <m/>
    <x v="2"/>
    <n v="6.8988587888980795E-6"/>
    <s v="0"/>
    <n v="0"/>
    <x v="13"/>
    <s v="TRI"/>
  </r>
  <r>
    <s v="110000483487"/>
    <s v="PHILLIPS 66 COMPANY - SAN FRAN"/>
    <s v="NAPHTHALENE"/>
    <s v="91203"/>
    <m/>
    <x v="2"/>
    <n v="6.8988587888980795E-6"/>
    <s v="0"/>
    <n v="0"/>
    <x v="13"/>
    <s v="TRI"/>
  </r>
  <r>
    <s v="110000483487"/>
    <s v="PHILLIPS 66 COMPANY - SAN FRAN"/>
    <s v="N-HEXANE"/>
    <s v="110543"/>
    <m/>
    <x v="2"/>
    <n v="6.8988587888980795E-6"/>
    <s v="0"/>
    <n v="0"/>
    <x v="14"/>
    <s v="TRI"/>
  </r>
  <r>
    <s v="110000481755"/>
    <s v="PHILLIPS 66 COMPANY - SAN FRAN"/>
    <s v="N-HEXANE"/>
    <s v="110543"/>
    <m/>
    <x v="2"/>
    <n v="6.8988587888980795E-6"/>
    <s v="0.3"/>
    <n v="3.4265854911745428E-4"/>
    <x v="14"/>
    <s v="TRI"/>
  </r>
  <r>
    <s v="110000483487"/>
    <s v="PHILLIPS 66 COMPANY - SAN FRAN"/>
    <s v="Nickel, total (as Ni)"/>
    <s v="7440020"/>
    <n v="249.69157491999999"/>
    <x v="2"/>
    <n v="6.8988587888980795E-6"/>
    <s v=""/>
    <n v="4.7194162086319039E-6"/>
    <x v="71"/>
    <s v="DMR"/>
  </r>
  <r>
    <s v="110000483487"/>
    <s v="PHILLIPS 66 COMPANY - SAN FRAN"/>
    <s v="NITRATE COMPOUNDS"/>
    <s v="14797558"/>
    <m/>
    <x v="2"/>
    <n v="6.8988587888980795E-6"/>
    <s v="709871"/>
    <n v="810.81122306852114"/>
    <x v="15"/>
    <s v="TRI"/>
  </r>
  <r>
    <s v="110000481755"/>
    <s v="PHILLIPS 66 COMPANY - SAN FRAN"/>
    <s v="Nitrogen, ammonia total (as N)"/>
    <s v="7664417"/>
    <n v="898.897959184"/>
    <x v="2"/>
    <n v="6.8988587888980795E-6"/>
    <s v=""/>
    <n v="1.6990055030244069E-5"/>
    <x v="16"/>
    <s v="DMR"/>
  </r>
  <r>
    <s v="110000483487"/>
    <s v="PHILLIPS 66 COMPANY - SAN FRAN"/>
    <s v="Nitrogen, ammonia total (as N)"/>
    <s v="7664417"/>
    <n v="172.33560090700001"/>
    <x v="2"/>
    <n v="6.8988587888980795E-6"/>
    <s v=""/>
    <n v="3.2573122601569558E-6"/>
    <x v="16"/>
    <s v="DMR"/>
  </r>
  <r>
    <s v="110000481755"/>
    <s v="PHILLIPS 66 COMPANY - SAN FRAN"/>
    <s v="Oil and grease"/>
    <s v=""/>
    <n v="713.28798185899996"/>
    <x v="2"/>
    <n v="6.8988587888980795E-6"/>
    <s v=""/>
    <n v="1.3481844007296808E-5"/>
    <x v="17"/>
    <s v="DMR"/>
  </r>
  <r>
    <s v="110000481755"/>
    <s v="PHILLIPS 66 COMPANY - SAN FRAN"/>
    <s v="PHENOL"/>
    <s v="108952"/>
    <m/>
    <x v="2"/>
    <n v="6.8988587888980795E-6"/>
    <s v="71"/>
    <n v="8.1095856624464183E-2"/>
    <x v="19"/>
    <s v="TRI"/>
  </r>
  <r>
    <s v="110000483487"/>
    <s v="PHILLIPS 66 COMPANY - SAN FRAN"/>
    <s v="PHENOL"/>
    <s v="108952"/>
    <m/>
    <x v="2"/>
    <n v="6.8988587888980795E-6"/>
    <s v="6"/>
    <n v="6.8531709823490853E-3"/>
    <x v="19"/>
    <s v="TRI"/>
  </r>
  <r>
    <s v="110000483487"/>
    <s v="PHILLIPS 66 COMPANY - SAN FRAN"/>
    <s v="POLYCYCLIC AROMATIC COMPOUNDS"/>
    <s v="N590"/>
    <m/>
    <x v="2"/>
    <n v="6.8988587888980795E-6"/>
    <s v="0.26"/>
    <n v="2.9697074256846036E-4"/>
    <x v="21"/>
    <s v="TRI"/>
  </r>
  <r>
    <s v="110000481755"/>
    <s v="PHILLIPS 66 COMPANY - SAN FRAN"/>
    <s v="POLYCYCLIC AROMATIC COMPOUNDS"/>
    <s v="N590"/>
    <m/>
    <x v="2"/>
    <n v="6.8988587888980795E-6"/>
    <s v="4"/>
    <n v="4.5687806548993905E-3"/>
    <x v="21"/>
    <s v="TRI"/>
  </r>
  <r>
    <s v="110000483487"/>
    <s v="PHILLIPS 66 COMPANY - SAN FRAN"/>
    <s v="Selenium, total (as Se)"/>
    <s v="7782492"/>
    <n v="127.409433428"/>
    <x v="2"/>
    <n v="6.8988587888980795E-6"/>
    <s v=""/>
    <n v="2.408163533132281E-6"/>
    <x v="55"/>
    <s v="DMR"/>
  </r>
  <r>
    <s v="110000483487"/>
    <s v="PHILLIPS 66 COMPANY - SAN FRAN"/>
    <s v="Solids, total suspended"/>
    <s v=""/>
    <n v="18731.519274400001"/>
    <x v="2"/>
    <n v="6.8988587888980795E-6"/>
    <s v=""/>
    <n v="3.5404412705646087E-4"/>
    <x v="22"/>
    <s v="DMR"/>
  </r>
  <r>
    <s v="110000481755"/>
    <s v="PHILLIPS 66 COMPANY - SAN FRAN"/>
    <s v="Solids, total suspended"/>
    <s v=""/>
    <n v="7145.4875283399997"/>
    <x v="2"/>
    <n v="6.8988587888980795E-6"/>
    <s v=""/>
    <n v="1.3505673818041102E-4"/>
    <x v="22"/>
    <s v="DMR"/>
  </r>
  <r>
    <s v="110000481755"/>
    <s v="PHILLIPS 66 COMPANY - SAN FRAN"/>
    <s v="STYRENE"/>
    <s v="100425"/>
    <m/>
    <x v="2"/>
    <n v="6.8988587888980795E-6"/>
    <s v="0"/>
    <n v="0"/>
    <x v="48"/>
    <s v="TRI"/>
  </r>
  <r>
    <s v="110000481755"/>
    <s v="PHILLIPS 66 COMPANY - SAN FRAN"/>
    <s v="TOLUENE"/>
    <s v="108883"/>
    <m/>
    <x v="2"/>
    <n v="6.8988587888980795E-6"/>
    <s v="0"/>
    <n v="0"/>
    <x v="24"/>
    <s v="TRI"/>
  </r>
  <r>
    <s v="110000483487"/>
    <s v="PHILLIPS 66 COMPANY - SAN FRAN"/>
    <s v="TOLUENE"/>
    <s v="108883"/>
    <m/>
    <x v="2"/>
    <n v="6.8988587888980795E-6"/>
    <s v="0"/>
    <n v="0"/>
    <x v="24"/>
    <s v="TRI"/>
  </r>
  <r>
    <s v="110000483487"/>
    <s v="PHILLIPS 66 COMPANY - SAN FRAN"/>
    <s v="VANADIUM AND VANADIUM COMPOUNDS"/>
    <s v="7440622"/>
    <m/>
    <x v="2"/>
    <n v="6.8988587888980795E-6"/>
    <s v="770"/>
    <n v="0.87949027606813257"/>
    <x v="78"/>
    <s v="TRI"/>
  </r>
  <r>
    <s v="110000483487"/>
    <s v="PHILLIPS 66 COMPANY - SAN FRAN"/>
    <s v="XYLENE (MIXED ISOMERS)"/>
    <s v="1330207"/>
    <m/>
    <x v="2"/>
    <n v="6.8988587888980795E-6"/>
    <s v="0"/>
    <n v="0"/>
    <x v="25"/>
    <s v="TRI"/>
  </r>
  <r>
    <s v="110000481755"/>
    <s v="PHILLIPS 66 COMPANY - SAN FRAN"/>
    <s v="XYLENE (MIXED ISOMERS)"/>
    <s v="1330207"/>
    <m/>
    <x v="2"/>
    <n v="6.8988587888980795E-6"/>
    <s v="0"/>
    <n v="0"/>
    <x v="25"/>
    <s v="TRI"/>
  </r>
  <r>
    <s v="110000483487"/>
    <s v="PHILLIPS 66 COMPANY - SAN FRAN"/>
    <s v="Zinc, total (as Cr)"/>
    <s v="7440666"/>
    <n v="853.82408499999997"/>
    <x v="2"/>
    <n v="6.8988587888980795E-6"/>
    <s v=""/>
    <n v="1.6138114501301673E-5"/>
    <x v="74"/>
    <s v="DMR"/>
  </r>
  <r>
    <s v="110000449863"/>
    <s v="Placid Refining Co LLC - Port Allen Refinery"/>
    <s v="Benzene"/>
    <s v="71432"/>
    <n v="0"/>
    <x v="0"/>
    <n v="1.7536426549165166E-5"/>
    <s v=""/>
    <n v="0"/>
    <x v="1"/>
    <s v="DMR"/>
  </r>
  <r>
    <s v="110000449863"/>
    <s v="Placid Refining Co LLC - Port Allen Refinery"/>
    <s v="BOD, 5-day, 20 deg. C"/>
    <s v=""/>
    <n v="26638.9569161"/>
    <x v="0"/>
    <n v="1.7536426549165166E-5"/>
    <s v=""/>
    <n v="1.279868798097433E-3"/>
    <x v="2"/>
    <s v="DMR"/>
  </r>
  <r>
    <s v="110000449863"/>
    <s v="Placid Refining Co LLC - Port Allen Refinery"/>
    <s v="BTEX"/>
    <s v=""/>
    <n v="0"/>
    <x v="0"/>
    <n v="1.7536426549165166E-5"/>
    <s v=""/>
    <n v="0"/>
    <x v="75"/>
    <s v="DMR"/>
  </r>
  <r>
    <s v="110000449863"/>
    <s v="Placid Refining Co LLC - Port Allen Refinery"/>
    <s v="Carbon, tot organic (TOC)"/>
    <s v="7440440"/>
    <n v="14659.413894450001"/>
    <x v="0"/>
    <n v="1.7536426549165166E-5"/>
    <s v=""/>
    <n v="7.0431160277762664E-4"/>
    <x v="3"/>
    <s v="DMR"/>
  </r>
  <r>
    <s v="110000449863"/>
    <s v="Placid Refining Co LLC - Port Allen Refinery"/>
    <s v="ETHYLBENZENE"/>
    <s v="100414"/>
    <m/>
    <x v="0"/>
    <n v="1.7536426549165166E-5"/>
    <s v="14"/>
    <n v="4.0647346306011974E-2"/>
    <x v="10"/>
    <s v="TRI"/>
  </r>
  <r>
    <s v="110000449863"/>
    <s v="Placid Refining Co LLC - Port Allen Refinery"/>
    <s v="ETHYLENE"/>
    <s v="74851"/>
    <m/>
    <x v="0"/>
    <n v="1.7536426549165166E-5"/>
    <s v="576"/>
    <n v="1.6723479623044926"/>
    <x v="38"/>
    <s v="TRI"/>
  </r>
  <r>
    <s v="110000449863"/>
    <s v="Placid Refining Co LLC - Port Allen Refinery"/>
    <s v="HYDROGEN FLUORIDE"/>
    <s v="7664393"/>
    <m/>
    <x v="0"/>
    <n v="1.7536426549165166E-5"/>
    <s v="189"/>
    <n v="0.54873917513116166"/>
    <x v="77"/>
    <s v="TRI"/>
  </r>
  <r>
    <s v="110000449863"/>
    <s v="Placid Refining Co LLC - Port Allen Refinery"/>
    <s v="Lead, total (as Pb)"/>
    <s v="7439921"/>
    <n v="0"/>
    <x v="0"/>
    <n v="1.7536426549165166E-5"/>
    <s v=""/>
    <n v="0"/>
    <x v="57"/>
    <s v="DMR"/>
  </r>
  <r>
    <s v="110000449863"/>
    <s v="Placid Refining Co LLC - Port Allen Refinery"/>
    <s v="NAPHTHALENE"/>
    <s v="91203"/>
    <m/>
    <x v="0"/>
    <n v="1.7536426549165166E-5"/>
    <s v="29"/>
    <n v="8.4198074491024802E-2"/>
    <x v="13"/>
    <s v="TRI"/>
  </r>
  <r>
    <s v="110000449863"/>
    <s v="Placid Refining Co LLC - Port Allen Refinery"/>
    <s v="N-HEXANE"/>
    <s v="110543"/>
    <m/>
    <x v="0"/>
    <n v="1.7536426549165166E-5"/>
    <s v="576"/>
    <n v="1.6723479623044926"/>
    <x v="14"/>
    <s v="TRI"/>
  </r>
  <r>
    <s v="110000449863"/>
    <s v="Placid Refining Co LLC - Port Allen Refinery"/>
    <s v="NICKEL AND NICKEL COMPOUNDS"/>
    <s v="N495"/>
    <m/>
    <x v="0"/>
    <n v="1.7536426549165166E-5"/>
    <s v="6"/>
    <n v="1.7420291274005132E-2"/>
    <x v="45"/>
    <s v="TRI"/>
  </r>
  <r>
    <s v="110000449863"/>
    <s v="Placid Refining Co LLC - Port Allen Refinery"/>
    <s v="Nitrogen, ammonia total (as N)"/>
    <s v="7664417"/>
    <n v="1886.4399093"/>
    <x v="0"/>
    <n v="1.7536426549165166E-5"/>
    <s v=""/>
    <n v="9.0634013448913004E-5"/>
    <x v="16"/>
    <s v="DMR"/>
  </r>
  <r>
    <s v="110000449863"/>
    <s v="Placid Refining Co LLC - Port Allen Refinery"/>
    <s v="Oil and grease"/>
    <s v=""/>
    <n v="5590.6172488699995"/>
    <x v="0"/>
    <n v="1.7536426549165166E-5"/>
    <s v=""/>
    <n v="2.6860122945014951E-4"/>
    <x v="17"/>
    <s v="DMR"/>
  </r>
  <r>
    <s v="110000449863"/>
    <s v="Placid Refining Co LLC - Port Allen Refinery"/>
    <s v="Chemical Oxygen Demand (COD)"/>
    <s v=""/>
    <n v="180580.90702899999"/>
    <x v="0"/>
    <n v="1.7536426549165166E-5"/>
    <s v=""/>
    <n v="8.6760104446457036E-3"/>
    <x v="18"/>
    <s v="DMR"/>
  </r>
  <r>
    <s v="110000449863"/>
    <s v="Placid Refining Co LLC - Port Allen Refinery"/>
    <s v="PHENOL"/>
    <s v="108952"/>
    <m/>
    <x v="0"/>
    <n v="1.7536426549165166E-5"/>
    <s v="157"/>
    <n v="0.45583095500313425"/>
    <x v="19"/>
    <s v="TRI"/>
  </r>
  <r>
    <s v="110000449863"/>
    <s v="Placid Refining Co LLC - Port Allen Refinery"/>
    <s v="Phenolics, total recoverable"/>
    <s v=""/>
    <n v="11.2471655329"/>
    <x v="0"/>
    <n v="1.7536426549165166E-5"/>
    <s v=""/>
    <n v="5.403701157643916E-7"/>
    <x v="20"/>
    <s v="DMR"/>
  </r>
  <r>
    <s v="110000449863"/>
    <s v="Placid Refining Co LLC - Port Allen Refinery"/>
    <s v="PROPYLENE"/>
    <s v="115071"/>
    <m/>
    <x v="0"/>
    <n v="1.7536426549165166E-5"/>
    <s v="576"/>
    <n v="1.6723479623044926"/>
    <x v="54"/>
    <s v="TRI"/>
  </r>
  <r>
    <s v="110000449863"/>
    <s v="Placid Refining Co LLC - Port Allen Refinery"/>
    <s v="Solids, total suspended"/>
    <s v=""/>
    <n v="25174.2131519"/>
    <x v="0"/>
    <n v="1.7536426549165166E-5"/>
    <s v=""/>
    <n v="1.2094951777296495E-3"/>
    <x v="22"/>
    <s v="DMR"/>
  </r>
  <r>
    <s v="110000449863"/>
    <s v="Placid Refining Co LLC - Port Allen Refinery"/>
    <s v="STYRENE"/>
    <s v="100425"/>
    <m/>
    <x v="0"/>
    <n v="1.7536426549165166E-5"/>
    <s v="576"/>
    <n v="1.6723479623044926"/>
    <x v="48"/>
    <s v="TRI"/>
  </r>
  <r>
    <s v="110000449863"/>
    <s v="Placid Refining Co LLC - Port Allen Refinery"/>
    <s v="Sulfide, total (as S)"/>
    <s v="18496258"/>
    <n v="15.147392290200001"/>
    <x v="0"/>
    <n v="1.7536426549165166E-5"/>
    <s v=""/>
    <n v="7.2775652687255627E-7"/>
    <x v="23"/>
    <s v="DMR"/>
  </r>
  <r>
    <s v="110000449863"/>
    <s v="Placid Refining Co LLC - Port Allen Refinery"/>
    <s v="TOLUENE"/>
    <s v="108883"/>
    <m/>
    <x v="0"/>
    <n v="1.7536426549165166E-5"/>
    <s v="14"/>
    <n v="4.0647346306011974E-2"/>
    <x v="24"/>
    <s v="TRI"/>
  </r>
  <r>
    <s v="110000449863"/>
    <s v="Placid Refining Co LLC - Port Allen Refinery"/>
    <s v="XYLENE (MIXED ISOMERS)"/>
    <s v="1330207"/>
    <m/>
    <x v="0"/>
    <n v="1.7536426549165166E-5"/>
    <s v="1151"/>
    <n v="3.3417925427299844"/>
    <x v="25"/>
    <s v="TRI"/>
  </r>
  <r>
    <s v="110015682830"/>
    <s v="PONCA CITY RFNRY"/>
    <s v="Benzene"/>
    <s v="71432"/>
    <n v="0"/>
    <x v="3"/>
    <n v="5.2243534772709303E-6"/>
    <s v=""/>
    <n v="0"/>
    <x v="1"/>
    <s v="DMR"/>
  </r>
  <r>
    <s v="110015682830"/>
    <s v="PONCA CITY RFNRY"/>
    <s v="BOD, 5-day, 20 deg. C"/>
    <s v=""/>
    <n v="15023.582766400001"/>
    <x v="3"/>
    <n v="5.2243534772709303E-6"/>
    <s v=""/>
    <n v="2.1503700511427251E-4"/>
    <x v="2"/>
    <s v="DMR"/>
  </r>
  <r>
    <s v="110015682830"/>
    <s v="PONCA CITY RFNRY"/>
    <s v="Carbon, tot organic (TOC)"/>
    <s v="7440440"/>
    <n v="57126.291257099998"/>
    <x v="3"/>
    <n v="5.2243534772709303E-6"/>
    <s v=""/>
    <n v="8.1766558458252689E-4"/>
    <x v="3"/>
    <s v="DMR"/>
  </r>
  <r>
    <s v="110015682830"/>
    <s v="PONCA CITY RFNRY"/>
    <s v="Chromium, hexavalent (as Cr)"/>
    <s v="18540299"/>
    <n v="0"/>
    <x v="3"/>
    <n v="5.2243534772709303E-6"/>
    <s v=""/>
    <n v="0"/>
    <x v="4"/>
    <s v="DMR"/>
  </r>
  <r>
    <s v="110015682830"/>
    <s v="PONCA CITY RFNRY"/>
    <s v="Chromium, total (as Cr)"/>
    <s v="7440473"/>
    <n v="4.6258503401400004"/>
    <x v="3"/>
    <n v="5.2243534772709303E-6"/>
    <s v=""/>
    <n v="6.6211170711905005E-8"/>
    <x v="5"/>
    <s v="DMR"/>
  </r>
  <r>
    <s v="110015682830"/>
    <s v="PONCA CITY RFNRY"/>
    <s v="Nitrogen, ammonia total (as N)"/>
    <s v="7664417"/>
    <n v="2353.14780458"/>
    <x v="3"/>
    <n v="5.2243534772709303E-6"/>
    <s v=""/>
    <n v="3.3681303877780759E-5"/>
    <x v="16"/>
    <s v="DMR"/>
  </r>
  <r>
    <s v="110015682830"/>
    <s v="PONCA CITY RFNRY"/>
    <s v="Oil and grease, hexane extr method"/>
    <s v=""/>
    <n v="0"/>
    <x v="3"/>
    <n v="5.2243534772709303E-6"/>
    <s v=""/>
    <n v="0"/>
    <x v="65"/>
    <s v="DMR"/>
  </r>
  <r>
    <s v="110015682830"/>
    <s v="PONCA CITY RFNRY"/>
    <s v="Chemical Oxygen Demand (COD)"/>
    <s v=""/>
    <n v="317979.197109"/>
    <x v="3"/>
    <n v="5.2243534772709303E-6"/>
    <s v=""/>
    <n v="4.5513307510033499E-3"/>
    <x v="18"/>
    <s v="DMR"/>
  </r>
  <r>
    <s v="110015682830"/>
    <s v="PONCA CITY RFNRY"/>
    <s v="Phenolics, total recoverable"/>
    <s v=""/>
    <n v="31.4739229025"/>
    <x v="3"/>
    <n v="5.2243534772709303E-6"/>
    <s v=""/>
    <n v="4.5049561249050146E-7"/>
    <x v="20"/>
    <s v="DMR"/>
  </r>
  <r>
    <s v="110015682830"/>
    <s v="PONCA CITY RFNRY"/>
    <s v="Selenium, total (as Se)"/>
    <s v="7782492"/>
    <n v="290.19102040799999"/>
    <x v="3"/>
    <n v="5.2243534772709303E-6"/>
    <s v=""/>
    <n v="4.1535903192913265E-6"/>
    <x v="55"/>
    <s v="DMR"/>
  </r>
  <r>
    <s v="110015682830"/>
    <s v="PONCA CITY RFNRY"/>
    <s v="Solids, total dissolved- 180 deg. C"/>
    <s v=""/>
    <n v="19524765.986400001"/>
    <x v="3"/>
    <n v="5.2243534772709303E-6"/>
    <s v=""/>
    <n v="0.27946377828479457"/>
    <x v="96"/>
    <s v="DMR"/>
  </r>
  <r>
    <s v="110015682830"/>
    <s v="PONCA CITY RFNRY"/>
    <s v="Solids, total suspended"/>
    <s v=""/>
    <n v="332738.6472531"/>
    <x v="3"/>
    <n v="5.2243534772709303E-6"/>
    <s v=""/>
    <n v="4.7625871473949543E-3"/>
    <x v="22"/>
    <s v="DMR"/>
  </r>
  <r>
    <s v="110015682830"/>
    <s v="PONCA CITY RFNRY"/>
    <s v="Sulfide, total (as S)"/>
    <s v="18496258"/>
    <n v="0"/>
    <x v="3"/>
    <n v="5.2243534772709303E-6"/>
    <s v=""/>
    <n v="0"/>
    <x v="23"/>
    <s v="DMR"/>
  </r>
  <r>
    <s v="110015682830"/>
    <s v="PONCA CITY RFNRY"/>
    <s v="Toluene"/>
    <s v="108883"/>
    <n v="9.9469799999999999"/>
    <x v="3"/>
    <n v="5.2243534772709303E-6"/>
    <s v=""/>
    <n v="1.4237408096258738E-7"/>
    <x v="24"/>
    <s v="DMR"/>
  </r>
  <r>
    <s v="110000464024"/>
    <s v="PORT ARTHUR REFINERY"/>
    <s v="BOD, 5-day, 20 deg. C"/>
    <s v=""/>
    <n v="153500.2267574"/>
    <x v="2"/>
    <n v="3.4652581501653321E-6"/>
    <s v=""/>
    <n v="1.4573093474611149E-3"/>
    <x v="2"/>
    <s v="DMR"/>
  </r>
  <r>
    <s v="110000464024"/>
    <s v="PORT ARTHUR REFINERY"/>
    <s v="BOD, 5-day, 20 deg. C"/>
    <s v=""/>
    <n v="153500.2267574"/>
    <x v="3"/>
    <n v="5.6892923675873452E-6"/>
    <s v=""/>
    <n v="2.3926237493528835E-3"/>
    <x v="2"/>
    <s v="DMR"/>
  </r>
  <r>
    <s v="110000464024"/>
    <s v="PORT ARTHUR REFINERY"/>
    <s v="Chloride (as Cl)"/>
    <s v="16887006"/>
    <n v="547377.57058000006"/>
    <x v="3"/>
    <n v="5.6892923675873452E-6"/>
    <s v=""/>
    <n v="8.5320302314775276E-3"/>
    <x v="69"/>
    <s v="DMR"/>
  </r>
  <r>
    <s v="110000464024"/>
    <s v="PORT ARTHUR REFINERY"/>
    <s v="Chloride (as Cl)"/>
    <s v="16887006"/>
    <n v="547377.57058000006"/>
    <x v="2"/>
    <n v="3.4652581501653321E-6"/>
    <s v=""/>
    <n v="5.1967248977261493E-3"/>
    <x v="69"/>
    <s v="DMR"/>
  </r>
  <r>
    <s v="110000464024"/>
    <s v="PORT ARTHUR REFINERY"/>
    <s v="Chromium, hexavalent (as Cr)"/>
    <s v="18540299"/>
    <n v="1.9047619047619999"/>
    <x v="2"/>
    <n v="3.4652581501653321E-6"/>
    <s v=""/>
    <n v="1.8083538944112224E-8"/>
    <x v="4"/>
    <s v="DMR"/>
  </r>
  <r>
    <s v="110000464024"/>
    <s v="PORT ARTHUR REFINERY"/>
    <s v="Chromium, hexavalent (as Cr)"/>
    <s v="18540299"/>
    <n v="1.9047619047619999"/>
    <x v="3"/>
    <n v="5.6892923675873452E-6"/>
    <s v=""/>
    <n v="2.9689718813242685E-8"/>
    <x v="4"/>
    <s v="DMR"/>
  </r>
  <r>
    <s v="110000464024"/>
    <s v="PORT ARTHUR REFINERY"/>
    <s v="Chromium, total (as Cr)"/>
    <s v="7440473"/>
    <n v="0"/>
    <x v="2"/>
    <n v="3.4652581501653321E-6"/>
    <s v=""/>
    <n v="0"/>
    <x v="5"/>
    <s v="DMR"/>
  </r>
  <r>
    <s v="110000464024"/>
    <s v="PORT ARTHUR REFINERY"/>
    <s v="Chromium, total (as Cr)"/>
    <s v="7440473"/>
    <n v="0"/>
    <x v="3"/>
    <n v="5.6892923675873452E-6"/>
    <s v=""/>
    <n v="0"/>
    <x v="5"/>
    <s v="DMR"/>
  </r>
  <r>
    <s v="110000464024"/>
    <s v="PORT ARTHUR REFINERY"/>
    <s v="Copper, total (as Cu)"/>
    <s v="7440508"/>
    <n v="6.3501702"/>
    <x v="2"/>
    <n v="3.4652581501653321E-6"/>
    <s v=""/>
    <n v="6.0287613809553476E-8"/>
    <x v="68"/>
    <s v="DMR"/>
  </r>
  <r>
    <s v="110000464024"/>
    <s v="PORT ARTHUR REFINERY"/>
    <s v="Copper, total (as Cu)"/>
    <s v="7440508"/>
    <n v="6.3501702"/>
    <x v="3"/>
    <n v="5.6892923675873452E-6"/>
    <s v=""/>
    <n v="9.8980753018467405E-8"/>
    <x v="68"/>
    <s v="DMR"/>
  </r>
  <r>
    <s v="110000464024"/>
    <s v="PORT ARTHUR REFINERY"/>
    <s v="Nitrogen, ammonia total (as N)"/>
    <s v="7664417"/>
    <n v="53393.197279"/>
    <x v="3"/>
    <n v="5.6892923675873452E-6"/>
    <s v=""/>
    <n v="8.3224523222054825E-4"/>
    <x v="16"/>
    <s v="DMR"/>
  </r>
  <r>
    <s v="110000464024"/>
    <s v="PORT ARTHUR REFINERY"/>
    <s v="Nitrogen, ammonia total (as N)"/>
    <s v="7664417"/>
    <n v="53393.197279"/>
    <x v="2"/>
    <n v="3.4652581501653321E-6"/>
    <s v=""/>
    <n v="5.0690743023134297E-4"/>
    <x v="16"/>
    <s v="DMR"/>
  </r>
  <r>
    <s v="110000464024"/>
    <s v="PORT ARTHUR REFINERY"/>
    <s v="Oil &amp; grease"/>
    <s v=""/>
    <n v="110000.9070294"/>
    <x v="2"/>
    <n v="3.4652581501653321E-6"/>
    <s v=""/>
    <n v="1.044332985230705E-3"/>
    <x v="28"/>
    <s v="DMR"/>
  </r>
  <r>
    <s v="110000464024"/>
    <s v="PORT ARTHUR REFINERY"/>
    <s v="Oil &amp; grease"/>
    <s v=""/>
    <n v="110000.9070294"/>
    <x v="3"/>
    <n v="5.6892923675873452E-6"/>
    <s v=""/>
    <n v="1.7145953994247959E-3"/>
    <x v="28"/>
    <s v="DMR"/>
  </r>
  <r>
    <s v="110000464024"/>
    <s v="PORT ARTHUR REFINERY"/>
    <s v="Chemical Oxygen Demand (COD)"/>
    <s v=""/>
    <n v="2452782.7664399999"/>
    <x v="2"/>
    <n v="3.4652581501653321E-6"/>
    <s v=""/>
    <n v="2.3286371156140493E-2"/>
    <x v="18"/>
    <s v="DMR"/>
  </r>
  <r>
    <s v="110000464024"/>
    <s v="PORT ARTHUR REFINERY"/>
    <s v="Chemical Oxygen Demand (COD)"/>
    <s v=""/>
    <n v="2452782.7664399999"/>
    <x v="3"/>
    <n v="5.6892923675873452E-6"/>
    <s v=""/>
    <n v="3.823177608892292E-2"/>
    <x v="18"/>
    <s v="DMR"/>
  </r>
  <r>
    <s v="110000464024"/>
    <s v="PORT ARTHUR REFINERY"/>
    <s v="Phenolic compounds, total"/>
    <s v=""/>
    <n v="134.69387755100001"/>
    <x v="2"/>
    <n v="3.4652581501653321E-6"/>
    <s v=""/>
    <n v="1.2787645396191069E-6"/>
    <x v="47"/>
    <s v="DMR"/>
  </r>
  <r>
    <s v="110000464024"/>
    <s v="PORT ARTHUR REFINERY"/>
    <s v="Phenolic compounds, total"/>
    <s v=""/>
    <n v="134.69387755100001"/>
    <x v="3"/>
    <n v="5.6892923675873452E-6"/>
    <s v=""/>
    <n v="2.099487258936024E-6"/>
    <x v="47"/>
    <s v="DMR"/>
  </r>
  <r>
    <s v="110000464024"/>
    <s v="PORT ARTHUR REFINERY"/>
    <s v="Sodium chloride (salt)"/>
    <s v="7647145"/>
    <n v="495388.94532"/>
    <x v="2"/>
    <n v="3.4652581501653321E-6"/>
    <s v=""/>
    <n v="4.7031522747176388E-3"/>
    <x v="137"/>
    <s v="DMR"/>
  </r>
  <r>
    <s v="110000464024"/>
    <s v="PORT ARTHUR REFINERY"/>
    <s v="Sodium chloride (salt)"/>
    <s v="7647145"/>
    <n v="495388.94532"/>
    <x v="3"/>
    <n v="5.6892923675873452E-6"/>
    <s v=""/>
    <n v="7.7216782071129328E-3"/>
    <x v="137"/>
    <s v="DMR"/>
  </r>
  <r>
    <s v="110000464024"/>
    <s v="PORT ARTHUR REFINERY"/>
    <s v="Solids, total dissolved"/>
    <s v=""/>
    <n v="543195.90257999999"/>
    <x v="2"/>
    <n v="3.4652581501653321E-6"/>
    <s v=""/>
    <n v="5.157024735758243E-3"/>
    <x v="96"/>
    <s v="DMR"/>
  </r>
  <r>
    <s v="110000464024"/>
    <s v="PORT ARTHUR REFINERY"/>
    <s v="Solids, total dissolved"/>
    <s v=""/>
    <n v="543195.90257999999"/>
    <x v="3"/>
    <n v="5.6892923675873452E-6"/>
    <s v=""/>
    <n v="8.4668501442551041E-3"/>
    <x v="96"/>
    <s v="DMR"/>
  </r>
  <r>
    <s v="110000464024"/>
    <s v="PORT ARTHUR REFINERY"/>
    <s v="Solids, total suspended"/>
    <s v=""/>
    <n v="412032.653062"/>
    <x v="3"/>
    <n v="5.6892923675873452E-6"/>
    <s v=""/>
    <n v="6.4223951459243863E-3"/>
    <x v="22"/>
    <s v="DMR"/>
  </r>
  <r>
    <s v="110000464024"/>
    <s v="PORT ARTHUR REFINERY"/>
    <s v="Solids, total suspended"/>
    <s v=""/>
    <n v="412032.653062"/>
    <x v="2"/>
    <n v="3.4652581501653321E-6"/>
    <s v=""/>
    <n v="3.9117794771433975E-3"/>
    <x v="22"/>
    <s v="DMR"/>
  </r>
  <r>
    <s v="110000464024"/>
    <s v="PORT ARTHUR REFINERY"/>
    <s v="Sulfide, total (as S)"/>
    <s v="18496258"/>
    <n v="311.74603174600003"/>
    <x v="2"/>
    <n v="3.4652581501653321E-6"/>
    <s v=""/>
    <n v="2.9596725405192521E-6"/>
    <x v="23"/>
    <s v="DMR"/>
  </r>
  <r>
    <s v="110000464024"/>
    <s v="PORT ARTHUR REFINERY"/>
    <s v="Sulfide, total (as S)"/>
    <s v="18496258"/>
    <n v="311.74603174600003"/>
    <x v="3"/>
    <n v="5.6892923675873452E-6"/>
    <s v=""/>
    <n v="4.8592173124333151E-6"/>
    <x v="23"/>
    <s v="DMR"/>
  </r>
  <r>
    <s v="110008214360"/>
    <s v="PUGET SOUND REFINING COMPANY"/>
    <s v="AMMONIA"/>
    <s v="7664417"/>
    <m/>
    <x v="3"/>
    <n v="6.7294751009421264E-6"/>
    <s v="6193"/>
    <n v="6.8999402814792363"/>
    <x v="16"/>
    <s v="TRI"/>
  </r>
  <r>
    <s v="110008214360"/>
    <s v="PUGET SOUND REFINING COMPANY"/>
    <s v="ANTHRACENE"/>
    <s v="120127"/>
    <m/>
    <x v="3"/>
    <n v="6.7294751009421264E-6"/>
    <s v="0"/>
    <n v="0"/>
    <x v="31"/>
    <s v="TRI"/>
  </r>
  <r>
    <s v="110008214360"/>
    <s v="PUGET SOUND REFINING COMPANY"/>
    <s v="BENZENE"/>
    <s v="71432"/>
    <m/>
    <x v="3"/>
    <n v="6.7294751009421264E-6"/>
    <s v="1"/>
    <n v="1.1141515067784977E-3"/>
    <x v="1"/>
    <s v="TRI"/>
  </r>
  <r>
    <s v="110008214360"/>
    <s v="PUGET SOUND REFINING COMPANY"/>
    <s v="BENZO(G,H,I)PERYLENE"/>
    <s v="191242"/>
    <m/>
    <x v="3"/>
    <n v="6.7294751009421264E-6"/>
    <s v="0"/>
    <n v="0"/>
    <x v="32"/>
    <s v="TRI"/>
  </r>
  <r>
    <s v="110008214360"/>
    <s v="PUGET SOUND REFINING COMPANY"/>
    <s v="CYANIDE COMPOUNDS"/>
    <s v="N106"/>
    <m/>
    <x v="3"/>
    <n v="6.7294751009421264E-6"/>
    <s v="108"/>
    <n v="0.12032836273207775"/>
    <x v="7"/>
    <s v="TRI"/>
  </r>
  <r>
    <s v="110008214360"/>
    <s v="PUGET SOUND REFINING COMPANY"/>
    <s v="ETHYLBENZENE"/>
    <s v="100414"/>
    <m/>
    <x v="3"/>
    <n v="6.7294751009421264E-6"/>
    <s v="2"/>
    <n v="2.2283030135569954E-3"/>
    <x v="10"/>
    <s v="TRI"/>
  </r>
  <r>
    <s v="110008214360"/>
    <s v="PUGET SOUND REFINING COMPANY"/>
    <s v="HYDROGEN CYANIDE"/>
    <s v="74908"/>
    <m/>
    <x v="3"/>
    <n v="6.7294751009421264E-6"/>
    <s v="147"/>
    <n v="0.16378027149643914"/>
    <x v="41"/>
    <s v="TRI"/>
  </r>
  <r>
    <s v="110008214360"/>
    <s v="PUGET SOUND REFINING COMPANY"/>
    <s v="LEAD AND LEAD COMPOUNDS"/>
    <s v="7439921"/>
    <m/>
    <x v="3"/>
    <n v="6.7294751009421264E-6"/>
    <s v="13"/>
    <n v="1.4483969588120468E-2"/>
    <x v="11"/>
    <s v="TRI"/>
  </r>
  <r>
    <s v="110008214360"/>
    <s v="PUGET SOUND REFINING COMPANY"/>
    <s v="MERCURY AND MERCURY COMPOUNDS"/>
    <s v="N458"/>
    <m/>
    <x v="3"/>
    <n v="6.7294751009421264E-6"/>
    <s v="0"/>
    <n v="0"/>
    <x v="12"/>
    <s v="TRI"/>
  </r>
  <r>
    <s v="110008214360"/>
    <s v="PUGET SOUND REFINING COMPANY"/>
    <s v="NAPHTHALENE"/>
    <s v="91203"/>
    <m/>
    <x v="3"/>
    <n v="6.7294751009421264E-6"/>
    <s v="0"/>
    <n v="0"/>
    <x v="13"/>
    <s v="TRI"/>
  </r>
  <r>
    <s v="110008214360"/>
    <s v="PUGET SOUND REFINING COMPANY"/>
    <s v="NICKEL AND NICKEL COMPOUNDS"/>
    <s v="N495"/>
    <m/>
    <x v="3"/>
    <n v="6.7294751009421264E-6"/>
    <s v="23"/>
    <n v="2.5625484655905448E-2"/>
    <x v="45"/>
    <s v="TRI"/>
  </r>
  <r>
    <s v="110008214360"/>
    <s v="PUGET SOUND REFINING COMPANY"/>
    <s v="PHENANTHRENE"/>
    <s v="85018"/>
    <m/>
    <x v="3"/>
    <n v="6.7294751009421264E-6"/>
    <s v="0"/>
    <n v="0"/>
    <x v="46"/>
    <s v="TRI"/>
  </r>
  <r>
    <s v="110008214360"/>
    <s v="PUGET SOUND REFINING COMPANY"/>
    <s v="PHENOL"/>
    <s v="108952"/>
    <m/>
    <x v="3"/>
    <n v="6.7294751009421264E-6"/>
    <s v="328"/>
    <n v="0.36544169422334727"/>
    <x v="19"/>
    <s v="TRI"/>
  </r>
  <r>
    <s v="110008214360"/>
    <s v="PUGET SOUND REFINING COMPANY"/>
    <s v="POLYCYCLIC AROMATIC COMPOUNDS"/>
    <s v="N590"/>
    <m/>
    <x v="3"/>
    <n v="6.7294751009421264E-6"/>
    <s v="1"/>
    <n v="1.1141515067784977E-3"/>
    <x v="21"/>
    <s v="TRI"/>
  </r>
  <r>
    <s v="110008214360"/>
    <s v="PUGET SOUND REFINING COMPANY"/>
    <s v="TETRACHLOROETHYLENE"/>
    <s v="127184"/>
    <m/>
    <x v="3"/>
    <n v="6.7294751009421264E-6"/>
    <s v="1"/>
    <n v="1.1141515067784977E-3"/>
    <x v="50"/>
    <s v="TRI"/>
  </r>
  <r>
    <s v="110008214360"/>
    <s v="PUGET SOUND REFINING COMPANY"/>
    <s v="TOLUENE"/>
    <s v="108883"/>
    <m/>
    <x v="3"/>
    <n v="6.7294751009421264E-6"/>
    <s v="29"/>
    <n v="3.2310393696576435E-2"/>
    <x v="24"/>
    <s v="TRI"/>
  </r>
  <r>
    <s v="110000423925"/>
    <s v="Saint Paul Park Refining Co LLC"/>
    <s v="1,2,4-TRIMETHYLBENZENE"/>
    <s v="95636"/>
    <m/>
    <x v="0"/>
    <n v="1.3513513513513513E-5"/>
    <s v="0"/>
    <n v="0"/>
    <x v="0"/>
    <s v="TRI"/>
  </r>
  <r>
    <s v="110000423925"/>
    <s v="Saint Paul Park Refining Co LLC"/>
    <s v="1,3-BUTADIENE"/>
    <s v="106990"/>
    <m/>
    <x v="0"/>
    <n v="1.3513513513513513E-5"/>
    <s v="2"/>
    <n v="4.4746733488455342E-3"/>
    <x v="30"/>
    <s v="TRI"/>
  </r>
  <r>
    <s v="110000423925"/>
    <s v="Saint Paul Park Refining Co LLC"/>
    <s v="BENZENE"/>
    <s v="71432"/>
    <m/>
    <x v="0"/>
    <n v="1.3513513513513513E-5"/>
    <s v="25"/>
    <n v="5.5933416860569171E-2"/>
    <x v="1"/>
    <s v="TRI"/>
  </r>
  <r>
    <s v="110000423925"/>
    <s v="Saint Paul Park Refining Co LLC"/>
    <s v="BENZO(G,H,I)PERYLENE"/>
    <s v="191242"/>
    <m/>
    <x v="0"/>
    <n v="1.3513513513513513E-5"/>
    <s v="0"/>
    <n v="0"/>
    <x v="32"/>
    <s v="TRI"/>
  </r>
  <r>
    <s v="110000423925"/>
    <s v="Saint Paul Park Refining Co LLC"/>
    <s v="BOD, 5-day, 20 deg. C"/>
    <s v=""/>
    <n v="11641.3"/>
    <x v="0"/>
    <n v="1.3513513513513513E-5"/>
    <s v=""/>
    <n v="4.3099962976675301E-4"/>
    <x v="2"/>
    <s v="DMR"/>
  </r>
  <r>
    <s v="110000423925"/>
    <s v="Saint Paul Park Refining Co LLC"/>
    <s v="Chemical Oxygen Demand (COD)"/>
    <s v=""/>
    <n v="46638.6"/>
    <x v="0"/>
    <n v="1.3513513513513513E-5"/>
    <s v=""/>
    <n v="1.7267160310995926E-3"/>
    <x v="18"/>
    <s v="DMR"/>
  </r>
  <r>
    <s v="110000423925"/>
    <s v="Saint Paul Park Refining Co LLC"/>
    <s v="COBALT AND COBALT COMPOUNDS"/>
    <s v="7440484"/>
    <m/>
    <x v="0"/>
    <n v="1.3513513513513513E-5"/>
    <s v="8"/>
    <n v="1.7898693395382137E-2"/>
    <x v="76"/>
    <s v="TRI"/>
  </r>
  <r>
    <s v="110000423925"/>
    <s v="Saint Paul Park Refining Co LLC"/>
    <s v="CUMENE"/>
    <s v="98828"/>
    <m/>
    <x v="0"/>
    <n v="1.3513513513513513E-5"/>
    <s v="0"/>
    <n v="0"/>
    <x v="6"/>
    <s v="TRI"/>
  </r>
  <r>
    <s v="110000423925"/>
    <s v="Saint Paul Park Refining Co LLC"/>
    <s v="CYCLOHEXANE"/>
    <s v="110827"/>
    <m/>
    <x v="0"/>
    <n v="1.3513513513513513E-5"/>
    <s v="0"/>
    <n v="0"/>
    <x v="8"/>
    <s v="TRI"/>
  </r>
  <r>
    <s v="110000423925"/>
    <s v="Saint Paul Park Refining Co LLC"/>
    <s v="DIETHANOLAMINE"/>
    <s v="111422"/>
    <m/>
    <x v="0"/>
    <n v="1.3513513513513513E-5"/>
    <s v="100"/>
    <n v="0.22373366744227668"/>
    <x v="9"/>
    <s v="TRI"/>
  </r>
  <r>
    <s v="110000423925"/>
    <s v="Saint Paul Park Refining Co LLC"/>
    <s v="DIOXIN AND DIOXIN-LIKE COMPOUNDS"/>
    <s v="N150"/>
    <m/>
    <x v="0"/>
    <n v="1.3513513513513513E-5"/>
    <s v="0.00074492"/>
    <n v="1.6666368355110075E-6"/>
    <x v="37"/>
    <s v="TRI"/>
  </r>
  <r>
    <s v="110000423925"/>
    <s v="Saint Paul Park Refining Co LLC"/>
    <s v="ETHYLBENZENE"/>
    <s v="100414"/>
    <m/>
    <x v="0"/>
    <n v="1.3513513513513513E-5"/>
    <s v="0"/>
    <n v="0"/>
    <x v="10"/>
    <s v="TRI"/>
  </r>
  <r>
    <s v="110000423925"/>
    <s v="Saint Paul Park Refining Co LLC"/>
    <s v="ETHYLENE"/>
    <s v="74851"/>
    <m/>
    <x v="0"/>
    <n v="1.3513513513513513E-5"/>
    <s v="3"/>
    <n v="6.7120100232683014E-3"/>
    <x v="38"/>
    <s v="TRI"/>
  </r>
  <r>
    <s v="110000423925"/>
    <s v="Saint Paul Park Refining Co LLC"/>
    <s v="ETHYLENE GLYCOL"/>
    <s v="107211"/>
    <m/>
    <x v="0"/>
    <n v="1.3513513513513513E-5"/>
    <s v="0"/>
    <n v="0"/>
    <x v="39"/>
    <s v="TRI"/>
  </r>
  <r>
    <s v="110000423925"/>
    <s v="Saint Paul Park Refining Co LLC"/>
    <s v="LEAD AND LEAD COMPOUNDS"/>
    <s v="7439921"/>
    <m/>
    <x v="0"/>
    <n v="1.3513513513513513E-5"/>
    <s v="7.6"/>
    <n v="1.7003758725613029E-2"/>
    <x v="11"/>
    <s v="TRI"/>
  </r>
  <r>
    <s v="110000423925"/>
    <s v="Saint Paul Park Refining Co LLC"/>
    <s v="MERCURY AND MERCURY COMPOUNDS"/>
    <s v="N458"/>
    <m/>
    <x v="0"/>
    <n v="1.3513513513513513E-5"/>
    <s v="0"/>
    <n v="0"/>
    <x v="12"/>
    <s v="TRI"/>
  </r>
  <r>
    <s v="110000423925"/>
    <s v="Saint Paul Park Refining Co LLC"/>
    <s v="Mercury, total (as Hg)"/>
    <s v="7439976"/>
    <n v="3.4934728654999999E-3"/>
    <x v="0"/>
    <n v="1.3513513513513513E-5"/>
    <s v=""/>
    <n v="1.2933998021103293E-10"/>
    <x v="64"/>
    <s v="DMR"/>
  </r>
  <r>
    <s v="110000423925"/>
    <s v="Saint Paul Park Refining Co LLC"/>
    <s v="NAPHTHALENE"/>
    <s v="91203"/>
    <m/>
    <x v="0"/>
    <n v="1.3513513513513513E-5"/>
    <s v="13"/>
    <n v="2.9085376767495969E-2"/>
    <x v="13"/>
    <s v="TRI"/>
  </r>
  <r>
    <s v="110000423925"/>
    <s v="Saint Paul Park Refining Co LLC"/>
    <s v="N-HEXANE"/>
    <s v="110543"/>
    <m/>
    <x v="0"/>
    <n v="1.3513513513513513E-5"/>
    <s v="0"/>
    <n v="0"/>
    <x v="14"/>
    <s v="TRI"/>
  </r>
  <r>
    <s v="110000423925"/>
    <s v="Saint Paul Park Refining Co LLC"/>
    <s v="Nitrogen, ammonia total (as N)"/>
    <s v="7664417"/>
    <n v="4580.6000000000004"/>
    <x v="0"/>
    <n v="1.3513513513513513E-5"/>
    <s v=""/>
    <n v="1.6958904109589044E-4"/>
    <x v="16"/>
    <s v="DMR"/>
  </r>
  <r>
    <s v="110000423925"/>
    <s v="Saint Paul Park Refining Co LLC"/>
    <s v="Nitrogen, ammonia, tot unionized (as N)"/>
    <s v="7664417"/>
    <n v="42.454634179999999"/>
    <x v="0"/>
    <n v="1.3513513513513513E-5"/>
    <s v=""/>
    <n v="1.5718117060348019E-6"/>
    <x v="16"/>
    <s v="DMR"/>
  </r>
  <r>
    <s v="110000423925"/>
    <s v="Saint Paul Park Refining Co LLC"/>
    <s v="Oil and grease, hexane extr method"/>
    <s v=""/>
    <n v="139.5"/>
    <x v="0"/>
    <n v="1.3513513513513513E-5"/>
    <s v=""/>
    <n v="5.1647537948907813E-6"/>
    <x v="65"/>
    <s v="DMR"/>
  </r>
  <r>
    <s v="110000423925"/>
    <s v="Saint Paul Park Refining Co LLC"/>
    <s v="Phenol"/>
    <s v="108952"/>
    <n v="0"/>
    <x v="0"/>
    <n v="1.3513513513513513E-5"/>
    <s v=""/>
    <n v="0"/>
    <x v="19"/>
    <s v="DMR"/>
  </r>
  <r>
    <s v="110000423925"/>
    <s v="Saint Paul Park Refining Co LLC"/>
    <s v="Phenolics, total recoverable"/>
    <s v=""/>
    <n v="0"/>
    <x v="0"/>
    <n v="1.3513513513513513E-5"/>
    <s v=""/>
    <n v="0"/>
    <x v="20"/>
    <s v="DMR"/>
  </r>
  <r>
    <s v="110000423925"/>
    <s v="Saint Paul Park Refining Co LLC"/>
    <s v="Phosphorus, total (as P)"/>
    <s v="7723140"/>
    <n v="822.34840350000002"/>
    <x v="0"/>
    <n v="1.3513513513513513E-5"/>
    <s v=""/>
    <n v="3.0446071954831544E-5"/>
    <x v="66"/>
    <s v="DMR"/>
  </r>
  <r>
    <s v="110000423925"/>
    <s v="Saint Paul Park Refining Co LLC"/>
    <s v="POLYCYCLIC AROMATIC COMPOUNDS"/>
    <s v="N590"/>
    <m/>
    <x v="0"/>
    <n v="1.3513513513513513E-5"/>
    <s v="182.8"/>
    <n v="0.40898514408448183"/>
    <x v="21"/>
    <s v="TRI"/>
  </r>
  <r>
    <s v="110000423925"/>
    <s v="Saint Paul Park Refining Co LLC"/>
    <s v="PROPYLENE"/>
    <s v="115071"/>
    <m/>
    <x v="0"/>
    <n v="1.3513513513513513E-5"/>
    <s v="3"/>
    <n v="6.7120100232683014E-3"/>
    <x v="54"/>
    <s v="TRI"/>
  </r>
  <r>
    <s v="110000423925"/>
    <s v="Saint Paul Park Refining Co LLC"/>
    <s v="Selenium, total (as Se)"/>
    <s v="7782492"/>
    <n v="35.384848425000001"/>
    <x v="0"/>
    <n v="1.3513513513513513E-5"/>
    <s v=""/>
    <n v="1.310064732506479E-6"/>
    <x v="55"/>
    <s v="DMR"/>
  </r>
  <r>
    <s v="110000423925"/>
    <s v="Saint Paul Park Refining Co LLC"/>
    <s v="Solids, total suspended"/>
    <s v=""/>
    <n v="5234.5"/>
    <x v="0"/>
    <n v="1.3513513513513513E-5"/>
    <s v=""/>
    <n v="1.9379859311366161E-4"/>
    <x v="22"/>
    <s v="DMR"/>
  </r>
  <r>
    <s v="110000423925"/>
    <s v="Saint Paul Park Refining Co LLC"/>
    <s v="Sulfide, total (as S)"/>
    <s v="18496258"/>
    <n v="0"/>
    <x v="0"/>
    <n v="1.3513513513513513E-5"/>
    <s v=""/>
    <n v="0"/>
    <x v="23"/>
    <s v="DMR"/>
  </r>
  <r>
    <s v="110000423925"/>
    <s v="Saint Paul Park Refining Co LLC"/>
    <s v="TETRACHLOROETHYLENE"/>
    <s v="127184"/>
    <m/>
    <x v="0"/>
    <n v="1.3513513513513513E-5"/>
    <s v="0"/>
    <n v="0"/>
    <x v="50"/>
    <s v="TRI"/>
  </r>
  <r>
    <s v="110000423925"/>
    <s v="Saint Paul Park Refining Co LLC"/>
    <s v="TOLUENE"/>
    <s v="108883"/>
    <m/>
    <x v="0"/>
    <n v="1.3513513513513513E-5"/>
    <s v="6"/>
    <n v="1.3424020046536603E-2"/>
    <x v="24"/>
    <s v="TRI"/>
  </r>
  <r>
    <s v="110000423925"/>
    <s v="Saint Paul Park Refining Co LLC"/>
    <s v="XYLENE (MIXED ISOMERS)"/>
    <s v="1330207"/>
    <m/>
    <x v="0"/>
    <n v="1.3513513513513513E-5"/>
    <s v="0"/>
    <n v="0"/>
    <x v="25"/>
    <s v="TRI"/>
  </r>
  <r>
    <s v="110000423925"/>
    <s v="Saint Paul Park Refining Co LLC"/>
    <s v="Zinc, total (as Zn)"/>
    <s v="7440666"/>
    <n v="39.522780750000003"/>
    <x v="0"/>
    <n v="1.3513513513513513E-5"/>
    <s v=""/>
    <n v="1.4632647445390596E-6"/>
    <x v="98"/>
    <s v="DMR"/>
  </r>
  <r>
    <s v="110012509071"/>
    <s v="Shell Chemical Company"/>
    <s v="1,2,4-TRIMETHYLBENZENE"/>
    <s v="95636"/>
    <m/>
    <x v="4"/>
    <n v="1.1764705882352942E-5"/>
    <s v="1"/>
    <n v="1.9477989871445269E-3"/>
    <x v="0"/>
    <s v="TRI"/>
  </r>
  <r>
    <s v="110012509071"/>
    <s v="Shell Chemical Company"/>
    <s v="BENZENE"/>
    <s v="71432"/>
    <m/>
    <x v="4"/>
    <n v="1.1764705882352942E-5"/>
    <s v="2.73"/>
    <n v="5.3174912349045582E-3"/>
    <x v="1"/>
    <s v="TRI"/>
  </r>
  <r>
    <s v="110012509071"/>
    <s v="Shell Chemical Company"/>
    <s v="CHROMIUM AND CHROMIUM COMPOUNDS"/>
    <s v="N090"/>
    <m/>
    <x v="4"/>
    <n v="1.1764705882352942E-5"/>
    <s v="1.65"/>
    <n v="3.213868328788469E-3"/>
    <x v="59"/>
    <s v="TRI"/>
  </r>
  <r>
    <s v="110012509071"/>
    <s v="Shell Chemical Company"/>
    <s v="CYCLOHEXANE"/>
    <s v="110827"/>
    <m/>
    <x v="4"/>
    <n v="1.1764705882352942E-5"/>
    <s v="2.73"/>
    <n v="5.3174912349045582E-3"/>
    <x v="8"/>
    <s v="TRI"/>
  </r>
  <r>
    <s v="110012509071"/>
    <s v="Shell Chemical Company"/>
    <s v="ETHYLBENZENE"/>
    <s v="100414"/>
    <m/>
    <x v="4"/>
    <n v="1.1764705882352942E-5"/>
    <s v="2.68"/>
    <n v="5.2201012855473327E-3"/>
    <x v="10"/>
    <s v="TRI"/>
  </r>
  <r>
    <s v="110012509071"/>
    <s v="Shell Chemical Company"/>
    <s v="MERCURY AND MERCURY COMPOUNDS"/>
    <s v="N458"/>
    <m/>
    <x v="4"/>
    <n v="1.1764705882352942E-5"/>
    <s v="0.19"/>
    <n v="3.7008180755746011E-4"/>
    <x v="12"/>
    <s v="TRI"/>
  </r>
  <r>
    <s v="110012509071"/>
    <s v="Shell Chemical Company"/>
    <s v="NAPHTHALENE"/>
    <s v="91203"/>
    <m/>
    <x v="4"/>
    <n v="1.1764705882352942E-5"/>
    <s v="2.73"/>
    <n v="5.3174912349045582E-3"/>
    <x v="13"/>
    <s v="TRI"/>
  </r>
  <r>
    <s v="110012509071"/>
    <s v="Shell Chemical Company"/>
    <s v="N-HEXANE"/>
    <s v="110543"/>
    <m/>
    <x v="4"/>
    <n v="1.1764705882352942E-5"/>
    <s v="0"/>
    <n v="0"/>
    <x v="14"/>
    <s v="TRI"/>
  </r>
  <r>
    <s v="110012509071"/>
    <s v="Shell Chemical Company"/>
    <s v="POLYCYCLIC AROMATIC COMPOUNDS"/>
    <s v="N590"/>
    <m/>
    <x v="4"/>
    <n v="1.1764705882352942E-5"/>
    <s v="0"/>
    <n v="0"/>
    <x v="21"/>
    <s v="TRI"/>
  </r>
  <r>
    <s v="110012509071"/>
    <s v="Shell Chemical Company"/>
    <s v="TOLUENE"/>
    <s v="108883"/>
    <m/>
    <x v="4"/>
    <n v="1.1764705882352942E-5"/>
    <s v="2.73"/>
    <n v="5.3174912349045582E-3"/>
    <x v="24"/>
    <s v="TRI"/>
  </r>
  <r>
    <s v="110012509071"/>
    <s v="Shell Chemical Company"/>
    <s v="XYLENE (MIXED ISOMERS)"/>
    <s v="1330207"/>
    <m/>
    <x v="4"/>
    <n v="1.1764705882352942E-5"/>
    <s v="3.49"/>
    <n v="6.7978184651343995E-3"/>
    <x v="25"/>
    <s v="TRI"/>
  </r>
  <r>
    <s v="110000483245"/>
    <s v="SHELL MARTINEZ REFINERY"/>
    <s v="1,2,4-TRIMETHYLBENZENE"/>
    <s v="95636"/>
    <m/>
    <x v="2"/>
    <n v="6.5991152691045767E-6"/>
    <s v="0"/>
    <n v="0"/>
    <x v="0"/>
    <s v="TRI"/>
  </r>
  <r>
    <s v="110000483245"/>
    <s v="SHELL MARTINEZ REFINERY"/>
    <s v="1,3-BUTADIENE"/>
    <s v="106990"/>
    <m/>
    <x v="2"/>
    <n v="6.5991152691045767E-6"/>
    <s v="0"/>
    <n v="0"/>
    <x v="30"/>
    <s v="TRI"/>
  </r>
  <r>
    <s v="110000483245"/>
    <s v="SHELL MARTINEZ REFINERY"/>
    <s v="2,4-DIMETHYLPHENOL"/>
    <s v="105679"/>
    <m/>
    <x v="2"/>
    <n v="6.5991152691045767E-6"/>
    <s v="15"/>
    <n v="1.6388531297445139E-2"/>
    <x v="81"/>
    <s v="TRI"/>
  </r>
  <r>
    <s v="110000483245"/>
    <s v="SHELL MARTINEZ REFINERY"/>
    <s v="ANTHRACENE"/>
    <s v="120127"/>
    <m/>
    <x v="2"/>
    <n v="6.5991152691045767E-6"/>
    <s v="0"/>
    <n v="0"/>
    <x v="31"/>
    <s v="TRI"/>
  </r>
  <r>
    <s v="110000483245"/>
    <s v="SHELL MARTINEZ REFINERY"/>
    <s v="BENZENE"/>
    <s v="71432"/>
    <m/>
    <x v="2"/>
    <n v="6.5991152691045767E-6"/>
    <s v="0"/>
    <n v="0"/>
    <x v="1"/>
    <s v="TRI"/>
  </r>
  <r>
    <s v="110000483245"/>
    <s v="SHELL MARTINEZ REFINERY"/>
    <s v="BENZO(G,H,I)PERYLENE"/>
    <s v="191242"/>
    <m/>
    <x v="2"/>
    <n v="6.5991152691045767E-6"/>
    <s v="0"/>
    <n v="0"/>
    <x v="32"/>
    <s v="TRI"/>
  </r>
  <r>
    <s v="110000483245"/>
    <s v="SHELL MARTINEZ REFINERY"/>
    <s v="BOD, 5-day, 20 deg. C"/>
    <s v=""/>
    <n v="24395.841269799999"/>
    <x v="2"/>
    <n v="6.5991152691045767E-6"/>
    <s v=""/>
    <n v="4.4107114692106507E-4"/>
    <x v="2"/>
    <s v="DMR"/>
  </r>
  <r>
    <s v="110000483245"/>
    <s v="SHELL MARTINEZ REFINERY"/>
    <s v="Chemical Oxygen Demand (COD)"/>
    <s v=""/>
    <n v="624692.51700700005"/>
    <x v="2"/>
    <n v="6.5991152691045767E-6"/>
    <s v=""/>
    <n v="1.1294295691715792E-2"/>
    <x v="18"/>
    <s v="DMR"/>
  </r>
  <r>
    <s v="110000483245"/>
    <s v="SHELL MARTINEZ REFINERY"/>
    <s v="CHROMIUM AND CHROMIUM COMPOUNDS"/>
    <s v="N090"/>
    <m/>
    <x v="2"/>
    <n v="6.5991152691045767E-6"/>
    <s v="5"/>
    <n v="5.4628437658150461E-3"/>
    <x v="59"/>
    <s v="TRI"/>
  </r>
  <r>
    <s v="110000483245"/>
    <s v="SHELL MARTINEZ REFINERY"/>
    <s v="Chromium, hexavalent (as Cr)"/>
    <s v="18540299"/>
    <n v="0"/>
    <x v="2"/>
    <n v="6.5991152691045767E-6"/>
    <s v=""/>
    <n v="0"/>
    <x v="4"/>
    <s v="DMR"/>
  </r>
  <r>
    <s v="110000483245"/>
    <s v="SHELL MARTINEZ REFINERY"/>
    <s v="Chromium, total (as Cr)"/>
    <s v="7440473"/>
    <n v="2.31156462585"/>
    <x v="2"/>
    <n v="6.5991152691045767E-6"/>
    <s v=""/>
    <n v="4.1792551830051348E-8"/>
    <x v="5"/>
    <s v="DMR"/>
  </r>
  <r>
    <s v="110000483245"/>
    <s v="SHELL MARTINEZ REFINERY"/>
    <s v="Copper, total (as Cu)"/>
    <s v="7440508"/>
    <n v="14.378567007999999"/>
    <x v="2"/>
    <n v="6.5991152691045767E-6"/>
    <s v=""/>
    <n v="2.5996115367215368E-7"/>
    <x v="68"/>
    <s v="DMR"/>
  </r>
  <r>
    <s v="110000483245"/>
    <s v="SHELL MARTINEZ REFINERY"/>
    <s v="CRESOL (MIXED ISOMERS)"/>
    <s v="1319773"/>
    <m/>
    <x v="2"/>
    <n v="6.5991152691045767E-6"/>
    <s v="87"/>
    <n v="9.505348152518181E-2"/>
    <x v="61"/>
    <s v="TRI"/>
  </r>
  <r>
    <s v="110000483245"/>
    <s v="SHELL MARTINEZ REFINERY"/>
    <s v="CUMENE"/>
    <s v="98828"/>
    <m/>
    <x v="2"/>
    <n v="6.5991152691045767E-6"/>
    <s v="0"/>
    <n v="0"/>
    <x v="6"/>
    <s v="TRI"/>
  </r>
  <r>
    <s v="110000483245"/>
    <s v="SHELL MARTINEZ REFINERY"/>
    <s v="CYANIDE COMPOUNDS"/>
    <s v="N106"/>
    <m/>
    <x v="2"/>
    <n v="6.5991152691045767E-6"/>
    <s v="220"/>
    <n v="0.24036512569586202"/>
    <x v="7"/>
    <s v="TRI"/>
  </r>
  <r>
    <s v="110000483245"/>
    <s v="SHELL MARTINEZ REFINERY"/>
    <s v="Cyanide, total (as CN)"/>
    <s v="57125"/>
    <n v="93.281264440000001"/>
    <x v="2"/>
    <n v="6.5991152691045767E-6"/>
    <s v=""/>
    <n v="1.6865036068147555E-6"/>
    <x v="85"/>
    <s v="DMR"/>
  </r>
  <r>
    <s v="110000483245"/>
    <s v="SHELL MARTINEZ REFINERY"/>
    <s v="CYCLOHEXANE"/>
    <s v="110827"/>
    <m/>
    <x v="2"/>
    <n v="6.5991152691045767E-6"/>
    <s v="0"/>
    <n v="0"/>
    <x v="8"/>
    <s v="TRI"/>
  </r>
  <r>
    <s v="110000483245"/>
    <s v="SHELL MARTINEZ REFINERY"/>
    <s v="DIETHANOLAMINE"/>
    <s v="111422"/>
    <m/>
    <x v="2"/>
    <n v="6.5991152691045767E-6"/>
    <s v="0"/>
    <n v="0"/>
    <x v="9"/>
    <s v="TRI"/>
  </r>
  <r>
    <s v="110000483245"/>
    <s v="SHELL MARTINEZ REFINERY"/>
    <s v="DIOXIN AND DIOXIN-LIKE COMPOUNDS"/>
    <s v="N150"/>
    <m/>
    <x v="2"/>
    <n v="6.5991152691045767E-6"/>
    <s v="0.0000432"/>
    <n v="4.7198970136641994E-8"/>
    <x v="37"/>
    <s v="TRI"/>
  </r>
  <r>
    <s v="110000483245"/>
    <s v="SHELL MARTINEZ REFINERY"/>
    <s v="ETHYLBENZENE"/>
    <s v="100414"/>
    <m/>
    <x v="2"/>
    <n v="6.5991152691045767E-6"/>
    <s v="0"/>
    <n v="0"/>
    <x v="10"/>
    <s v="TRI"/>
  </r>
  <r>
    <s v="110000483245"/>
    <s v="SHELL MARTINEZ REFINERY"/>
    <s v="HYDROGEN CYANIDE"/>
    <s v="74908"/>
    <m/>
    <x v="2"/>
    <n v="6.5991152691045767E-6"/>
    <s v="0"/>
    <n v="0"/>
    <x v="41"/>
    <s v="TRI"/>
  </r>
  <r>
    <s v="110000483245"/>
    <s v="SHELL MARTINEZ REFINERY"/>
    <s v="LEAD AND LEAD COMPOUNDS"/>
    <s v="7439921"/>
    <m/>
    <x v="2"/>
    <n v="6.5991152691045767E-6"/>
    <s v="1"/>
    <n v="1.0925687531630093E-3"/>
    <x v="11"/>
    <s v="TRI"/>
  </r>
  <r>
    <s v="110000483245"/>
    <s v="SHELL MARTINEZ REFINERY"/>
    <s v="MERCURY AND MERCURY COMPOUNDS"/>
    <s v="N458"/>
    <m/>
    <x v="2"/>
    <n v="6.5991152691045767E-6"/>
    <s v="0.04"/>
    <n v="4.3702750126520364E-5"/>
    <x v="12"/>
    <s v="TRI"/>
  </r>
  <r>
    <s v="110000483245"/>
    <s v="SHELL MARTINEZ REFINERY"/>
    <s v="Mercury, total (as Hg)"/>
    <s v="7439976"/>
    <n v="1.300328423E-2"/>
    <x v="2"/>
    <n v="6.5991152691045767E-6"/>
    <s v=""/>
    <n v="2.3509636030328697E-10"/>
    <x v="64"/>
    <s v="DMR"/>
  </r>
  <r>
    <s v="110000483245"/>
    <s v="SHELL MARTINEZ REFINERY"/>
    <s v="METHANOL"/>
    <s v="67561"/>
    <m/>
    <x v="2"/>
    <n v="6.5991152691045767E-6"/>
    <s v="0"/>
    <n v="0"/>
    <x v="42"/>
    <s v="TRI"/>
  </r>
  <r>
    <s v="110000483245"/>
    <s v="SHELL MARTINEZ REFINERY"/>
    <s v="MOLYBDENUM TRIOXIDE"/>
    <s v="1313275"/>
    <m/>
    <x v="2"/>
    <n v="6.5991152691045767E-6"/>
    <s v="0"/>
    <n v="0"/>
    <x v="44"/>
    <s v="TRI"/>
  </r>
  <r>
    <s v="110000483245"/>
    <s v="SHELL MARTINEZ REFINERY"/>
    <s v="NAPHTHALENE"/>
    <s v="91203"/>
    <m/>
    <x v="2"/>
    <n v="6.5991152691045767E-6"/>
    <s v="0"/>
    <n v="0"/>
    <x v="13"/>
    <s v="TRI"/>
  </r>
  <r>
    <s v="110000483245"/>
    <s v="SHELL MARTINEZ REFINERY"/>
    <s v="N-HEXANE"/>
    <s v="110543"/>
    <m/>
    <x v="2"/>
    <n v="6.5991152691045767E-6"/>
    <s v="0"/>
    <n v="0"/>
    <x v="14"/>
    <s v="TRI"/>
  </r>
  <r>
    <s v="110000483245"/>
    <s v="SHELL MARTINEZ REFINERY"/>
    <s v="NICKEL AND NICKEL COMPOUNDS"/>
    <s v="N495"/>
    <m/>
    <x v="2"/>
    <n v="6.5991152691045767E-6"/>
    <s v="240"/>
    <n v="0.26221650075912223"/>
    <x v="45"/>
    <s v="TRI"/>
  </r>
  <r>
    <s v="110000483245"/>
    <s v="SHELL MARTINEZ REFINERY"/>
    <s v="Nickel, total (as Ni)"/>
    <s v="7440020"/>
    <n v="105.37299955"/>
    <x v="2"/>
    <n v="6.5991152691045767E-6"/>
    <s v=""/>
    <n v="1.9051193706349443E-6"/>
    <x v="71"/>
    <s v="DMR"/>
  </r>
  <r>
    <s v="110000483245"/>
    <s v="SHELL MARTINEZ REFINERY"/>
    <s v="NITRATE COMPOUNDS"/>
    <s v="14797558"/>
    <m/>
    <x v="2"/>
    <n v="6.5991152691045767E-6"/>
    <s v="190000"/>
    <n v="207.58806310097177"/>
    <x v="15"/>
    <s v="TRI"/>
  </r>
  <r>
    <s v="110000483245"/>
    <s v="SHELL MARTINEZ REFINERY"/>
    <s v="Nitrogen, ammonia total (as N)"/>
    <s v="7664417"/>
    <n v="8910.5396825400003"/>
    <x v="2"/>
    <n v="6.5991152691045767E-6"/>
    <s v=""/>
    <n v="1.6110048897263551E-4"/>
    <x v="16"/>
    <s v="DMR"/>
  </r>
  <r>
    <s v="110000483245"/>
    <s v="SHELL MARTINEZ REFINERY"/>
    <s v="Oil and grease"/>
    <s v=""/>
    <n v="2089.8639455799998"/>
    <x v="2"/>
    <n v="6.5991152691045767E-6"/>
    <s v=""/>
    <n v="3.7784254996241403E-5"/>
    <x v="17"/>
    <s v="DMR"/>
  </r>
  <r>
    <s v="110000483245"/>
    <s v="SHELL MARTINEZ REFINERY"/>
    <s v="PHENANTHRENE"/>
    <s v="85018"/>
    <m/>
    <x v="2"/>
    <n v="6.5991152691045767E-6"/>
    <s v="0"/>
    <n v="0"/>
    <x v="46"/>
    <s v="TRI"/>
  </r>
  <r>
    <s v="110000483245"/>
    <s v="SHELL MARTINEZ REFINERY"/>
    <s v="PHENOL"/>
    <s v="108952"/>
    <m/>
    <x v="2"/>
    <n v="6.5991152691045767E-6"/>
    <s v="18"/>
    <n v="1.9666237556934165E-2"/>
    <x v="19"/>
    <s v="TRI"/>
  </r>
  <r>
    <s v="110000483245"/>
    <s v="SHELL MARTINEZ REFINERY"/>
    <s v="Phenols"/>
    <s v=""/>
    <n v="104.870748299"/>
    <x v="2"/>
    <n v="6.5991152691045767E-6"/>
    <s v=""/>
    <n v="1.896038784609188E-6"/>
    <x v="73"/>
    <s v="DMR"/>
  </r>
  <r>
    <s v="110000483245"/>
    <s v="SHELL MARTINEZ REFINERY"/>
    <s v="POLYCYCLIC AROMATIC COMPOUNDS"/>
    <s v="N590"/>
    <m/>
    <x v="2"/>
    <n v="6.5991152691045767E-6"/>
    <s v="0"/>
    <n v="0"/>
    <x v="21"/>
    <s v="TRI"/>
  </r>
  <r>
    <s v="110000483245"/>
    <s v="SHELL MARTINEZ REFINERY"/>
    <s v="Selenium, total (as Se)"/>
    <s v="7782492"/>
    <n v="227.88117913799999"/>
    <x v="2"/>
    <n v="6.5991152691045767E-6"/>
    <s v=""/>
    <n v="4.1200388186058381E-6"/>
    <x v="55"/>
    <s v="DMR"/>
  </r>
  <r>
    <s v="110000483245"/>
    <s v="SHELL MARTINEZ REFINERY"/>
    <s v="SILVER AND SILVER COMPOUNDS"/>
    <s v="7440224"/>
    <m/>
    <x v="2"/>
    <n v="6.5991152691045767E-6"/>
    <s v="0"/>
    <n v="0"/>
    <x v="138"/>
    <s v="TRI"/>
  </r>
  <r>
    <s v="110000483245"/>
    <s v="SHELL MARTINEZ REFINERY"/>
    <s v="Solids, total suspended"/>
    <s v=""/>
    <n v="18486.680272099999"/>
    <x v="2"/>
    <n v="6.5991152691045767E-6"/>
    <s v=""/>
    <n v="3.3423488783197107E-4"/>
    <x v="22"/>
    <s v="DMR"/>
  </r>
  <r>
    <s v="110000483245"/>
    <s v="SHELL MARTINEZ REFINERY"/>
    <s v="Sulfide, total (as S)"/>
    <s v="18496258"/>
    <n v="86.975056689300004"/>
    <x v="2"/>
    <n v="6.5991152691045767E-6"/>
    <s v=""/>
    <n v="1.5724888346016322E-6"/>
    <x v="23"/>
    <s v="DMR"/>
  </r>
  <r>
    <s v="110000483245"/>
    <s v="SHELL MARTINEZ REFINERY"/>
    <s v="TETRACHLOROETHYLENE"/>
    <s v="127184"/>
    <m/>
    <x v="2"/>
    <n v="6.5991152691045767E-6"/>
    <s v="0"/>
    <n v="0"/>
    <x v="50"/>
    <s v="TRI"/>
  </r>
  <r>
    <s v="110000483245"/>
    <s v="SHELL MARTINEZ REFINERY"/>
    <s v="TOLUENE"/>
    <s v="108883"/>
    <m/>
    <x v="2"/>
    <n v="6.5991152691045767E-6"/>
    <s v="0"/>
    <n v="0"/>
    <x v="24"/>
    <s v="TRI"/>
  </r>
  <r>
    <s v="110000483245"/>
    <s v="SHELL MARTINEZ REFINERY"/>
    <s v="XYLENE (MIXED ISOMERS)"/>
    <s v="1330207"/>
    <m/>
    <x v="2"/>
    <n v="6.5991152691045767E-6"/>
    <s v="0"/>
    <n v="0"/>
    <x v="25"/>
    <s v="TRI"/>
  </r>
  <r>
    <s v="110000483245"/>
    <s v="SHELL MARTINEZ REFINERY"/>
    <s v="Zinc, total (as Cr)"/>
    <s v="7440666"/>
    <n v="126.32971185"/>
    <x v="2"/>
    <n v="6.5991152691045767E-6"/>
    <s v=""/>
    <n v="2.2840118641394965E-6"/>
    <x v="74"/>
    <s v="DMR"/>
  </r>
  <r>
    <s v="110000499069"/>
    <s v="Silver Eagle Refining - Woods Cross Inc.: Petroleum Products Refining"/>
    <s v="BENZENE"/>
    <s v="71432"/>
    <m/>
    <x v="0"/>
    <n v="1.6000000000000001E-4"/>
    <s v="0"/>
    <n v="0"/>
    <x v="1"/>
    <s v="TRI"/>
  </r>
  <r>
    <s v="110000499069"/>
    <s v="Silver Eagle Refining - Woods Cross Inc.: Petroleum Products Refining"/>
    <s v="ETHYLBENZENE"/>
    <s v="100414"/>
    <m/>
    <x v="0"/>
    <n v="1.6000000000000001E-4"/>
    <s v="0"/>
    <n v="0"/>
    <x v="10"/>
    <s v="TRI"/>
  </r>
  <r>
    <s v="110000499069"/>
    <s v="Silver Eagle Refining - Woods Cross Inc.: Petroleum Products Refining"/>
    <s v="LEAD AND LEAD COMPOUNDS"/>
    <s v="7439921"/>
    <m/>
    <x v="0"/>
    <n v="1.6000000000000001E-4"/>
    <s v="0"/>
    <n v="0"/>
    <x v="11"/>
    <s v="TRI"/>
  </r>
  <r>
    <s v="110000499069"/>
    <s v="Silver Eagle Refining - Woods Cross Inc.: Petroleum Products Refining"/>
    <s v="N-HEXANE"/>
    <s v="110543"/>
    <m/>
    <x v="0"/>
    <n v="1.6000000000000001E-4"/>
    <s v="0"/>
    <n v="0"/>
    <x v="14"/>
    <s v="TRI"/>
  </r>
  <r>
    <s v="110000499069"/>
    <s v="Silver Eagle Refining - Woods Cross Inc.: Petroleum Products Refining"/>
    <s v="POLYCYCLIC AROMATIC COMPOUNDS"/>
    <s v="N590"/>
    <m/>
    <x v="0"/>
    <n v="1.6000000000000001E-4"/>
    <s v="0"/>
    <n v="0"/>
    <x v="21"/>
    <s v="TRI"/>
  </r>
  <r>
    <s v="110000499069"/>
    <s v="Silver Eagle Refining - Woods Cross Inc.: Petroleum Products Refining"/>
    <s v="TOLUENE"/>
    <s v="108883"/>
    <m/>
    <x v="0"/>
    <n v="1.6000000000000001E-4"/>
    <s v="0"/>
    <n v="0"/>
    <x v="24"/>
    <s v="TRI"/>
  </r>
  <r>
    <s v="110000499069"/>
    <s v="Silver Eagle Refining - Woods Cross Inc.: Petroleum Products Refining"/>
    <s v="XYLENE (MIXED ISOMERS)"/>
    <s v="1330207"/>
    <m/>
    <x v="0"/>
    <n v="1.6000000000000001E-4"/>
    <s v="0"/>
    <n v="0"/>
    <x v="25"/>
    <s v="TRI"/>
  </r>
  <r>
    <s v="110015848813"/>
    <s v="SUNCOR ENERGY - DENVER REFINERY"/>
    <s v="1,2,4-TRIMETHYLBENZENE"/>
    <s v="95636"/>
    <m/>
    <x v="0"/>
    <n v="1.075268817204301E-5"/>
    <s v="0"/>
    <n v="0"/>
    <x v="0"/>
    <s v="TRI"/>
  </r>
  <r>
    <s v="110015848813"/>
    <s v="SUNCOR ENERGY - DENVER REFINERY"/>
    <s v="Arsenic, total (as As)"/>
    <s v="7440382"/>
    <n v="36.604326219999997"/>
    <x v="0"/>
    <n v="1.075268817204301E-5"/>
    <s v=""/>
    <n v="1.0783422070997199E-6"/>
    <x v="26"/>
    <s v="DMR"/>
  </r>
  <r>
    <s v="110015848813"/>
    <s v="SUNCOR ENERGY - DENVER REFINERY"/>
    <s v="Benzene"/>
    <s v="71432"/>
    <n v="1.95573978"/>
    <x v="0"/>
    <n v="1.075268817204301E-5"/>
    <s v=""/>
    <n v="5.7614958904109584E-8"/>
    <x v="1"/>
    <s v="DMR"/>
  </r>
  <r>
    <s v="110015848813"/>
    <s v="SUNCOR ENERGY - DENVER REFINERY"/>
    <s v="Benzene, ethylbenzene, toluene, xylene combination"/>
    <s v=""/>
    <n v="19.914187040000002"/>
    <x v="0"/>
    <n v="1.075268817204301E-5"/>
    <s v=""/>
    <n v="5.8666039298865816E-7"/>
    <x v="129"/>
    <s v="DMR"/>
  </r>
  <r>
    <s v="110015848813"/>
    <s v="SUNCOR ENERGY - DENVER REFINERY"/>
    <s v="BENZO(G,H,I)PERYLENE"/>
    <s v="191242"/>
    <m/>
    <x v="0"/>
    <n v="1.075268817204301E-5"/>
    <s v="0"/>
    <n v="0"/>
    <x v="32"/>
    <s v="TRI"/>
  </r>
  <r>
    <s v="110015848813"/>
    <s v="SUNCOR ENERGY - DENVER REFINERY"/>
    <s v="BOD, 5-day, 20 deg. C"/>
    <s v=""/>
    <n v="23879.365079399999"/>
    <x v="0"/>
    <n v="1.075268817204301E-5"/>
    <s v=""/>
    <n v="7.0347223683605827E-4"/>
    <x v="2"/>
    <s v="DMR"/>
  </r>
  <r>
    <s v="110015848813"/>
    <s v="SUNCOR ENERGY - DENVER REFINERY"/>
    <s v="Carbon, tot organic (TOC)"/>
    <s v="7440440"/>
    <n v="1944347.95952"/>
    <x v="0"/>
    <n v="1.075268817204301E-5"/>
    <s v=""/>
    <n v="5.7279362484018256E-2"/>
    <x v="3"/>
    <s v="DMR"/>
  </r>
  <r>
    <s v="110015848813"/>
    <s v="SUNCOR ENERGY - DENVER REFINERY"/>
    <s v="Chlorine, total residual"/>
    <s v="7782505"/>
    <n v="0"/>
    <x v="0"/>
    <n v="1.075268817204301E-5"/>
    <s v=""/>
    <n v="0"/>
    <x v="53"/>
    <s v="DMR"/>
  </r>
  <r>
    <s v="110015848813"/>
    <s v="SUNCOR ENERGY - DENVER REFINERY"/>
    <s v="Chromium, hexavalent (as Cr)"/>
    <s v="18540299"/>
    <n v="0"/>
    <x v="0"/>
    <n v="1.075268817204301E-5"/>
    <s v=""/>
    <n v="0"/>
    <x v="4"/>
    <s v="DMR"/>
  </r>
  <r>
    <s v="110015848813"/>
    <s v="SUNCOR ENERGY - DENVER REFINERY"/>
    <s v="Chromium, total (as Cr)"/>
    <s v="7440473"/>
    <n v="3.2653061224500002"/>
    <x v="0"/>
    <n v="1.075268817204301E-5"/>
    <s v=""/>
    <n v="9.6194023345117101E-8"/>
    <x v="5"/>
    <s v="DMR"/>
  </r>
  <r>
    <s v="110015848813"/>
    <s v="SUNCOR ENERGY - DENVER REFINERY"/>
    <s v="Copper, potentially dissolved"/>
    <s v="7440508"/>
    <n v="9.946042834"/>
    <x v="0"/>
    <n v="1.075268817204301E-5"/>
    <s v=""/>
    <n v="2.9300464969804093E-7"/>
    <x v="139"/>
    <s v="DMR"/>
  </r>
  <r>
    <s v="110015848813"/>
    <s v="SUNCOR ENERGY - DENVER REFINERY"/>
    <s v="CUMENE"/>
    <s v="98828"/>
    <m/>
    <x v="0"/>
    <n v="1.075268817204301E-5"/>
    <s v="0"/>
    <n v="0"/>
    <x v="6"/>
    <s v="TRI"/>
  </r>
  <r>
    <s v="110015848813"/>
    <s v="SUNCOR ENERGY - DENVER REFINERY"/>
    <s v="CYCLOHEXANE"/>
    <s v="110827"/>
    <m/>
    <x v="0"/>
    <n v="1.075268817204301E-5"/>
    <s v="0"/>
    <n v="0"/>
    <x v="8"/>
    <s v="TRI"/>
  </r>
  <r>
    <s v="110015848813"/>
    <s v="SUNCOR ENERGY - DENVER REFINERY"/>
    <s v="DIOXIN AND DIOXIN-LIKE COMPOUNDS"/>
    <s v="N150"/>
    <m/>
    <x v="0"/>
    <n v="1.075268817204301E-5"/>
    <s v="0.0000903"/>
    <n v="1.6075624866481518E-7"/>
    <x v="37"/>
    <s v="TRI"/>
  </r>
  <r>
    <s v="110015848813"/>
    <s v="SUNCOR ENERGY - DENVER REFINERY"/>
    <s v="ETHYLBENZENE"/>
    <s v="100414"/>
    <m/>
    <x v="0"/>
    <n v="1.075268817204301E-5"/>
    <s v="8"/>
    <n v="1.4241971088798688E-2"/>
    <x v="10"/>
    <s v="TRI"/>
  </r>
  <r>
    <s v="110015848813"/>
    <s v="SUNCOR ENERGY - DENVER REFINERY"/>
    <s v="ETHYLENE"/>
    <s v="74851"/>
    <m/>
    <x v="0"/>
    <n v="1.075268817204301E-5"/>
    <s v="0"/>
    <n v="0"/>
    <x v="38"/>
    <s v="TRI"/>
  </r>
  <r>
    <s v="110015848813"/>
    <s v="SUNCOR ENERGY - DENVER REFINERY"/>
    <s v="Iron, total (as Fe)"/>
    <s v="7439896"/>
    <n v="1863.9598888"/>
    <x v="0"/>
    <n v="1.075268817204301E-5"/>
    <s v=""/>
    <n v="5.4911176573869489E-5"/>
    <x v="110"/>
    <s v="DMR"/>
  </r>
  <r>
    <s v="110015848813"/>
    <s v="SUNCOR ENERGY - DENVER REFINERY"/>
    <s v="Lead, potentially dissolvd"/>
    <s v="7439921"/>
    <n v="1.6899534464000001"/>
    <x v="0"/>
    <n v="1.075268817204301E-5"/>
    <s v=""/>
    <n v="4.9785047765503019E-8"/>
    <x v="140"/>
    <s v="DMR"/>
  </r>
  <r>
    <s v="110015848813"/>
    <s v="SUNCOR ENERGY - DENVER REFINERY"/>
    <s v="Manganese, potentially dissolvd"/>
    <s v="7439965"/>
    <n v="2759.1767792200003"/>
    <x v="0"/>
    <n v="1.075268817204301E-5"/>
    <s v=""/>
    <n v="8.1283746626012671E-5"/>
    <x v="141"/>
    <s v="DMR"/>
  </r>
  <r>
    <s v="110015848813"/>
    <s v="SUNCOR ENERGY - DENVER REFINERY"/>
    <s v="MERCURY AND MERCURY COMPOUNDS"/>
    <s v="N458"/>
    <m/>
    <x v="0"/>
    <n v="1.075268817204301E-5"/>
    <s v="4.5"/>
    <n v="8.0111087374492608E-3"/>
    <x v="12"/>
    <s v="TRI"/>
  </r>
  <r>
    <s v="110015848813"/>
    <s v="SUNCOR ENERGY - DENVER REFINERY"/>
    <s v="Mercury, total (as Hg)"/>
    <s v="7439976"/>
    <n v="0.63432463752000001"/>
    <x v="0"/>
    <n v="1.075268817204301E-5"/>
    <s v=""/>
    <n v="1.8686835690676092E-8"/>
    <x v="64"/>
    <s v="DMR"/>
  </r>
  <r>
    <s v="110015848813"/>
    <s v="SUNCOR ENERGY - DENVER REFINERY"/>
    <s v="Methyl tert-butyl ether"/>
    <s v="1634044"/>
    <n v="16.160133200000001"/>
    <x v="0"/>
    <n v="1.075268817204301E-5"/>
    <s v=""/>
    <n v="4.7606814552953302E-7"/>
    <x v="118"/>
    <s v="DMR"/>
  </r>
  <r>
    <s v="110015848813"/>
    <s v="SUNCOR ENERGY - DENVER REFINERY"/>
    <s v="NAPHTHALENE"/>
    <s v="91203"/>
    <m/>
    <x v="0"/>
    <n v="1.075268817204301E-5"/>
    <s v="0"/>
    <n v="0"/>
    <x v="13"/>
    <s v="TRI"/>
  </r>
  <r>
    <s v="110015848813"/>
    <s v="SUNCOR ENERGY - DENVER REFINERY"/>
    <s v="N-HEXANE"/>
    <s v="110543"/>
    <m/>
    <x v="0"/>
    <n v="1.075268817204301E-5"/>
    <s v="0"/>
    <n v="0"/>
    <x v="14"/>
    <s v="TRI"/>
  </r>
  <r>
    <s v="110015848813"/>
    <s v="SUNCOR ENERGY - DENVER REFINERY"/>
    <s v="NICKEL AND NICKEL COMPOUNDS"/>
    <s v="N495"/>
    <m/>
    <x v="0"/>
    <n v="1.075268817204301E-5"/>
    <s v="12"/>
    <n v="2.1362956633198031E-2"/>
    <x v="45"/>
    <s v="TRI"/>
  </r>
  <r>
    <s v="110015848813"/>
    <s v="SUNCOR ENERGY - DENVER REFINERY"/>
    <s v="NITRATE COMPOUNDS"/>
    <s v="14797558"/>
    <m/>
    <x v="0"/>
    <n v="1.075268817204301E-5"/>
    <s v="33022"/>
    <n v="58.787296161788781"/>
    <x v="15"/>
    <s v="TRI"/>
  </r>
  <r>
    <s v="110015848813"/>
    <s v="SUNCOR ENERGY - DENVER REFINERY"/>
    <s v="Nitrogen, ammonia total (as N)"/>
    <s v="7664417"/>
    <n v="2094.70984"/>
    <x v="0"/>
    <n v="1.075268817204301E-5"/>
    <s v=""/>
    <n v="6.1708936220356448E-5"/>
    <x v="16"/>
    <s v="DMR"/>
  </r>
  <r>
    <s v="110015848813"/>
    <s v="SUNCOR ENERGY - DENVER REFINERY"/>
    <s v="Oil and grease"/>
    <s v=""/>
    <n v="46718.948893599998"/>
    <x v="0"/>
    <n v="1.075268817204301E-5"/>
    <s v=""/>
    <n v="1.3763131210369713E-3"/>
    <x v="17"/>
    <s v="DMR"/>
  </r>
  <r>
    <s v="110015848813"/>
    <s v="SUNCOR ENERGY - DENVER REFINERY"/>
    <s v="Chemical Oxygen Demand (COD)"/>
    <s v=""/>
    <n v="176222.22222200001"/>
    <x v="0"/>
    <n v="1.075268817204301E-5"/>
    <s v=""/>
    <n v="5.1914043959935185E-3"/>
    <x v="18"/>
    <s v="DMR"/>
  </r>
  <r>
    <s v="110015848813"/>
    <s v="SUNCOR ENERGY - DENVER REFINERY"/>
    <s v="Chemical Oxygen Demand (COD)"/>
    <s v=""/>
    <n v="57832.756099999999"/>
    <x v="0"/>
    <n v="1.075268817204301E-5"/>
    <s v=""/>
    <n v="1.7037194314332006E-3"/>
    <x v="18"/>
    <s v="DMR"/>
  </r>
  <r>
    <s v="110015848813"/>
    <s v="SUNCOR ENERGY - DENVER REFINERY"/>
    <s v="Oxygen, dissolved (DO)"/>
    <s v="7782447"/>
    <n v="17083.764039999998"/>
    <x v="0"/>
    <n v="1.075268817204301E-5"/>
    <s v=""/>
    <n v="5.0327777404625114E-4"/>
    <x v="72"/>
    <s v="DMR"/>
  </r>
  <r>
    <s v="110015848813"/>
    <s v="SUNCOR ENERGY - DENVER REFINERY"/>
    <s v="Phenolics, total recoverable"/>
    <s v=""/>
    <n v="0"/>
    <x v="0"/>
    <n v="1.075268817204301E-5"/>
    <s v=""/>
    <n v="0"/>
    <x v="20"/>
    <s v="DMR"/>
  </r>
  <r>
    <s v="110015848813"/>
    <s v="SUNCOR ENERGY - DENVER REFINERY"/>
    <s v="POLYCYCLIC AROMATIC COMPOUNDS"/>
    <s v="N590"/>
    <m/>
    <x v="0"/>
    <n v="1.075268817204301E-5"/>
    <s v="9.8"/>
    <n v="1.7446414583778394E-2"/>
    <x v="21"/>
    <s v="TRI"/>
  </r>
  <r>
    <s v="110015848813"/>
    <s v="SUNCOR ENERGY - DENVER REFINERY"/>
    <s v="Selenium, dissolved (as Se)"/>
    <s v="7782492"/>
    <n v="136.16676031"/>
    <x v="0"/>
    <n v="1.075268817204301E-5"/>
    <s v=""/>
    <n v="4.0113937342760342E-6"/>
    <x v="142"/>
    <s v="DMR"/>
  </r>
  <r>
    <s v="110015848813"/>
    <s v="SUNCOR ENERGY - DENVER REFINERY"/>
    <s v="Silver, potentially dissolved"/>
    <s v="7440224"/>
    <n v="1.2164792422999999"/>
    <x v="0"/>
    <n v="1.075268817204301E-5"/>
    <s v=""/>
    <n v="3.5836772493739865E-8"/>
    <x v="143"/>
    <s v="DMR"/>
  </r>
  <r>
    <s v="110015848813"/>
    <s v="SUNCOR ENERGY - DENVER REFINERY"/>
    <s v="Solids, total suspended"/>
    <s v=""/>
    <n v="92606.943281"/>
    <x v="0"/>
    <n v="1.075268817204301E-5"/>
    <s v=""/>
    <n v="2.72814680456621E-3"/>
    <x v="22"/>
    <s v="DMR"/>
  </r>
  <r>
    <s v="110015848813"/>
    <s v="SUNCOR ENERGY - DENVER REFINERY"/>
    <s v="TOLUENE"/>
    <s v="108883"/>
    <m/>
    <x v="0"/>
    <n v="1.075268817204301E-5"/>
    <s v="18"/>
    <n v="3.2044434949797043E-2"/>
    <x v="24"/>
    <s v="TRI"/>
  </r>
  <r>
    <s v="110015848813"/>
    <s v="SUNCOR ENERGY - DENVER REFINERY"/>
    <s v="XYLENE (MIXED ISOMERS)"/>
    <s v="1330207"/>
    <m/>
    <x v="0"/>
    <n v="1.075268817204301E-5"/>
    <s v="63"/>
    <n v="0.11215552232428966"/>
    <x v="25"/>
    <s v="TRI"/>
  </r>
  <r>
    <s v="110015848813"/>
    <s v="SUNCOR ENERGY - DENVER REFINERY"/>
    <s v="Zinc, potentially dissolved"/>
    <s v="7440666"/>
    <n v="504.78011321000002"/>
    <x v="0"/>
    <n v="1.075268817204301E-5"/>
    <s v=""/>
    <n v="1.4870529185741641E-5"/>
    <x v="144"/>
    <s v="DMR"/>
  </r>
  <r>
    <s v="110032885723"/>
    <s v="SUNOCO INC (R&amp;M)/MARCUS HOOK REFINERY"/>
    <s v="Nitrogen, total (as N)"/>
    <s v="7727379"/>
    <n v="78390.656200600002"/>
    <x v="0"/>
    <n v="5.7142857142857145E-6"/>
    <s v=""/>
    <n v="1.2272509777001958E-3"/>
    <x v="79"/>
    <s v="DMR"/>
  </r>
  <r>
    <s v="110032885723"/>
    <s v="SUNOCO INC (R&amp;M)/MARCUS HOOK REFINERY"/>
    <s v="Oil &amp; grease"/>
    <s v=""/>
    <n v="37363.375797499997"/>
    <x v="0"/>
    <n v="5.7142857142857145E-6"/>
    <s v=""/>
    <n v="5.8494521796477494E-4"/>
    <x v="28"/>
    <s v="DMR"/>
  </r>
  <r>
    <s v="110000336994"/>
    <s v="SUNOCO INC/ PHILA REFINERY R&amp;M"/>
    <s v="1,2,4-TRIMETHYLBENZENE"/>
    <s v="95636"/>
    <m/>
    <x v="0"/>
    <n v="3.0303030303030305E-6"/>
    <s v="7"/>
    <n v="3.5119405980333133E-3"/>
    <x v="0"/>
    <s v="TRI"/>
  </r>
  <r>
    <s v="110000336994"/>
    <s v="SUNOCO INC/ PHILA REFINERY R&amp;M"/>
    <s v="AMMONIA"/>
    <s v="7664417"/>
    <m/>
    <x v="0"/>
    <n v="3.0303030303030305E-6"/>
    <s v="7260"/>
    <n v="3.6423841059602644"/>
    <x v="16"/>
    <s v="TRI"/>
  </r>
  <r>
    <s v="110000336994"/>
    <s v="SUNOCO INC/ PHILA REFINERY R&amp;M"/>
    <s v="ANTIMONY AND ANTIMONY COMPOUNDS"/>
    <s v="7440360"/>
    <m/>
    <x v="0"/>
    <n v="3.0303030303030305E-6"/>
    <s v="740"/>
    <n v="0.37126229179209314"/>
    <x v="92"/>
    <s v="TRI"/>
  </r>
  <r>
    <s v="110000336994"/>
    <s v="SUNOCO INC/ PHILA REFINERY R&amp;M"/>
    <s v="Benzene"/>
    <s v="71432"/>
    <n v="3.9013111574999999"/>
    <x v="0"/>
    <n v="3.0303030303030305E-6"/>
    <s v=""/>
    <n v="3.2389465815691159E-8"/>
    <x v="1"/>
    <s v="DMR"/>
  </r>
  <r>
    <s v="110000336994"/>
    <s v="SUNOCO INC/ PHILA REFINERY R&amp;M"/>
    <s v="Benzene, ethylbenzene, toluene, xylene combination"/>
    <s v=""/>
    <n v="20.764820370000002"/>
    <x v="0"/>
    <n v="3.0303030303030305E-6"/>
    <s v=""/>
    <n v="1.7239369339975098E-7"/>
    <x v="129"/>
    <s v="DMR"/>
  </r>
  <r>
    <s v="110000336994"/>
    <s v="SUNOCO INC/ PHILA REFINERY R&amp;M"/>
    <s v="BOD, 5-day, 20 deg. C"/>
    <s v=""/>
    <n v="59846.313350999997"/>
    <x v="0"/>
    <n v="3.0303030303030305E-6"/>
    <s v=""/>
    <n v="4.9685606767123293E-4"/>
    <x v="2"/>
    <s v="DMR"/>
  </r>
  <r>
    <s v="110000336994"/>
    <s v="SUNOCO INC/ PHILA REFINERY R&amp;M"/>
    <s v="BOD, carbonaceous, 20 day, 20 C"/>
    <s v=""/>
    <n v="56473.015872999997"/>
    <x v="0"/>
    <n v="3.0303030303030305E-6"/>
    <s v=""/>
    <n v="4.6885027706932342E-4"/>
    <x v="132"/>
    <s v="DMR"/>
  </r>
  <r>
    <s v="110000336994"/>
    <s v="SUNOCO INC/ PHILA REFINERY R&amp;M"/>
    <s v="Carbon, tot organic (TOC)"/>
    <s v="7440440"/>
    <n v="71347.186411999995"/>
    <x v="0"/>
    <n v="3.0303030303030305E-6"/>
    <s v=""/>
    <n v="5.9233861695309265E-4"/>
    <x v="3"/>
    <s v="DMR"/>
  </r>
  <r>
    <s v="110000336994"/>
    <s v="SUNOCO INC/ PHILA REFINERY R&amp;M"/>
    <s v="Chromium, hexavalent (as Cr)"/>
    <s v="18540299"/>
    <n v="0"/>
    <x v="0"/>
    <n v="3.0303030303030305E-6"/>
    <s v=""/>
    <n v="0"/>
    <x v="4"/>
    <s v="DMR"/>
  </r>
  <r>
    <s v="110000336994"/>
    <s v="SUNOCO INC/ PHILA REFINERY R&amp;M"/>
    <s v="Chromium, total (as Cr)"/>
    <s v="7440473"/>
    <n v="0"/>
    <x v="0"/>
    <n v="3.0303030303030305E-6"/>
    <s v=""/>
    <n v="0"/>
    <x v="5"/>
    <s v="DMR"/>
  </r>
  <r>
    <s v="110000336994"/>
    <s v="SUNOCO INC/ PHILA REFINERY R&amp;M"/>
    <s v="Ethylbenzene"/>
    <s v="100414"/>
    <n v="0.92164749999999995"/>
    <x v="0"/>
    <n v="3.0303030303030305E-6"/>
    <s v=""/>
    <n v="7.65170195101702E-9"/>
    <x v="10"/>
    <s v="DMR"/>
  </r>
  <r>
    <s v="110000336994"/>
    <s v="SUNOCO INC/ PHILA REFINERY R&amp;M"/>
    <s v="Fluoride, total (as F)"/>
    <s v="16984488"/>
    <n v="18726.5306122"/>
    <x v="0"/>
    <n v="3.0303030303030305E-6"/>
    <s v=""/>
    <n v="1.5547140400332091E-4"/>
    <x v="94"/>
    <s v="DMR"/>
  </r>
  <r>
    <s v="110000336994"/>
    <s v="SUNOCO INC/ PHILA REFINERY R&amp;M"/>
    <s v="LEAD AND LEAD COMPOUNDS"/>
    <s v="7439921"/>
    <m/>
    <x v="0"/>
    <n v="3.0303030303030305E-6"/>
    <s v="11"/>
    <n v="5.5187637969094918E-3"/>
    <x v="11"/>
    <s v="TRI"/>
  </r>
  <r>
    <s v="110000336994"/>
    <s v="SUNOCO INC/ PHILA REFINERY R&amp;M"/>
    <s v="Naphthalene"/>
    <s v="91203"/>
    <n v="2.1906066000000002"/>
    <x v="0"/>
    <n v="3.0303030303030305E-6"/>
    <s v=""/>
    <n v="1.8186854296388547E-8"/>
    <x v="13"/>
    <s v="DMR"/>
  </r>
  <r>
    <s v="110000336994"/>
    <s v="SUNOCO INC/ PHILA REFINERY R&amp;M"/>
    <s v="NICKEL AND NICKEL COMPOUNDS"/>
    <s v="N495"/>
    <m/>
    <x v="0"/>
    <n v="3.0303030303030305E-6"/>
    <s v="225"/>
    <n v="0.11288380493678507"/>
    <x v="45"/>
    <s v="TRI"/>
  </r>
  <r>
    <s v="110000336994"/>
    <s v="SUNOCO INC/ PHILA REFINERY R&amp;M"/>
    <s v="Oil &amp; grease"/>
    <s v=""/>
    <n v="48689.13478"/>
    <x v="0"/>
    <n v="3.0303030303030305E-6"/>
    <s v=""/>
    <n v="4.0422693881278542E-4"/>
    <x v="28"/>
    <s v="DMR"/>
  </r>
  <r>
    <s v="110000336994"/>
    <s v="SUNOCO INC/ PHILA REFINERY R&amp;M"/>
    <s v="Oxidants, total residual"/>
    <s v=""/>
    <n v="633.72871955000005"/>
    <x v="0"/>
    <n v="3.0303030303030305E-6"/>
    <s v=""/>
    <n v="5.261342628061437E-6"/>
    <x v="145"/>
    <s v="DMR"/>
  </r>
  <r>
    <s v="110000336994"/>
    <s v="SUNOCO INC/ PHILA REFINERY R&amp;M"/>
    <s v="Chemical Oxygen Demand (COD)"/>
    <s v=""/>
    <n v="27245.187000000002"/>
    <x v="0"/>
    <n v="3.0303030303030305E-6"/>
    <s v=""/>
    <n v="2.2619499377334997E-4"/>
    <x v="18"/>
    <s v="DMR"/>
  </r>
  <r>
    <s v="110000336994"/>
    <s v="SUNOCO INC/ PHILA REFINERY R&amp;M"/>
    <s v="Phenol"/>
    <s v="108952"/>
    <n v="237.20140799999999"/>
    <x v="0"/>
    <n v="3.0303030303030305E-6"/>
    <s v=""/>
    <n v="1.9692935491905355E-6"/>
    <x v="19"/>
    <s v="DMR"/>
  </r>
  <r>
    <s v="110000336994"/>
    <s v="SUNOCO INC/ PHILA REFINERY R&amp;M"/>
    <s v="Phenolics, total recoverable"/>
    <s v=""/>
    <n v="549.12779999999998"/>
    <x v="0"/>
    <n v="3.0303030303030305E-6"/>
    <s v=""/>
    <n v="4.5589688667496888E-6"/>
    <x v="20"/>
    <s v="DMR"/>
  </r>
  <r>
    <s v="110000336994"/>
    <s v="SUNOCO INC/ PHILA REFINERY R&amp;M"/>
    <s v="Solids, total dissolved"/>
    <s v=""/>
    <n v="20646585.941"/>
    <x v="0"/>
    <n v="3.0303030303030305E-6"/>
    <s v=""/>
    <n v="0.1714120875134911"/>
    <x v="96"/>
    <s v="DMR"/>
  </r>
  <r>
    <s v="110000336994"/>
    <s v="SUNOCO INC/ PHILA REFINERY R&amp;M"/>
    <s v="Solids, total suspended"/>
    <s v=""/>
    <n v="3041.3231999999998"/>
    <x v="0"/>
    <n v="3.0303030303030305E-6"/>
    <s v=""/>
    <n v="2.5249673723536739E-5"/>
    <x v="22"/>
    <s v="DMR"/>
  </r>
  <r>
    <s v="110000336994"/>
    <s v="SUNOCO INC/ PHILA REFINERY R&amp;M"/>
    <s v="TETRACHLOROETHYLENE"/>
    <s v="127184"/>
    <m/>
    <x v="0"/>
    <n v="3.0303030303030305E-6"/>
    <s v="7"/>
    <n v="3.5119405980333133E-3"/>
    <x v="50"/>
    <s v="TRI"/>
  </r>
  <r>
    <s v="110000336994"/>
    <s v="SUNOCO INC/ PHILA REFINERY R&amp;M"/>
    <s v="Toluene"/>
    <s v="108883"/>
    <n v="0.92164749999999995"/>
    <x v="0"/>
    <n v="3.0303030303030305E-6"/>
    <s v=""/>
    <n v="7.65170195101702E-9"/>
    <x v="24"/>
    <s v="DMR"/>
  </r>
  <r>
    <s v="110000336994"/>
    <s v="SUNOCO INC/ PHILA REFINERY R&amp;M"/>
    <s v="Xylene"/>
    <s v="1330207"/>
    <n v="0.92164749999999995"/>
    <x v="0"/>
    <n v="3.0303030303030305E-6"/>
    <s v=""/>
    <n v="7.65170195101702E-9"/>
    <x v="25"/>
    <s v="DMR"/>
  </r>
  <r>
    <s v="110000336994"/>
    <s v="SUNOCO INC/ PHILA REFINERY R&amp;M"/>
    <s v="Zinc, total (as Zn)"/>
    <s v="7440666"/>
    <n v="394.20036924999999"/>
    <x v="0"/>
    <n v="3.0303030303030305E-6"/>
    <s v=""/>
    <n v="3.2727303383146539E-6"/>
    <x v="98"/>
    <s v="DMR"/>
  </r>
  <r>
    <s v="110000537250"/>
    <s v="TESORO NORTHWEST COMPANY"/>
    <s v="1,2,4-TRIMETHYLBENZENE"/>
    <s v="95636"/>
    <m/>
    <x v="0"/>
    <n v="8.3333333333333337E-6"/>
    <s v="0"/>
    <n v="0"/>
    <x v="0"/>
    <s v="TRI"/>
  </r>
  <r>
    <s v="110000537250"/>
    <s v="TESORO NORTHWEST COMPANY"/>
    <s v="1,3-BUTADIENE"/>
    <s v="106990"/>
    <m/>
    <x v="0"/>
    <n v="8.3333333333333337E-6"/>
    <s v="0"/>
    <n v="0"/>
    <x v="30"/>
    <s v="TRI"/>
  </r>
  <r>
    <s v="110000537250"/>
    <s v="TESORO NORTHWEST COMPANY"/>
    <s v="AMMONIA"/>
    <s v="7664417"/>
    <m/>
    <x v="0"/>
    <n v="8.3333333333333337E-6"/>
    <s v="666"/>
    <n v="0.91887417218543055"/>
    <x v="16"/>
    <s v="TRI"/>
  </r>
  <r>
    <s v="110000537250"/>
    <s v="TESORO NORTHWEST COMPANY"/>
    <s v="ANTHRACENE"/>
    <s v="120127"/>
    <m/>
    <x v="0"/>
    <n v="8.3333333333333337E-6"/>
    <s v="1"/>
    <n v="1.3796909492273732E-3"/>
    <x v="31"/>
    <s v="TRI"/>
  </r>
  <r>
    <s v="110000537250"/>
    <s v="TESORO NORTHWEST COMPANY"/>
    <s v="BENZENE"/>
    <s v="71432"/>
    <m/>
    <x v="0"/>
    <n v="8.3333333333333337E-6"/>
    <s v="125"/>
    <n v="0.17246136865342163"/>
    <x v="1"/>
    <s v="TRI"/>
  </r>
  <r>
    <s v="110000537250"/>
    <s v="TESORO NORTHWEST COMPANY"/>
    <s v="BENZO(G,H,I)PERYLENE"/>
    <s v="191242"/>
    <m/>
    <x v="0"/>
    <n v="8.3333333333333337E-6"/>
    <s v="0"/>
    <n v="0"/>
    <x v="32"/>
    <s v="TRI"/>
  </r>
  <r>
    <s v="110000537250"/>
    <s v="TESORO NORTHWEST COMPANY"/>
    <s v="BIPHENYL"/>
    <s v="92524"/>
    <m/>
    <x v="0"/>
    <n v="8.3333333333333337E-6"/>
    <s v="0"/>
    <n v="0"/>
    <x v="52"/>
    <s v="TRI"/>
  </r>
  <r>
    <s v="110000537250"/>
    <s v="TESORO NORTHWEST COMPANY"/>
    <s v="CRESOL (MIXED ISOMERS)"/>
    <s v="1319773"/>
    <m/>
    <x v="0"/>
    <n v="8.3333333333333337E-6"/>
    <s v="0"/>
    <n v="0"/>
    <x v="61"/>
    <s v="TRI"/>
  </r>
  <r>
    <s v="110000537250"/>
    <s v="TESORO NORTHWEST COMPANY"/>
    <s v="CUMENE"/>
    <s v="98828"/>
    <m/>
    <x v="0"/>
    <n v="8.3333333333333337E-6"/>
    <s v="0"/>
    <n v="0"/>
    <x v="6"/>
    <s v="TRI"/>
  </r>
  <r>
    <s v="110000537250"/>
    <s v="TESORO NORTHWEST COMPANY"/>
    <s v="CYCLOHEXANE"/>
    <s v="110827"/>
    <m/>
    <x v="0"/>
    <n v="8.3333333333333337E-6"/>
    <s v="0"/>
    <n v="0"/>
    <x v="8"/>
    <s v="TRI"/>
  </r>
  <r>
    <s v="110000537250"/>
    <s v="TESORO NORTHWEST COMPANY"/>
    <s v="DIOXIN AND DIOXIN-LIKE COMPOUNDS"/>
    <s v="N150"/>
    <m/>
    <x v="0"/>
    <n v="8.3333333333333337E-6"/>
    <s v="0.001018536"/>
    <n v="1.4052649006622517E-6"/>
    <x v="37"/>
    <s v="TRI"/>
  </r>
  <r>
    <s v="110000537250"/>
    <s v="TESORO NORTHWEST COMPANY"/>
    <s v="ETHYLBENZENE"/>
    <s v="100414"/>
    <m/>
    <x v="0"/>
    <n v="8.3333333333333337E-6"/>
    <s v="1"/>
    <n v="1.3796909492273732E-3"/>
    <x v="10"/>
    <s v="TRI"/>
  </r>
  <r>
    <s v="110000537250"/>
    <s v="TESORO NORTHWEST COMPANY"/>
    <s v="ETHYLENE"/>
    <s v="74851"/>
    <m/>
    <x v="0"/>
    <n v="8.3333333333333337E-6"/>
    <s v="0"/>
    <n v="0"/>
    <x v="38"/>
    <s v="TRI"/>
  </r>
  <r>
    <s v="110000537250"/>
    <s v="TESORO NORTHWEST COMPANY"/>
    <s v="LEAD AND LEAD COMPOUNDS"/>
    <s v="7439921"/>
    <m/>
    <x v="0"/>
    <n v="8.3333333333333337E-6"/>
    <s v="0"/>
    <n v="0"/>
    <x v="11"/>
    <s v="TRI"/>
  </r>
  <r>
    <s v="110000537250"/>
    <s v="TESORO NORTHWEST COMPANY"/>
    <s v="MERCURY AND MERCURY COMPOUNDS"/>
    <s v="N458"/>
    <m/>
    <x v="0"/>
    <n v="8.3333333333333337E-6"/>
    <s v="1"/>
    <n v="1.3796909492273732E-3"/>
    <x v="12"/>
    <s v="TRI"/>
  </r>
  <r>
    <s v="110000537250"/>
    <s v="TESORO NORTHWEST COMPANY"/>
    <s v="METHANOL"/>
    <s v="67561"/>
    <m/>
    <x v="0"/>
    <n v="8.3333333333333337E-6"/>
    <s v="0"/>
    <n v="0"/>
    <x v="42"/>
    <s v="TRI"/>
  </r>
  <r>
    <s v="110000537250"/>
    <s v="TESORO NORTHWEST COMPANY"/>
    <s v="N,N-DIMETHYLFORMAMIDE"/>
    <s v="68122"/>
    <m/>
    <x v="0"/>
    <n v="8.3333333333333337E-6"/>
    <s v="0"/>
    <n v="0"/>
    <x v="119"/>
    <s v="TRI"/>
  </r>
  <r>
    <s v="110000537250"/>
    <s v="TESORO NORTHWEST COMPANY"/>
    <s v="NAPHTHALENE"/>
    <s v="91203"/>
    <m/>
    <x v="0"/>
    <n v="8.3333333333333337E-6"/>
    <s v="0"/>
    <n v="0"/>
    <x v="13"/>
    <s v="TRI"/>
  </r>
  <r>
    <s v="110000537250"/>
    <s v="TESORO NORTHWEST COMPANY"/>
    <s v="N-HEXANE"/>
    <s v="110543"/>
    <m/>
    <x v="0"/>
    <n v="8.3333333333333337E-6"/>
    <s v="0"/>
    <n v="0"/>
    <x v="14"/>
    <s v="TRI"/>
  </r>
  <r>
    <s v="110000537250"/>
    <s v="TESORO NORTHWEST COMPANY"/>
    <s v="PHENANTHRENE"/>
    <s v="85018"/>
    <m/>
    <x v="0"/>
    <n v="8.3333333333333337E-6"/>
    <s v="1"/>
    <n v="1.3796909492273732E-3"/>
    <x v="46"/>
    <s v="TRI"/>
  </r>
  <r>
    <s v="110000537250"/>
    <s v="TESORO NORTHWEST COMPANY"/>
    <s v="PHENOL"/>
    <s v="108952"/>
    <m/>
    <x v="0"/>
    <n v="8.3333333333333337E-6"/>
    <s v="6"/>
    <n v="8.2781456953642391E-3"/>
    <x v="19"/>
    <s v="TRI"/>
  </r>
  <r>
    <s v="110000537250"/>
    <s v="TESORO NORTHWEST COMPANY"/>
    <s v="POLYCYCLIC AROMATIC COMPOUNDS"/>
    <s v="N590"/>
    <m/>
    <x v="0"/>
    <n v="8.3333333333333337E-6"/>
    <s v="1"/>
    <n v="1.3796909492273732E-3"/>
    <x v="21"/>
    <s v="TRI"/>
  </r>
  <r>
    <s v="110000537250"/>
    <s v="TESORO NORTHWEST COMPANY"/>
    <s v="PROPYLENE"/>
    <s v="115071"/>
    <m/>
    <x v="0"/>
    <n v="8.3333333333333337E-6"/>
    <s v="0"/>
    <n v="0"/>
    <x v="54"/>
    <s v="TRI"/>
  </r>
  <r>
    <s v="110000537250"/>
    <s v="TESORO NORTHWEST COMPANY"/>
    <s v="TETRACHLOROETHYLENE"/>
    <s v="127184"/>
    <m/>
    <x v="0"/>
    <n v="8.3333333333333337E-6"/>
    <s v="0"/>
    <n v="0"/>
    <x v="50"/>
    <s v="TRI"/>
  </r>
  <r>
    <s v="110000537250"/>
    <s v="TESORO NORTHWEST COMPANY"/>
    <s v="TOLUENE"/>
    <s v="108883"/>
    <m/>
    <x v="0"/>
    <n v="8.3333333333333337E-6"/>
    <s v="24"/>
    <n v="3.3112582781456956E-2"/>
    <x v="24"/>
    <s v="TRI"/>
  </r>
  <r>
    <s v="110000537250"/>
    <s v="TESORO NORTHWEST COMPANY"/>
    <s v="XYLENE (MIXED ISOMERS)"/>
    <s v="1330207"/>
    <m/>
    <x v="0"/>
    <n v="8.3333333333333337E-6"/>
    <s v="0"/>
    <n v="0"/>
    <x v="25"/>
    <s v="TRI"/>
  </r>
  <r>
    <s v="110025239659"/>
    <s v="TESORO REFINING AND MARKETING"/>
    <s v="1,2,4-TRIMETHYLBENZENE"/>
    <s v="95636"/>
    <m/>
    <x v="2"/>
    <n v="5.9433025715538109E-6"/>
    <s v="0"/>
    <n v="0"/>
    <x v="0"/>
    <s v="TRI"/>
  </r>
  <r>
    <s v="110025239659"/>
    <s v="TESORO REFINING AND MARKETING"/>
    <s v="BENZENE"/>
    <s v="71432"/>
    <m/>
    <x v="2"/>
    <n v="5.9433025715538109E-6"/>
    <s v="4"/>
    <n v="3.935961967916431E-3"/>
    <x v="1"/>
    <s v="TRI"/>
  </r>
  <r>
    <s v="110025239659"/>
    <s v="TESORO REFINING AND MARKETING"/>
    <s v="BENZO(G,H,I)PERYLENE"/>
    <s v="191242"/>
    <m/>
    <x v="2"/>
    <n v="5.9433025715538109E-6"/>
    <s v="0.8"/>
    <n v="7.8719239358328633E-4"/>
    <x v="32"/>
    <s v="TRI"/>
  </r>
  <r>
    <s v="110025239659"/>
    <s v="TESORO REFINING AND MARKETING"/>
    <s v="BOD, 5-day, 20 deg. C"/>
    <s v=""/>
    <n v="59113.378684800002"/>
    <x v="2"/>
    <n v="5.9433025715538109E-6"/>
    <s v=""/>
    <n v="9.6254437137152345E-4"/>
    <x v="2"/>
    <s v="DMR"/>
  </r>
  <r>
    <s v="110025239659"/>
    <s v="TESORO REFINING AND MARKETING"/>
    <s v="Carbon, tot organic (TOC)"/>
    <s v="7440440"/>
    <n v="34.811964769736896"/>
    <x v="2"/>
    <n v="5.9433025715538109E-6"/>
    <s v=""/>
    <n v="5.6684394448443273E-7"/>
    <x v="3"/>
    <s v="DMR"/>
  </r>
  <r>
    <s v="110025239659"/>
    <s v="TESORO REFINING AND MARKETING"/>
    <s v="Chemical Oxygen Demand (COD)"/>
    <s v=""/>
    <n v="467453.061224"/>
    <x v="2"/>
    <n v="5.9433025715538109E-6"/>
    <s v=""/>
    <n v="7.611547892748767E-3"/>
    <x v="18"/>
    <s v="DMR"/>
  </r>
  <r>
    <s v="110025239659"/>
    <s v="TESORO REFINING AND MARKETING"/>
    <s v="Chromium, total (as Cr)"/>
    <s v="7440473"/>
    <n v="8.9750566893400006"/>
    <x v="2"/>
    <n v="5.9433025715538109E-6"/>
    <s v=""/>
    <n v="1.4614103425094699E-7"/>
    <x v="5"/>
    <s v="DMR"/>
  </r>
  <r>
    <s v="110025239659"/>
    <s v="TESORO REFINING AND MARKETING"/>
    <s v="Copper, total (as Cu)"/>
    <s v="7440508"/>
    <n v="5.1468236965000003"/>
    <x v="2"/>
    <n v="5.9433025715538109E-6"/>
    <s v=""/>
    <n v="8.3805837015732982E-8"/>
    <x v="68"/>
    <s v="DMR"/>
  </r>
  <r>
    <s v="110025239659"/>
    <s v="TESORO REFINING AND MARKETING"/>
    <s v="CUMENE"/>
    <s v="98828"/>
    <m/>
    <x v="2"/>
    <n v="5.9433025715538109E-6"/>
    <s v="0"/>
    <n v="0"/>
    <x v="6"/>
    <s v="TRI"/>
  </r>
  <r>
    <s v="110025239659"/>
    <s v="TESORO REFINING AND MARKETING"/>
    <s v="Cyanide, total (as CN)"/>
    <s v="57125"/>
    <n v="22.890256839999999"/>
    <x v="2"/>
    <n v="5.9433025715538109E-6"/>
    <s v=""/>
    <n v="3.7272252696081972E-7"/>
    <x v="85"/>
    <s v="DMR"/>
  </r>
  <r>
    <s v="110025239659"/>
    <s v="TESORO REFINING AND MARKETING"/>
    <s v="CYCLOHEXANE"/>
    <s v="110827"/>
    <m/>
    <x v="2"/>
    <n v="5.9433025715538109E-6"/>
    <s v="0"/>
    <n v="0"/>
    <x v="8"/>
    <s v="TRI"/>
  </r>
  <r>
    <s v="110025239659"/>
    <s v="TESORO REFINING AND MARKETING"/>
    <s v="DIETHANOLAMINE"/>
    <s v="111422"/>
    <m/>
    <x v="2"/>
    <n v="5.9433025715538109E-6"/>
    <s v="0"/>
    <n v="0"/>
    <x v="9"/>
    <s v="TRI"/>
  </r>
  <r>
    <s v="110025239659"/>
    <s v="TESORO REFINING AND MARKETING"/>
    <s v="DIOXIN AND DIOXIN-LIKE COMPOUNDS"/>
    <s v="N150"/>
    <m/>
    <x v="2"/>
    <n v="5.9433025715538109E-6"/>
    <s v="0"/>
    <n v="0"/>
    <x v="37"/>
    <s v="TRI"/>
  </r>
  <r>
    <s v="110025239659"/>
    <s v="TESORO REFINING AND MARKETING"/>
    <s v="ETHYLBENZENE"/>
    <s v="100414"/>
    <m/>
    <x v="2"/>
    <n v="5.9433025715538109E-6"/>
    <s v="4"/>
    <n v="3.935961967916431E-3"/>
    <x v="10"/>
    <s v="TRI"/>
  </r>
  <r>
    <s v="110025239659"/>
    <s v="TESORO REFINING AND MARKETING"/>
    <s v="Lead, total (as Pb)"/>
    <s v="7439921"/>
    <n v="5.6148328904999998"/>
    <x v="2"/>
    <n v="5.9433025715538109E-6"/>
    <s v=""/>
    <n v="9.1426440430009758E-8"/>
    <x v="57"/>
    <s v="DMR"/>
  </r>
  <r>
    <s v="110025239659"/>
    <s v="TESORO REFINING AND MARKETING"/>
    <s v="MERCURY AND MERCURY COMPOUNDS"/>
    <s v="N458"/>
    <m/>
    <x v="2"/>
    <n v="5.9433025715538109E-6"/>
    <s v="0.1"/>
    <n v="9.8399049197910791E-5"/>
    <x v="12"/>
    <s v="TRI"/>
  </r>
  <r>
    <s v="110025239659"/>
    <s v="TESORO REFINING AND MARKETING"/>
    <s v="Mercury, total (as Hg)"/>
    <s v="7439976"/>
    <n v="3.3977320475000003E-2"/>
    <x v="2"/>
    <n v="5.9433025715538109E-6"/>
    <s v=""/>
    <n v="5.532534141193848E-10"/>
    <x v="64"/>
    <s v="DMR"/>
  </r>
  <r>
    <s v="110025239659"/>
    <s v="TESORO REFINING AND MARKETING"/>
    <s v="METHANOL"/>
    <s v="67561"/>
    <m/>
    <x v="2"/>
    <n v="5.9433025715538109E-6"/>
    <s v="0"/>
    <n v="0"/>
    <x v="42"/>
    <s v="TRI"/>
  </r>
  <r>
    <s v="110025239659"/>
    <s v="TESORO REFINING AND MARKETING"/>
    <s v="NAPHTHALENE"/>
    <s v="91203"/>
    <m/>
    <x v="2"/>
    <n v="5.9433025715538109E-6"/>
    <s v="0"/>
    <n v="0"/>
    <x v="13"/>
    <s v="TRI"/>
  </r>
  <r>
    <s v="110025239659"/>
    <s v="TESORO REFINING AND MARKETING"/>
    <s v="N-HEXANE"/>
    <s v="110543"/>
    <m/>
    <x v="2"/>
    <n v="5.9433025715538109E-6"/>
    <s v="0"/>
    <n v="0"/>
    <x v="14"/>
    <s v="TRI"/>
  </r>
  <r>
    <s v="110025239659"/>
    <s v="TESORO REFINING AND MARKETING"/>
    <s v="NITRATE COMPOUNDS"/>
    <s v="14797558"/>
    <m/>
    <x v="2"/>
    <n v="5.9433025715538109E-6"/>
    <s v="9500"/>
    <n v="9.3479096738015226"/>
    <x v="15"/>
    <s v="TRI"/>
  </r>
  <r>
    <s v="110025239659"/>
    <s v="TESORO REFINING AND MARKETING"/>
    <s v="Nitrogen, ammonia total (as N)"/>
    <s v="7664417"/>
    <n v="48912.018140599997"/>
    <x v="2"/>
    <n v="5.9433025715538109E-6"/>
    <s v=""/>
    <n v="7.9643540601346467E-4"/>
    <x v="16"/>
    <s v="DMR"/>
  </r>
  <r>
    <s v="110025239659"/>
    <s v="TESORO REFINING AND MARKETING"/>
    <s v="Phenols"/>
    <s v=""/>
    <n v="209.18730158700001"/>
    <x v="2"/>
    <n v="5.9433025715538109E-6"/>
    <s v=""/>
    <n v="3.4062011711189579E-6"/>
    <x v="73"/>
    <s v="DMR"/>
  </r>
  <r>
    <s v="110025239659"/>
    <s v="TESORO REFINING AND MARKETING"/>
    <s v="POLYCYCLIC AROMATIC COMPOUNDS"/>
    <s v="N590"/>
    <m/>
    <x v="2"/>
    <n v="5.9433025715538109E-6"/>
    <s v="1.3"/>
    <n v="1.2791876395728402E-3"/>
    <x v="21"/>
    <s v="TRI"/>
  </r>
  <r>
    <s v="110025239659"/>
    <s v="TESORO REFINING AND MARKETING"/>
    <s v="Selenium, total (as Se)"/>
    <s v="7782492"/>
    <n v="56.57"/>
    <x v="2"/>
    <n v="5.9433025715538109E-6"/>
    <s v=""/>
    <n v="9.211304834871207E-7"/>
    <x v="55"/>
    <s v="DMR"/>
  </r>
  <r>
    <s v="110025239659"/>
    <s v="TESORO REFINING AND MARKETING"/>
    <s v="Solids, total suspended"/>
    <s v=""/>
    <n v="68737.868480699995"/>
    <x v="2"/>
    <n v="5.9433025715538109E-6"/>
    <s v=""/>
    <n v="1.1192601383684161E-3"/>
    <x v="22"/>
    <s v="DMR"/>
  </r>
  <r>
    <s v="110025239659"/>
    <s v="TESORO REFINING AND MARKETING"/>
    <s v="TOLUENE"/>
    <s v="108883"/>
    <m/>
    <x v="2"/>
    <n v="5.9433025715538109E-6"/>
    <s v="4"/>
    <n v="3.935961967916431E-3"/>
    <x v="24"/>
    <s v="TRI"/>
  </r>
  <r>
    <s v="110025239659"/>
    <s v="TESORO REFINING AND MARKETING"/>
    <s v="XYLENE (MIXED ISOMERS)"/>
    <s v="1330207"/>
    <m/>
    <x v="2"/>
    <n v="5.9433025715538109E-6"/>
    <s v="4"/>
    <n v="3.935961967916431E-3"/>
    <x v="25"/>
    <s v="TRI"/>
  </r>
  <r>
    <s v="110000746630"/>
    <s v="TESORO REFINING AND MARKETING CO"/>
    <s v="NICKEL AND NICKEL COMPOUNDS"/>
    <s v="N495"/>
    <m/>
    <x v="2"/>
    <n v="9.5687171402016357E-6"/>
    <s v="0"/>
    <n v="0"/>
    <x v="45"/>
    <s v="TRI"/>
  </r>
  <r>
    <s v="110000746630"/>
    <s v="TESORO REFINING AND MARKETING CO"/>
    <s v="XYLENE (MIXED ISOMERS)"/>
    <s v="1330207"/>
    <m/>
    <x v="2"/>
    <n v="9.5687171402016357E-6"/>
    <s v="0"/>
    <n v="0"/>
    <x v="25"/>
    <s v="TRI"/>
  </r>
  <r>
    <s v="110000746630"/>
    <s v="TESORO REFINING AND MARKETING CO"/>
    <s v="ZINC AND ZINC COMPOUNDS"/>
    <s v="7440666"/>
    <m/>
    <x v="2"/>
    <n v="9.5687171402016357E-6"/>
    <s v="0"/>
    <n v="0"/>
    <x v="29"/>
    <s v="TRI"/>
  </r>
  <r>
    <s v="110000463793"/>
    <s v="TEXAS CITY REFINERY"/>
    <s v="1,2,4-TRIMETHYLBENZENE"/>
    <s v="95636"/>
    <m/>
    <x v="1"/>
    <n v="1.2994718063119994E-5"/>
    <s v="0"/>
    <n v="0"/>
    <x v="0"/>
    <s v="TRI"/>
  </r>
  <r>
    <s v="110001867301"/>
    <s v="TEXAS CITY REFINERY"/>
    <s v="1,2,4-TRIMETHYLBENZENE"/>
    <s v="95636"/>
    <m/>
    <x v="3"/>
    <n v="4.0310145828453861E-6"/>
    <s v="1"/>
    <n v="6.6738652033863997E-4"/>
    <x v="0"/>
    <s v="TRI"/>
  </r>
  <r>
    <s v="110001867301"/>
    <s v="TEXAS CITY REFINERY"/>
    <s v="1,3-BUTADIENE"/>
    <s v="106990"/>
    <m/>
    <x v="3"/>
    <n v="4.0310145828453861E-6"/>
    <s v="2"/>
    <n v="1.3347730406772799E-3"/>
    <x v="30"/>
    <s v="TRI"/>
  </r>
  <r>
    <s v="110000463793"/>
    <s v="TEXAS CITY REFINERY"/>
    <s v="1,3-BUTADIENE"/>
    <s v="106990"/>
    <m/>
    <x v="1"/>
    <n v="1.2994718063119994E-5"/>
    <s v="0"/>
    <n v="0"/>
    <x v="30"/>
    <s v="TRI"/>
  </r>
  <r>
    <s v="110000463793"/>
    <s v="TEXAS CITY REFINERY"/>
    <s v="ANTIMONY AND ANTIMONY COMPOUNDS"/>
    <s v="7440360"/>
    <m/>
    <x v="1"/>
    <n v="1.2994718063119994E-5"/>
    <s v="840"/>
    <n v="1.8072124458643699"/>
    <x v="92"/>
    <s v="TRI"/>
  </r>
  <r>
    <s v="110001867301"/>
    <s v="TEXAS CITY REFINERY"/>
    <s v="BENZENE"/>
    <s v="71432"/>
    <m/>
    <x v="3"/>
    <n v="4.0310145828453861E-6"/>
    <s v="1"/>
    <n v="6.6738652033863997E-4"/>
    <x v="1"/>
    <s v="TRI"/>
  </r>
  <r>
    <s v="110000463793"/>
    <s v="TEXAS CITY REFINERY"/>
    <s v="BENZENE"/>
    <s v="71432"/>
    <m/>
    <x v="1"/>
    <n v="1.2994718063119994E-5"/>
    <s v="3"/>
    <n v="6.4543301638013218E-3"/>
    <x v="1"/>
    <s v="TRI"/>
  </r>
  <r>
    <s v="110001867301"/>
    <s v="TEXAS CITY REFINERY"/>
    <s v="BENZO(G,H,I)PERYLENE"/>
    <s v="191242"/>
    <m/>
    <x v="3"/>
    <n v="4.0310145828453861E-6"/>
    <s v="0"/>
    <n v="0"/>
    <x v="32"/>
    <s v="TRI"/>
  </r>
  <r>
    <s v="110001867301"/>
    <s v="TEXAS CITY REFINERY"/>
    <s v="BOD, 5-day, 20 deg. C"/>
    <s v=""/>
    <n v="11350.1133787"/>
    <x v="3"/>
    <n v="4.0310145828453861E-6"/>
    <s v=""/>
    <n v="1.2534923985339238E-4"/>
    <x v="2"/>
    <s v="DMR"/>
  </r>
  <r>
    <s v="110000463793"/>
    <s v="TEXAS CITY REFINERY"/>
    <s v="BOD, carbonaceous, 05 day, 20 C"/>
    <s v=""/>
    <n v="14334.1496599"/>
    <x v="1"/>
    <n v="1.2994718063119994E-5"/>
    <s v=""/>
    <n v="5.1032392741087089E-4"/>
    <x v="33"/>
    <s v="DMR"/>
  </r>
  <r>
    <s v="110000463793"/>
    <s v="TEXAS CITY REFINERY"/>
    <s v="CERTAIN GLYCOL ETHERS"/>
    <s v="N230"/>
    <m/>
    <x v="1"/>
    <n v="1.2994718063119994E-5"/>
    <s v="0"/>
    <n v="0"/>
    <x v="117"/>
    <s v="TRI"/>
  </r>
  <r>
    <s v="110000463793"/>
    <s v="TEXAS CITY REFINERY"/>
    <s v="Chromium, hexavalent (as Cr)"/>
    <s v="18540299"/>
    <n v="0.76685219542399996"/>
    <x v="1"/>
    <n v="1.2994718063119994E-5"/>
    <s v=""/>
    <n v="2.7301446782519114E-8"/>
    <x v="4"/>
    <s v="DMR"/>
  </r>
  <r>
    <s v="110001867301"/>
    <s v="TEXAS CITY REFINERY"/>
    <s v="Chromium, hexavalent (as Cr)"/>
    <s v="18540299"/>
    <n v="30.458049886600001"/>
    <x v="3"/>
    <n v="4.0310145828453861E-6"/>
    <s v=""/>
    <n v="3.3637491303538869E-7"/>
    <x v="4"/>
    <s v="DMR"/>
  </r>
  <r>
    <s v="110001867301"/>
    <s v="TEXAS CITY REFINERY"/>
    <s v="Chromium, total (as Cr)"/>
    <s v="7440473"/>
    <n v="31.700680272100001"/>
    <x v="3"/>
    <n v="4.0310145828453861E-6"/>
    <s v=""/>
    <n v="3.5009836839165522E-7"/>
    <x v="5"/>
    <s v="DMR"/>
  </r>
  <r>
    <s v="110000463793"/>
    <s v="TEXAS CITY REFINERY"/>
    <s v="Chromium, total (as Cr)"/>
    <s v="7440473"/>
    <n v="0.76685219542399996"/>
    <x v="1"/>
    <n v="1.2994718063119994E-5"/>
    <s v=""/>
    <n v="2.7301446782519114E-8"/>
    <x v="5"/>
    <s v="DMR"/>
  </r>
  <r>
    <s v="110001867301"/>
    <s v="TEXAS CITY REFINERY"/>
    <s v="CRESOL (MIXED ISOMERS)"/>
    <s v="1319773"/>
    <m/>
    <x v="3"/>
    <n v="4.0310145828453861E-6"/>
    <s v="17"/>
    <n v="1.134557084575688E-2"/>
    <x v="61"/>
    <s v="TRI"/>
  </r>
  <r>
    <s v="110000463793"/>
    <s v="TEXAS CITY REFINERY"/>
    <s v="CUMENE"/>
    <s v="98828"/>
    <m/>
    <x v="1"/>
    <n v="1.2994718063119994E-5"/>
    <s v="0"/>
    <n v="0"/>
    <x v="6"/>
    <s v="TRI"/>
  </r>
  <r>
    <s v="110001867301"/>
    <s v="TEXAS CITY REFINERY"/>
    <s v="CUMENE"/>
    <s v="98828"/>
    <m/>
    <x v="3"/>
    <n v="4.0310145828453861E-6"/>
    <s v="1"/>
    <n v="6.6738652033863997E-4"/>
    <x v="6"/>
    <s v="TRI"/>
  </r>
  <r>
    <s v="110001867301"/>
    <s v="TEXAS CITY REFINERY"/>
    <s v="CYANIDE COMPOUNDS"/>
    <s v="N106"/>
    <m/>
    <x v="3"/>
    <n v="4.0310145828453861E-6"/>
    <s v="309"/>
    <n v="0.20622243478463975"/>
    <x v="7"/>
    <s v="TRI"/>
  </r>
  <r>
    <s v="110001867301"/>
    <s v="TEXAS CITY REFINERY"/>
    <s v="CYCLOHEXANE"/>
    <s v="110827"/>
    <m/>
    <x v="3"/>
    <n v="4.0310145828453861E-6"/>
    <s v="2"/>
    <n v="1.3347730406772799E-3"/>
    <x v="8"/>
    <s v="TRI"/>
  </r>
  <r>
    <s v="110000463793"/>
    <s v="TEXAS CITY REFINERY"/>
    <s v="CYCLOHEXANE"/>
    <s v="110827"/>
    <m/>
    <x v="1"/>
    <n v="1.2994718063119994E-5"/>
    <s v="0"/>
    <n v="0"/>
    <x v="8"/>
    <s v="TRI"/>
  </r>
  <r>
    <s v="110000463793"/>
    <s v="TEXAS CITY REFINERY"/>
    <s v="DIOXIN AND DIOXIN-LIKE COMPOUNDS"/>
    <s v="N150"/>
    <m/>
    <x v="1"/>
    <n v="1.2994718063119994E-5"/>
    <s v="0.000760396"/>
    <n v="1.6359489464112897E-6"/>
    <x v="37"/>
    <s v="TRI"/>
  </r>
  <r>
    <s v="110000463793"/>
    <s v="TEXAS CITY REFINERY"/>
    <s v="ETHYLBENZENE"/>
    <s v="100414"/>
    <m/>
    <x v="1"/>
    <n v="1.2994718063119994E-5"/>
    <s v="12"/>
    <n v="2.5817320655205287E-2"/>
    <x v="10"/>
    <s v="TRI"/>
  </r>
  <r>
    <s v="110001867301"/>
    <s v="TEXAS CITY REFINERY"/>
    <s v="ETHYLBENZENE"/>
    <s v="100414"/>
    <m/>
    <x v="3"/>
    <n v="4.0310145828453861E-6"/>
    <s v="1"/>
    <n v="6.6738652033863997E-4"/>
    <x v="10"/>
    <s v="TRI"/>
  </r>
  <r>
    <s v="110001867301"/>
    <s v="TEXAS CITY REFINERY"/>
    <s v="ETHYLENE"/>
    <s v="74851"/>
    <m/>
    <x v="3"/>
    <n v="4.0310145828453861E-6"/>
    <s v="0"/>
    <n v="0"/>
    <x v="38"/>
    <s v="TRI"/>
  </r>
  <r>
    <s v="110000463793"/>
    <s v="TEXAS CITY REFINERY"/>
    <s v="ETHYLENE"/>
    <s v="74851"/>
    <m/>
    <x v="1"/>
    <n v="1.2994718063119994E-5"/>
    <s v="0"/>
    <n v="0"/>
    <x v="38"/>
    <s v="TRI"/>
  </r>
  <r>
    <s v="110000463793"/>
    <s v="TEXAS CITY REFINERY"/>
    <s v="HYDROGEN FLUORIDE"/>
    <s v="7664393"/>
    <m/>
    <x v="1"/>
    <n v="1.2994718063119994E-5"/>
    <s v="0"/>
    <n v="0"/>
    <x v="77"/>
    <s v="TRI"/>
  </r>
  <r>
    <s v="110001867301"/>
    <s v="TEXAS CITY REFINERY"/>
    <s v="LEAD AND LEAD COMPOUNDS"/>
    <s v="7439921"/>
    <m/>
    <x v="3"/>
    <n v="4.0310145828453861E-6"/>
    <s v="0"/>
    <n v="0"/>
    <x v="11"/>
    <s v="TRI"/>
  </r>
  <r>
    <s v="110000463793"/>
    <s v="TEXAS CITY REFINERY"/>
    <s v="MERCURY AND MERCURY COMPOUNDS"/>
    <s v="N458"/>
    <m/>
    <x v="1"/>
    <n v="1.2994718063119994E-5"/>
    <s v="0.4"/>
    <n v="8.6057735517350959E-4"/>
    <x v="12"/>
    <s v="TRI"/>
  </r>
  <r>
    <s v="110001867301"/>
    <s v="TEXAS CITY REFINERY"/>
    <s v="MERCURY AND MERCURY COMPOUNDS"/>
    <s v="N458"/>
    <m/>
    <x v="3"/>
    <n v="4.0310145828453861E-6"/>
    <s v="0"/>
    <n v="0"/>
    <x v="12"/>
    <s v="TRI"/>
  </r>
  <r>
    <s v="110000463793"/>
    <s v="TEXAS CITY REFINERY"/>
    <s v="NAPHTHALENE"/>
    <s v="91203"/>
    <m/>
    <x v="1"/>
    <n v="1.2994718063119994E-5"/>
    <s v="24"/>
    <n v="5.1634641310410574E-2"/>
    <x v="13"/>
    <s v="TRI"/>
  </r>
  <r>
    <s v="110001867301"/>
    <s v="TEXAS CITY REFINERY"/>
    <s v="NAPHTHALENE"/>
    <s v="91203"/>
    <m/>
    <x v="3"/>
    <n v="4.0310145828453861E-6"/>
    <s v="4"/>
    <n v="2.6695460813545599E-3"/>
    <x v="13"/>
    <s v="TRI"/>
  </r>
  <r>
    <s v="110001867301"/>
    <s v="TEXAS CITY REFINERY"/>
    <s v="N-BUTYL ALCOHOL"/>
    <s v="71363"/>
    <m/>
    <x v="3"/>
    <n v="4.0310145828453861E-6"/>
    <s v="0"/>
    <n v="0"/>
    <x v="100"/>
    <s v="TRI"/>
  </r>
  <r>
    <s v="110001867301"/>
    <s v="TEXAS CITY REFINERY"/>
    <s v="N-HEXANE"/>
    <s v="110543"/>
    <m/>
    <x v="3"/>
    <n v="4.0310145828453861E-6"/>
    <s v="2"/>
    <n v="1.3347730406772799E-3"/>
    <x v="14"/>
    <s v="TRI"/>
  </r>
  <r>
    <s v="110000463793"/>
    <s v="TEXAS CITY REFINERY"/>
    <s v="N-HEXANE"/>
    <s v="110543"/>
    <m/>
    <x v="1"/>
    <n v="1.2994718063119994E-5"/>
    <s v="0"/>
    <n v="0"/>
    <x v="14"/>
    <s v="TRI"/>
  </r>
  <r>
    <s v="110001867301"/>
    <s v="TEXAS CITY REFINERY"/>
    <s v="NITRATE COMPOUNDS"/>
    <s v="14797558"/>
    <m/>
    <x v="3"/>
    <n v="4.0310145828453861E-6"/>
    <s v="686640"/>
    <n v="458.25428032532375"/>
    <x v="15"/>
    <s v="TRI"/>
  </r>
  <r>
    <s v="110000463793"/>
    <s v="TEXAS CITY REFINERY"/>
    <s v="NITRATE COMPOUNDS"/>
    <s v="14797558"/>
    <m/>
    <x v="1"/>
    <n v="1.2994718063119994E-5"/>
    <s v="42557"/>
    <n v="91.558976260297612"/>
    <x v="15"/>
    <s v="TRI"/>
  </r>
  <r>
    <s v="110001867301"/>
    <s v="TEXAS CITY REFINERY"/>
    <s v="Nitrogen, ammonia total (as N)"/>
    <s v="7664417"/>
    <n v="2030.3854875300001"/>
    <x v="3"/>
    <n v="4.0310145828453861E-6"/>
    <s v=""/>
    <n v="2.2423324682276902E-5"/>
    <x v="16"/>
    <s v="DMR"/>
  </r>
  <r>
    <s v="110000463793"/>
    <s v="TEXAS CITY REFINERY"/>
    <s v="Nitrogen, ammonia total (as N)"/>
    <s v="7664417"/>
    <n v="11014.739229000001"/>
    <x v="1"/>
    <n v="1.2994718063119994E-5"/>
    <s v=""/>
    <n v="3.9214638580724033E-4"/>
    <x v="16"/>
    <s v="DMR"/>
  </r>
  <r>
    <s v="110001867301"/>
    <s v="TEXAS CITY REFINERY"/>
    <s v="Oil &amp; grease"/>
    <s v=""/>
    <n v="11323.79671447"/>
    <x v="3"/>
    <n v="4.0310145828453861E-6"/>
    <s v=""/>
    <n v="1.2505860188823353E-4"/>
    <x v="28"/>
    <s v="DMR"/>
  </r>
  <r>
    <s v="110000463793"/>
    <s v="TEXAS CITY REFINERY"/>
    <s v="Oil &amp; grease"/>
    <s v=""/>
    <n v="7000.9977324299998"/>
    <x v="1"/>
    <n v="1.2994718063119994E-5"/>
    <s v=""/>
    <n v="2.4924929231087738E-4"/>
    <x v="28"/>
    <s v="DMR"/>
  </r>
  <r>
    <s v="110000463793"/>
    <s v="TEXAS CITY REFINERY"/>
    <s v="Chemical Oxygen Demand (COD)"/>
    <s v=""/>
    <n v="147131.46485300001"/>
    <x v="1"/>
    <n v="1.2994718063119994E-5"/>
    <s v=""/>
    <n v="5.2381695999413258E-3"/>
    <x v="18"/>
    <s v="DMR"/>
  </r>
  <r>
    <s v="110001867301"/>
    <s v="TEXAS CITY REFINERY"/>
    <s v="Chemical Oxygen Demand (COD)"/>
    <s v=""/>
    <n v="333561.196734"/>
    <x v="3"/>
    <n v="4.0310145828453861E-6"/>
    <s v=""/>
    <n v="3.6838083515235969E-3"/>
    <x v="18"/>
    <s v="DMR"/>
  </r>
  <r>
    <s v="110000463793"/>
    <s v="TEXAS CITY REFINERY"/>
    <s v="Oxygen, dissolved (DO)"/>
    <s v="7782447"/>
    <n v="11109.4008125"/>
    <x v="1"/>
    <n v="1.2994718063119994E-5"/>
    <s v=""/>
    <n v="3.9551652440721562E-4"/>
    <x v="72"/>
    <s v="DMR"/>
  </r>
  <r>
    <s v="110001867301"/>
    <s v="TEXAS CITY REFINERY"/>
    <s v="PHENOL"/>
    <s v="108952"/>
    <m/>
    <x v="3"/>
    <n v="4.0310145828453861E-6"/>
    <s v="11"/>
    <n v="7.3412517237250391E-3"/>
    <x v="19"/>
    <s v="TRI"/>
  </r>
  <r>
    <s v="110000463793"/>
    <s v="TEXAS CITY REFINERY"/>
    <s v="Phenols"/>
    <s v=""/>
    <n v="169.20717377899999"/>
    <x v="1"/>
    <n v="1.2994718063119994E-5"/>
    <s v=""/>
    <n v="6.0241082671656306E-6"/>
    <x v="73"/>
    <s v="DMR"/>
  </r>
  <r>
    <s v="110001867301"/>
    <s v="TEXAS CITY REFINERY"/>
    <s v="Phenols"/>
    <s v=""/>
    <n v="35.827664399100001"/>
    <x v="3"/>
    <n v="4.0310145828453861E-6"/>
    <s v=""/>
    <n v="3.9567626756729478E-7"/>
    <x v="73"/>
    <s v="DMR"/>
  </r>
  <r>
    <s v="110001867301"/>
    <s v="TEXAS CITY REFINERY"/>
    <s v="POLYCYCLIC AROMATIC COMPOUNDS"/>
    <s v="N590"/>
    <m/>
    <x v="3"/>
    <n v="4.0310145828453861E-6"/>
    <s v="0"/>
    <n v="0"/>
    <x v="21"/>
    <s v="TRI"/>
  </r>
  <r>
    <s v="110000463793"/>
    <s v="TEXAS CITY REFINERY"/>
    <s v="POLYCYCLIC AROMATIC COMPOUNDS"/>
    <s v="N590"/>
    <m/>
    <x v="1"/>
    <n v="1.2994718063119994E-5"/>
    <s v="36"/>
    <n v="7.7451961965615851E-2"/>
    <x v="21"/>
    <s v="TRI"/>
  </r>
  <r>
    <s v="110001867301"/>
    <s v="TEXAS CITY REFINERY"/>
    <s v="PROPYLENE"/>
    <s v="115071"/>
    <m/>
    <x v="3"/>
    <n v="4.0310145828453861E-6"/>
    <s v="0"/>
    <n v="0"/>
    <x v="54"/>
    <s v="TRI"/>
  </r>
  <r>
    <s v="110000463793"/>
    <s v="TEXAS CITY REFINERY"/>
    <s v="PROPYLENE"/>
    <s v="115071"/>
    <m/>
    <x v="1"/>
    <n v="1.2994718063119994E-5"/>
    <s v="0"/>
    <n v="0"/>
    <x v="54"/>
    <s v="TRI"/>
  </r>
  <r>
    <s v="110000463793"/>
    <s v="TEXAS CITY REFINERY"/>
    <s v="Solids, total suspended"/>
    <s v=""/>
    <n v="39140.356815200001"/>
    <x v="1"/>
    <n v="1.2994718063119994E-5"/>
    <s v=""/>
    <n v="1.3934737032970993E-3"/>
    <x v="22"/>
    <s v="DMR"/>
  </r>
  <r>
    <s v="110001867301"/>
    <s v="TEXAS CITY REFINERY"/>
    <s v="Solids, total suspended"/>
    <s v=""/>
    <n v="23435.374149700001"/>
    <x v="3"/>
    <n v="4.0310145828453861E-6"/>
    <s v=""/>
    <n v="2.5881735603254383E-4"/>
    <x v="22"/>
    <s v="DMR"/>
  </r>
  <r>
    <s v="110001867301"/>
    <s v="TEXAS CITY REFINERY"/>
    <s v="STYRENE"/>
    <s v="100425"/>
    <m/>
    <x v="3"/>
    <n v="4.0310145828453861E-6"/>
    <s v="1"/>
    <n v="6.6738652033863997E-4"/>
    <x v="48"/>
    <s v="TRI"/>
  </r>
  <r>
    <s v="110001867301"/>
    <s v="TEXAS CITY REFINERY"/>
    <s v="Sulfide, total (as S)"/>
    <s v="18496258"/>
    <n v="38.458049886600001"/>
    <x v="3"/>
    <n v="4.0310145828453861E-6"/>
    <s v=""/>
    <n v="4.2472591759090403E-7"/>
    <x v="23"/>
    <s v="DMR"/>
  </r>
  <r>
    <s v="110000463793"/>
    <s v="TEXAS CITY REFINERY"/>
    <s v="Sulfide, total (as S)"/>
    <s v="18496258"/>
    <n v="112.128633271"/>
    <x v="1"/>
    <n v="1.2994718063119994E-5"/>
    <s v=""/>
    <n v="3.9919999346838936E-6"/>
    <x v="23"/>
    <s v="DMR"/>
  </r>
  <r>
    <s v="110000463793"/>
    <s v="TEXAS CITY REFINERY"/>
    <s v="TOLUENE"/>
    <s v="108883"/>
    <m/>
    <x v="1"/>
    <n v="1.2994718063119994E-5"/>
    <s v="3"/>
    <n v="6.4543301638013218E-3"/>
    <x v="24"/>
    <s v="TRI"/>
  </r>
  <r>
    <s v="110001867301"/>
    <s v="TEXAS CITY REFINERY"/>
    <s v="TOLUENE"/>
    <s v="108883"/>
    <m/>
    <x v="3"/>
    <n v="4.0310145828453861E-6"/>
    <s v="1"/>
    <n v="6.6738652033863997E-4"/>
    <x v="24"/>
    <s v="TRI"/>
  </r>
  <r>
    <s v="110001867301"/>
    <s v="TEXAS CITY REFINERY"/>
    <s v="VANADIUM AND VANADIUM COMPOUNDS"/>
    <s v="7440622"/>
    <m/>
    <x v="3"/>
    <n v="4.0310145828453861E-6"/>
    <s v="376"/>
    <n v="0.25093733164732862"/>
    <x v="78"/>
    <s v="TRI"/>
  </r>
  <r>
    <s v="110000463793"/>
    <s v="TEXAS CITY REFINERY"/>
    <s v="XYLENE (MIXED ISOMERS)"/>
    <s v="1330207"/>
    <m/>
    <x v="1"/>
    <n v="1.2994718063119994E-5"/>
    <s v="36"/>
    <n v="7.7451961965615851E-2"/>
    <x v="25"/>
    <s v="TRI"/>
  </r>
  <r>
    <s v="110001867301"/>
    <s v="TEXAS CITY REFINERY"/>
    <s v="XYLENE (MIXED ISOMERS)"/>
    <s v="1330207"/>
    <m/>
    <x v="3"/>
    <n v="4.0310145828453861E-6"/>
    <s v="2"/>
    <n v="1.3347730406772799E-3"/>
    <x v="25"/>
    <s v="TRI"/>
  </r>
  <r>
    <s v="110000463793"/>
    <s v="TEXAS CITY REFINERY"/>
    <s v="ZINC AND ZINC COMPOUNDS"/>
    <s v="7440666"/>
    <m/>
    <x v="1"/>
    <n v="1.2994718063119994E-5"/>
    <s v="0"/>
    <n v="0"/>
    <x v="29"/>
    <s v="TRI"/>
  </r>
  <r>
    <s v="110000464462"/>
    <s v="THREE RIVERS REFINERY"/>
    <s v="BENZENE"/>
    <s v="71432"/>
    <m/>
    <x v="0"/>
    <n v="9.8759857279711965E-6"/>
    <s v="1"/>
    <n v="1.6350969748296683E-3"/>
    <x v="1"/>
    <s v="TRI"/>
  </r>
  <r>
    <s v="110000464462"/>
    <s v="THREE RIVERS REFINERY"/>
    <s v="BOD, carbonaceous, 05 day, 20 C"/>
    <s v=""/>
    <n v="426.76190476199997"/>
    <x v="0"/>
    <n v="9.8759857279711965E-6"/>
    <s v=""/>
    <n v="1.1547108166222781E-5"/>
    <x v="33"/>
    <s v="DMR"/>
  </r>
  <r>
    <s v="110000464462"/>
    <s v="THREE RIVERS REFINERY"/>
    <s v="Chloride (as Cl)"/>
    <s v="16887006"/>
    <n v="153552.462585"/>
    <x v="0"/>
    <n v="9.8759857279711965E-6"/>
    <s v=""/>
    <n v="4.1547450109158659E-3"/>
    <x v="69"/>
    <s v="DMR"/>
  </r>
  <r>
    <s v="110000464462"/>
    <s v="THREE RIVERS REFINERY"/>
    <s v="Chromium, hexavalent (as Cr)"/>
    <s v="18540299"/>
    <n v="2.2208616779999999"/>
    <x v="0"/>
    <n v="9.8759857279711965E-6"/>
    <s v=""/>
    <n v="6.0090954070482641E-8"/>
    <x v="4"/>
    <s v="DMR"/>
  </r>
  <r>
    <s v="110000464462"/>
    <s v="THREE RIVERS REFINERY"/>
    <s v="Chromium, total (as Cr)"/>
    <s v="7440473"/>
    <n v="3.5464852607699999"/>
    <x v="0"/>
    <n v="9.8759857279711965E-6"/>
    <s v=""/>
    <n v="9.5959007725547199E-8"/>
    <x v="5"/>
    <s v="DMR"/>
  </r>
  <r>
    <s v="110000464462"/>
    <s v="THREE RIVERS REFINERY"/>
    <s v="Copper, total (as Cu)"/>
    <s v="7440508"/>
    <n v="5.7370768780399999"/>
    <x v="0"/>
    <n v="9.8759857279711965E-6"/>
    <s v=""/>
    <n v="1.5523092977478517E-7"/>
    <x v="68"/>
    <s v="DMR"/>
  </r>
  <r>
    <s v="110000464462"/>
    <s v="THREE RIVERS REFINERY"/>
    <s v="ETHYLBENZENE"/>
    <s v="100414"/>
    <m/>
    <x v="0"/>
    <n v="9.8759857279711965E-6"/>
    <s v="0"/>
    <n v="0"/>
    <x v="10"/>
    <s v="TRI"/>
  </r>
  <r>
    <s v="110000464462"/>
    <s v="THREE RIVERS REFINERY"/>
    <s v="LEAD AND LEAD COMPOUNDS"/>
    <s v="7439921"/>
    <m/>
    <x v="0"/>
    <n v="9.8759857279711965E-6"/>
    <s v="1"/>
    <n v="1.6350969748296683E-3"/>
    <x v="11"/>
    <s v="TRI"/>
  </r>
  <r>
    <s v="110000464462"/>
    <s v="THREE RIVERS REFINERY"/>
    <s v="MERCURY AND MERCURY COMPOUNDS"/>
    <s v="N458"/>
    <m/>
    <x v="0"/>
    <n v="9.8759857279711965E-6"/>
    <s v="0.1"/>
    <n v="1.6350969748296683E-4"/>
    <x v="12"/>
    <s v="TRI"/>
  </r>
  <r>
    <s v="110000464462"/>
    <s v="THREE RIVERS REFINERY"/>
    <s v="Mercury, total (as Hg)"/>
    <s v="7439976"/>
    <n v="0"/>
    <x v="0"/>
    <n v="9.8759857279711965E-6"/>
    <s v=""/>
    <n v="0"/>
    <x v="64"/>
    <s v="DMR"/>
  </r>
  <r>
    <s v="110000464462"/>
    <s v="THREE RIVERS REFINERY"/>
    <s v="NICKEL AND NICKEL COMPOUNDS"/>
    <s v="N495"/>
    <m/>
    <x v="0"/>
    <n v="9.8759857279711965E-6"/>
    <s v="20"/>
    <n v="3.2701939496593363E-2"/>
    <x v="45"/>
    <s v="TRI"/>
  </r>
  <r>
    <s v="110000464462"/>
    <s v="THREE RIVERS REFINERY"/>
    <s v="NITRATE COMPOUNDS"/>
    <s v="14797558"/>
    <m/>
    <x v="0"/>
    <n v="9.8759857279711965E-6"/>
    <s v="5894"/>
    <n v="9.6372615696460642"/>
    <x v="15"/>
    <s v="TRI"/>
  </r>
  <r>
    <s v="110000464462"/>
    <s v="THREE RIVERS REFINERY"/>
    <s v="Nitrogen, ammonia total (as N)"/>
    <s v="7664417"/>
    <n v="50.408163265299997"/>
    <x v="0"/>
    <n v="9.8759857279711965E-6"/>
    <s v=""/>
    <n v="1.363918632825602E-6"/>
    <x v="16"/>
    <s v="DMR"/>
  </r>
  <r>
    <s v="110000464462"/>
    <s v="THREE RIVERS REFINERY"/>
    <s v="Oil &amp; grease"/>
    <s v=""/>
    <n v="388.802721088"/>
    <x v="0"/>
    <n v="9.8759857279711965E-6"/>
    <s v=""/>
    <n v="1.0520027738250559E-5"/>
    <x v="28"/>
    <s v="DMR"/>
  </r>
  <r>
    <s v="110000464462"/>
    <s v="THREE RIVERS REFINERY"/>
    <s v="Chemical Oxygen Demand (COD)"/>
    <s v=""/>
    <n v="7632.3809523800001"/>
    <x v="0"/>
    <n v="9.8759857279711965E-6"/>
    <s v=""/>
    <n v="2.0651311056477833E-4"/>
    <x v="18"/>
    <s v="DMR"/>
  </r>
  <r>
    <s v="110000464462"/>
    <s v="THREE RIVERS REFINERY"/>
    <s v="Oxygen, dissolved (DO)"/>
    <s v="7782447"/>
    <n v="1187.75124673"/>
    <x v="0"/>
    <n v="9.8759857279711965E-6"/>
    <s v=""/>
    <n v="3.2137573592015005E-5"/>
    <x v="72"/>
    <s v="DMR"/>
  </r>
  <r>
    <s v="110000464462"/>
    <s v="THREE RIVERS REFINERY"/>
    <s v="Phenols"/>
    <s v=""/>
    <n v="1.0884353741499999"/>
    <x v="0"/>
    <n v="9.8759857279711965E-6"/>
    <s v=""/>
    <n v="2.9450334851847641E-8"/>
    <x v="73"/>
    <s v="DMR"/>
  </r>
  <r>
    <s v="110000464462"/>
    <s v="THREE RIVERS REFINERY"/>
    <s v="Selenium, total (as Se)"/>
    <s v="7782492"/>
    <n v="2.44798217041"/>
    <x v="0"/>
    <n v="9.8759857279711965E-6"/>
    <s v=""/>
    <n v="6.6236265691224976E-8"/>
    <x v="55"/>
    <s v="DMR"/>
  </r>
  <r>
    <s v="110000464462"/>
    <s v="THREE RIVERS REFINERY"/>
    <s v="Silver, total (as Ag)"/>
    <s v="7440224"/>
    <n v="0.30997950912"/>
    <x v="0"/>
    <n v="9.8759857279711965E-6"/>
    <s v=""/>
    <n v="8.3872690631031165E-9"/>
    <x v="58"/>
    <s v="DMR"/>
  </r>
  <r>
    <s v="110000464462"/>
    <s v="THREE RIVERS REFINERY"/>
    <s v="Solids, total dissolved"/>
    <s v=""/>
    <n v="545893.03854900005"/>
    <x v="0"/>
    <n v="9.8759857279711965E-6"/>
    <s v=""/>
    <n v="1.4770498240297959E-2"/>
    <x v="96"/>
    <s v="DMR"/>
  </r>
  <r>
    <s v="110000464462"/>
    <s v="THREE RIVERS REFINERY"/>
    <s v="Solids, total suspended"/>
    <s v=""/>
    <n v="839.67346938799994"/>
    <x v="0"/>
    <n v="9.8759857279711965E-6"/>
    <s v=""/>
    <n v="2.2719460821457389E-5"/>
    <x v="22"/>
    <s v="DMR"/>
  </r>
  <r>
    <s v="110000464462"/>
    <s v="THREE RIVERS REFINERY"/>
    <s v="Sulfide, total (as S)"/>
    <s v="18496258"/>
    <n v="2.1065759637200001"/>
    <x v="0"/>
    <n v="9.8759857279711965E-6"/>
    <s v=""/>
    <n v="5.6998668911194224E-8"/>
    <x v="23"/>
    <s v="DMR"/>
  </r>
  <r>
    <s v="110000464462"/>
    <s v="THREE RIVERS REFINERY"/>
    <s v="TOLUENE"/>
    <s v="108883"/>
    <m/>
    <x v="0"/>
    <n v="9.8759857279711965E-6"/>
    <s v="0"/>
    <n v="0"/>
    <x v="24"/>
    <s v="TRI"/>
  </r>
  <r>
    <s v="110000464462"/>
    <s v="THREE RIVERS REFINERY"/>
    <s v="XYLENE (MIXED ISOMERS)"/>
    <s v="1330207"/>
    <m/>
    <x v="0"/>
    <n v="9.8759857279711965E-6"/>
    <s v="0"/>
    <n v="0"/>
    <x v="25"/>
    <s v="TRI"/>
  </r>
  <r>
    <s v="110000464462"/>
    <s v="THREE RIVERS REFINERY"/>
    <s v="Zinc, total (as Zn)"/>
    <s v="7440666"/>
    <n v="1.8773696145100001"/>
    <x v="0"/>
    <n v="9.8759857279711965E-6"/>
    <s v=""/>
    <n v="5.0796919230212463E-8"/>
    <x v="98"/>
    <s v="DMR"/>
  </r>
  <r>
    <s v=""/>
    <s v="TULSA RFNRY"/>
    <s v="1,2,4-TRIMETHYLBENZENE"/>
    <s v="95636"/>
    <m/>
    <x v="1"/>
    <n v="7.815632801997311E-6"/>
    <s v="5"/>
    <n v="4.8563668257760613E-8"/>
    <x v="0"/>
    <s v="TRI"/>
  </r>
  <r>
    <s v=""/>
    <s v="TULSA RFNRY"/>
    <s v="ANTHRACENE"/>
    <s v="120127"/>
    <m/>
    <x v="1"/>
    <n v="7.815632801997311E-6"/>
    <s v="88"/>
    <n v="8.5472056133658674E-7"/>
    <x v="31"/>
    <s v="TRI"/>
  </r>
  <r>
    <s v=""/>
    <s v="TULSA RFNRY"/>
    <s v="Benzene"/>
    <s v="71432"/>
    <n v="0"/>
    <x v="1"/>
    <n v="7.815632801997311E-6"/>
    <s v=""/>
    <n v="0"/>
    <x v="1"/>
    <s v="DMR"/>
  </r>
  <r>
    <s v=""/>
    <s v="TULSA RFNRY"/>
    <s v="BENZO(G,H,I)PERYLENE"/>
    <s v="191242"/>
    <m/>
    <x v="1"/>
    <n v="7.815632801997311E-6"/>
    <s v="88"/>
    <n v="8.5472056133658674E-7"/>
    <x v="32"/>
    <s v="TRI"/>
  </r>
  <r>
    <s v=""/>
    <s v="TULSA RFNRY"/>
    <s v="BIPHENYL"/>
    <s v="92524"/>
    <m/>
    <x v="1"/>
    <n v="7.815632801997311E-6"/>
    <s v="0"/>
    <n v="0"/>
    <x v="52"/>
    <s v="TRI"/>
  </r>
  <r>
    <s v=""/>
    <s v="TULSA RFNRY"/>
    <s v="BOD, 5-day, 20 deg. C"/>
    <s v=""/>
    <n v="36919.345822520001"/>
    <x v="1"/>
    <n v="7.815632801997311E-6"/>
    <s v=""/>
    <n v="7.9054260339388963E-4"/>
    <x v="2"/>
    <s v="DMR"/>
  </r>
  <r>
    <s v=""/>
    <s v="TULSA RFNRY"/>
    <s v="BTEX"/>
    <s v=""/>
    <n v="0"/>
    <x v="1"/>
    <n v="7.815632801997311E-6"/>
    <s v=""/>
    <n v="0"/>
    <x v="75"/>
    <s v="DMR"/>
  </r>
  <r>
    <s v=""/>
    <s v="TULSA RFNRY"/>
    <s v="CARBON DISULFIDE"/>
    <s v="75150"/>
    <m/>
    <x v="1"/>
    <n v="7.815632801997311E-6"/>
    <s v="0"/>
    <n v="0"/>
    <x v="34"/>
    <s v="TRI"/>
  </r>
  <r>
    <s v=""/>
    <s v="TULSA RFNRY"/>
    <s v="Carbon, tot organic (TOC)"/>
    <s v="7440440"/>
    <n v="18979.337459999999"/>
    <x v="1"/>
    <n v="7.815632801997311E-6"/>
    <s v=""/>
    <n v="4.0639871893849953E-4"/>
    <x v="3"/>
    <s v="DMR"/>
  </r>
  <r>
    <s v=""/>
    <s v="TULSA RFNRY"/>
    <s v="CARBONYL SULFIDE"/>
    <s v="463581"/>
    <m/>
    <x v="1"/>
    <n v="7.815632801997311E-6"/>
    <s v="0"/>
    <n v="0"/>
    <x v="35"/>
    <s v="TRI"/>
  </r>
  <r>
    <s v=""/>
    <s v="TULSA RFNRY"/>
    <s v="Chromium, hexavalent (as Cr)"/>
    <s v="18540299"/>
    <n v="127.5410334422"/>
    <x v="1"/>
    <n v="7.815632801997311E-6"/>
    <s v=""/>
    <n v="2.7309969440314915E-6"/>
    <x v="4"/>
    <s v="DMR"/>
  </r>
  <r>
    <s v=""/>
    <s v="TULSA RFNRY"/>
    <s v="Chromium, total (as Cr)"/>
    <s v="7440473"/>
    <n v="0"/>
    <x v="1"/>
    <n v="7.815632801997311E-6"/>
    <s v=""/>
    <n v="0"/>
    <x v="5"/>
    <s v="DMR"/>
  </r>
  <r>
    <s v=""/>
    <s v="TULSA RFNRY"/>
    <s v="CRESOL (MIXED ISOMERS)"/>
    <s v="1319773"/>
    <m/>
    <x v="1"/>
    <n v="7.815632801997311E-6"/>
    <s v="0"/>
    <n v="0"/>
    <x v="61"/>
    <s v="TRI"/>
  </r>
  <r>
    <s v=""/>
    <s v="TULSA RFNRY"/>
    <s v="CUMENE"/>
    <s v="98828"/>
    <m/>
    <x v="1"/>
    <n v="7.815632801997311E-6"/>
    <s v="0"/>
    <n v="0"/>
    <x v="6"/>
    <s v="TRI"/>
  </r>
  <r>
    <s v=""/>
    <s v="TULSA RFNRY"/>
    <s v="CYCLOHEXANE"/>
    <s v="110827"/>
    <m/>
    <x v="1"/>
    <n v="7.815632801997311E-6"/>
    <s v="0"/>
    <n v="0"/>
    <x v="8"/>
    <s v="TRI"/>
  </r>
  <r>
    <s v=""/>
    <s v="TULSA RFNRY"/>
    <s v="DIOXIN AND DIOXIN-LIKE COMPOUNDS"/>
    <s v="N150"/>
    <m/>
    <x v="1"/>
    <n v="7.815632801997311E-6"/>
    <s v="0"/>
    <n v="0"/>
    <x v="37"/>
    <s v="TRI"/>
  </r>
  <r>
    <s v=""/>
    <s v="TULSA RFNRY"/>
    <s v="ETHYLBENZENE"/>
    <s v="100414"/>
    <m/>
    <x v="1"/>
    <n v="7.815632801997311E-6"/>
    <s v="10"/>
    <n v="9.7127336515521227E-8"/>
    <x v="10"/>
    <s v="TRI"/>
  </r>
  <r>
    <s v=""/>
    <s v="TULSA RFNRY"/>
    <s v="ETHYLENE"/>
    <s v="74851"/>
    <m/>
    <x v="1"/>
    <n v="7.815632801997311E-6"/>
    <s v="0"/>
    <n v="0"/>
    <x v="38"/>
    <s v="TRI"/>
  </r>
  <r>
    <s v=""/>
    <s v="TULSA RFNRY"/>
    <s v="LEAD AND LEAD COMPOUNDS"/>
    <s v="7439921"/>
    <m/>
    <x v="1"/>
    <n v="7.815632801997311E-6"/>
    <s v="2708.8"/>
    <n v="2.6309852915324395E-5"/>
    <x v="11"/>
    <s v="TRI"/>
  </r>
  <r>
    <s v=""/>
    <s v="TULSA RFNRY"/>
    <s v="MERCURY AND MERCURY COMPOUNDS"/>
    <s v="N458"/>
    <m/>
    <x v="1"/>
    <n v="7.815632801997311E-6"/>
    <s v="2.5"/>
    <n v="2.4281834128880307E-8"/>
    <x v="12"/>
    <s v="TRI"/>
  </r>
  <r>
    <s v=""/>
    <s v="TULSA RFNRY"/>
    <s v="METHANOL"/>
    <s v="67561"/>
    <m/>
    <x v="1"/>
    <n v="7.815632801997311E-6"/>
    <s v="0"/>
    <n v="0"/>
    <x v="42"/>
    <s v="TRI"/>
  </r>
  <r>
    <s v=""/>
    <s v="TULSA RFNRY"/>
    <s v="NAPHTHALENE"/>
    <s v="91203"/>
    <m/>
    <x v="1"/>
    <n v="7.815632801997311E-6"/>
    <s v="1480"/>
    <n v="1.4374845804297143E-5"/>
    <x v="13"/>
    <s v="TRI"/>
  </r>
  <r>
    <s v=""/>
    <s v="TULSA RFNRY"/>
    <s v="N-HEXANE"/>
    <s v="110543"/>
    <m/>
    <x v="1"/>
    <n v="7.815632801997311E-6"/>
    <s v="0"/>
    <n v="0"/>
    <x v="14"/>
    <s v="TRI"/>
  </r>
  <r>
    <s v=""/>
    <s v="TULSA RFNRY"/>
    <s v="NICKEL AND NICKEL COMPOUNDS"/>
    <s v="N495"/>
    <m/>
    <x v="1"/>
    <n v="7.815632801997311E-6"/>
    <s v="12"/>
    <n v="1.1655280381862549E-7"/>
    <x v="45"/>
    <s v="TRI"/>
  </r>
  <r>
    <s v=""/>
    <s v="TULSA RFNRY"/>
    <s v="NITRATE COMPOUNDS"/>
    <s v="14797558"/>
    <m/>
    <x v="1"/>
    <n v="7.815632801997311E-6"/>
    <s v="112000"/>
    <n v="1.0878261689738378E-3"/>
    <x v="15"/>
    <s v="TRI"/>
  </r>
  <r>
    <s v=""/>
    <s v="TULSA RFNRY"/>
    <s v="Nitrogen, ammonia total (as N)"/>
    <s v="7664417"/>
    <n v="4815.02545121"/>
    <x v="1"/>
    <n v="7.815632801997311E-6"/>
    <s v=""/>
    <n v="1.0310265988747611E-4"/>
    <x v="16"/>
    <s v="DMR"/>
  </r>
  <r>
    <s v=""/>
    <s v="TULSA RFNRY"/>
    <s v="Nitrogen, total (as N)"/>
    <s v="7727379"/>
    <n v="51.026310067399997"/>
    <x v="1"/>
    <n v="7.815632801997311E-6"/>
    <s v=""/>
    <n v="1.0926106924045399E-6"/>
    <x v="79"/>
    <s v="DMR"/>
  </r>
  <r>
    <s v=""/>
    <s v="TULSA RFNRY"/>
    <s v="Oil &amp; grease"/>
    <s v=""/>
    <n v="0"/>
    <x v="1"/>
    <n v="7.815632801997311E-6"/>
    <s v=""/>
    <n v="0"/>
    <x v="28"/>
    <s v="DMR"/>
  </r>
  <r>
    <s v=""/>
    <s v="TULSA RFNRY"/>
    <s v="Oil and grease, hexane extr method"/>
    <s v=""/>
    <n v="55212.902751100002"/>
    <x v="1"/>
    <n v="7.815632801997311E-6"/>
    <s v=""/>
    <n v="1.1822569146163965E-3"/>
    <x v="65"/>
    <s v="DMR"/>
  </r>
  <r>
    <s v=""/>
    <s v="TULSA RFNRY"/>
    <s v="Chemical Oxygen Demand (COD)"/>
    <s v=""/>
    <n v="318570.98422020004"/>
    <x v="1"/>
    <n v="7.815632801997311E-6"/>
    <s v=""/>
    <n v="6.8214625590026388E-3"/>
    <x v="18"/>
    <s v="DMR"/>
  </r>
  <r>
    <s v=""/>
    <s v="TULSA RFNRY"/>
    <s v="PHENANTHRENE"/>
    <s v="85018"/>
    <m/>
    <x v="1"/>
    <n v="7.815632801997311E-6"/>
    <s v="88"/>
    <n v="8.5472056133658674E-7"/>
    <x v="46"/>
    <s v="TRI"/>
  </r>
  <r>
    <s v=""/>
    <s v="TULSA RFNRY"/>
    <s v="PHENOL"/>
    <s v="108952"/>
    <m/>
    <x v="1"/>
    <n v="7.815632801997311E-6"/>
    <s v="5005"/>
    <n v="4.8612231926018377E-5"/>
    <x v="19"/>
    <s v="TRI"/>
  </r>
  <r>
    <s v=""/>
    <s v="TULSA RFNRY"/>
    <s v="Phenolics, total recoverable"/>
    <s v=""/>
    <n v="221.96810157933001"/>
    <x v="1"/>
    <n v="7.815632801997311E-6"/>
    <s v=""/>
    <n v="4.7529347279465281E-6"/>
    <x v="20"/>
    <s v="DMR"/>
  </r>
  <r>
    <s v=""/>
    <s v="TULSA RFNRY"/>
    <s v="POLYCYCLIC AROMATIC COMPOUNDS"/>
    <s v="N590"/>
    <m/>
    <x v="1"/>
    <n v="7.815632801997311E-6"/>
    <s v="0"/>
    <n v="0"/>
    <x v="21"/>
    <s v="TRI"/>
  </r>
  <r>
    <s v=""/>
    <s v="TULSA RFNRY"/>
    <s v="PROPYLENE"/>
    <s v="115071"/>
    <m/>
    <x v="1"/>
    <n v="7.815632801997311E-6"/>
    <s v="0"/>
    <n v="0"/>
    <x v="54"/>
    <s v="TRI"/>
  </r>
  <r>
    <s v=""/>
    <s v="TULSA RFNRY"/>
    <s v="Solids, total suspended"/>
    <s v=""/>
    <n v="163920.96076059999"/>
    <x v="1"/>
    <n v="7.815632801997311E-6"/>
    <s v=""/>
    <n v="3.509989144809478E-3"/>
    <x v="22"/>
    <s v="DMR"/>
  </r>
  <r>
    <s v=""/>
    <s v="TULSA RFNRY"/>
    <s v="STYRENE"/>
    <s v="100425"/>
    <m/>
    <x v="1"/>
    <n v="7.815632801997311E-6"/>
    <s v="0"/>
    <n v="0"/>
    <x v="48"/>
    <s v="TRI"/>
  </r>
  <r>
    <s v=""/>
    <s v="TULSA RFNRY"/>
    <s v="Sulfide, total (as S)"/>
    <s v="18496258"/>
    <n v="217.39667300790001"/>
    <x v="1"/>
    <n v="7.815632801997311E-6"/>
    <s v=""/>
    <n v="4.655048133166101E-6"/>
    <x v="23"/>
    <s v="DMR"/>
  </r>
  <r>
    <s v=""/>
    <s v="TULSA RFNRY"/>
    <s v="TETRACHLOROETHYLENE"/>
    <s v="127184"/>
    <m/>
    <x v="1"/>
    <n v="7.815632801997311E-6"/>
    <s v="0"/>
    <n v="0"/>
    <x v="50"/>
    <s v="TRI"/>
  </r>
  <r>
    <s v=""/>
    <s v="TULSA RFNRY"/>
    <s v="TOLUENE"/>
    <s v="108883"/>
    <m/>
    <x v="1"/>
    <n v="7.815632801997311E-6"/>
    <s v="44"/>
    <n v="4.2736028066829337E-7"/>
    <x v="24"/>
    <s v="TRI"/>
  </r>
  <r>
    <s v=""/>
    <s v="TULSA RFNRY"/>
    <s v="Total petroleum hydrocarbon - diesel"/>
    <s v=""/>
    <n v="99.382745"/>
    <x v="1"/>
    <n v="7.815632801997311E-6"/>
    <s v=""/>
    <n v="2.1280521692452995E-6"/>
    <x v="146"/>
    <s v="DMR"/>
  </r>
  <r>
    <s v=""/>
    <s v="TULSA RFNRY"/>
    <s v="Total petroleum hydrocarbon - gasoline"/>
    <s v=""/>
    <n v="36.139180000000003"/>
    <x v="1"/>
    <n v="7.815632801997311E-6"/>
    <s v=""/>
    <n v="7.7383715245283619E-7"/>
    <x v="147"/>
    <s v="DMR"/>
  </r>
  <r>
    <s v=""/>
    <s v="TULSA RFNRY"/>
    <s v="XYLENE (MIXED ISOMERS)"/>
    <s v="1330207"/>
    <m/>
    <x v="1"/>
    <n v="7.815632801997311E-6"/>
    <s v="26"/>
    <n v="2.525310749403552E-7"/>
    <x v="25"/>
    <s v="TRI"/>
  </r>
  <r>
    <s v=""/>
    <s v="TULSA RFNRY"/>
    <s v="ZINC AND ZINC COMPOUNDS"/>
    <s v="7440666"/>
    <m/>
    <x v="1"/>
    <n v="7.815632801997311E-6"/>
    <s v="10400"/>
    <n v="1.0101242997614208E-4"/>
    <x v="29"/>
    <s v="TRI"/>
  </r>
  <r>
    <s v="110000331472"/>
    <s v="UNITED REFINING CO/WARREN PLT"/>
    <s v="1,2,4-TRIMETHYLBENZENE"/>
    <s v="95636"/>
    <m/>
    <x v="0"/>
    <n v="1.4992503748125937E-5"/>
    <s v="20"/>
    <n v="4.9644052146112373E-2"/>
    <x v="0"/>
    <s v="TRI"/>
  </r>
  <r>
    <s v="110000331472"/>
    <s v="UNITED REFINING CO/WARREN PLT"/>
    <s v="BENZENE"/>
    <s v="71432"/>
    <m/>
    <x v="0"/>
    <n v="1.4992503748125937E-5"/>
    <s v="40"/>
    <n v="9.9288104292224746E-2"/>
    <x v="1"/>
    <s v="TRI"/>
  </r>
  <r>
    <s v="110000331472"/>
    <s v="UNITED REFINING CO/WARREN PLT"/>
    <s v="BOD, 5-day, 20 deg. C"/>
    <s v=""/>
    <n v="56678.911564599999"/>
    <x v="0"/>
    <n v="1.4992503748125937E-5"/>
    <s v=""/>
    <n v="2.3281062851286684E-3"/>
    <x v="2"/>
    <s v="DMR"/>
  </r>
  <r>
    <s v="110000331472"/>
    <s v="UNITED REFINING CO/WARREN PLT"/>
    <s v="Carbon, tot organic (TOC)"/>
    <s v="7440440"/>
    <n v="11495.0415935"/>
    <x v="0"/>
    <n v="1.4992503748125937E-5"/>
    <s v=""/>
    <n v="4.721628881518145E-4"/>
    <x v="3"/>
    <s v="DMR"/>
  </r>
  <r>
    <s v="110000331472"/>
    <s v="UNITED REFINING CO/WARREN PLT"/>
    <s v="CYCLOHEXANE"/>
    <s v="110827"/>
    <m/>
    <x v="0"/>
    <n v="1.4992503748125937E-5"/>
    <s v="110"/>
    <n v="0.27304228680361803"/>
    <x v="8"/>
    <s v="TRI"/>
  </r>
  <r>
    <s v="110000331472"/>
    <s v="UNITED REFINING CO/WARREN PLT"/>
    <s v="ETHYLBENZENE"/>
    <s v="100414"/>
    <m/>
    <x v="0"/>
    <n v="1.4992503748125937E-5"/>
    <s v="20"/>
    <n v="4.9644052146112373E-2"/>
    <x v="10"/>
    <s v="TRI"/>
  </r>
  <r>
    <s v="110000331472"/>
    <s v="UNITED REFINING CO/WARREN PLT"/>
    <s v="ETHYLENE"/>
    <s v="74851"/>
    <m/>
    <x v="0"/>
    <n v="1.4992503748125937E-5"/>
    <s v="0"/>
    <n v="0"/>
    <x v="38"/>
    <s v="TRI"/>
  </r>
  <r>
    <s v="110000331472"/>
    <s v="UNITED REFINING CO/WARREN PLT"/>
    <s v="NAPHTHALENE"/>
    <s v="91203"/>
    <m/>
    <x v="0"/>
    <n v="1.4992503748125937E-5"/>
    <s v="40"/>
    <n v="9.9288104292224746E-2"/>
    <x v="13"/>
    <s v="TRI"/>
  </r>
  <r>
    <s v="110000331472"/>
    <s v="UNITED REFINING CO/WARREN PLT"/>
    <s v="N-HEXANE"/>
    <s v="110543"/>
    <m/>
    <x v="0"/>
    <n v="1.4992503748125937E-5"/>
    <s v="80"/>
    <n v="0.19857620858444949"/>
    <x v="14"/>
    <s v="TRI"/>
  </r>
  <r>
    <s v="110000331472"/>
    <s v="UNITED REFINING CO/WARREN PLT"/>
    <s v="Nitrogen, ammonia total (as N)"/>
    <s v="7664417"/>
    <n v="14942.8571429"/>
    <x v="0"/>
    <n v="1.4992503748125937E-5"/>
    <s v=""/>
    <n v="6.1378312800722929E-4"/>
    <x v="16"/>
    <s v="DMR"/>
  </r>
  <r>
    <s v="110000331472"/>
    <s v="UNITED REFINING CO/WARREN PLT"/>
    <s v="Oil &amp; grease"/>
    <s v=""/>
    <n v="9219.8206544585319"/>
    <x v="0"/>
    <n v="1.4992503748125937E-5"/>
    <s v=""/>
    <n v="3.7870738553155746E-4"/>
    <x v="28"/>
    <s v="DMR"/>
  </r>
  <r>
    <s v="110000331472"/>
    <s v="UNITED REFINING CO/WARREN PLT"/>
    <s v="Chemical Oxygen Demand (COD)"/>
    <s v=""/>
    <n v="183891.60997699999"/>
    <x v="0"/>
    <n v="1.4992503748125937E-5"/>
    <s v=""/>
    <n v="7.5534127447372196E-3"/>
    <x v="18"/>
    <s v="DMR"/>
  </r>
  <r>
    <s v="110000331472"/>
    <s v="UNITED REFINING CO/WARREN PLT"/>
    <s v="Phenolics, total recoverable"/>
    <s v=""/>
    <n v="64.308390022699996"/>
    <x v="0"/>
    <n v="1.4992503748125937E-5"/>
    <s v=""/>
    <n v="2.6414898039760941E-6"/>
    <x v="20"/>
    <s v="DMR"/>
  </r>
  <r>
    <s v="110000331472"/>
    <s v="UNITED REFINING CO/WARREN PLT"/>
    <s v="PROPYLENE"/>
    <s v="115071"/>
    <m/>
    <x v="0"/>
    <n v="1.4992503748125937E-5"/>
    <s v="10"/>
    <n v="2.4822026073056187E-2"/>
    <x v="54"/>
    <s v="TRI"/>
  </r>
  <r>
    <s v="110000331472"/>
    <s v="UNITED REFINING CO/WARREN PLT"/>
    <s v="Solids, total dissolved"/>
    <s v=""/>
    <n v="1262366.5694800001"/>
    <x v="0"/>
    <n v="1.4992503748125937E-5"/>
    <s v=""/>
    <n v="5.1852152121747347E-2"/>
    <x v="96"/>
    <s v="DMR"/>
  </r>
  <r>
    <s v="110000331472"/>
    <s v="UNITED REFINING CO/WARREN PLT"/>
    <s v="Solids, total suspended"/>
    <s v=""/>
    <n v="45311.564625810002"/>
    <x v="0"/>
    <n v="1.4992503748125937E-5"/>
    <s v=""/>
    <n v="1.8611884999613893E-3"/>
    <x v="22"/>
    <s v="DMR"/>
  </r>
  <r>
    <s v="110000331472"/>
    <s v="UNITED REFINING CO/WARREN PLT"/>
    <s v="Sulfide, total (as S)"/>
    <s v="18496258"/>
    <n v="222.222222222"/>
    <x v="0"/>
    <n v="1.4992503748125937E-5"/>
    <s v=""/>
    <n v="9.1278561632334514E-6"/>
    <x v="23"/>
    <s v="DMR"/>
  </r>
  <r>
    <s v="110000331472"/>
    <s v="UNITED REFINING CO/WARREN PLT"/>
    <s v="TOLUENE"/>
    <s v="108883"/>
    <m/>
    <x v="0"/>
    <n v="1.4992503748125937E-5"/>
    <s v="50"/>
    <n v="0.12411013036528093"/>
    <x v="24"/>
    <s v="TRI"/>
  </r>
  <r>
    <s v="110000331472"/>
    <s v="UNITED REFINING CO/WARREN PLT"/>
    <s v="XYLENE (MIXED ISOMERS)"/>
    <s v="1330207"/>
    <m/>
    <x v="0"/>
    <n v="1.4992503748125937E-5"/>
    <s v="60"/>
    <n v="0.1489321564383371"/>
    <x v="25"/>
    <s v="TRI"/>
  </r>
  <r>
    <s v="110000490549"/>
    <s v="US Oil &amp; Refining Co"/>
    <s v="1,2,4-TRIMETHYLBENZENE"/>
    <s v="95636"/>
    <m/>
    <x v="0"/>
    <n v="2.564102564102564E-5"/>
    <s v="0"/>
    <n v="0"/>
    <x v="0"/>
    <s v="TRI"/>
  </r>
  <r>
    <s v="110000490549"/>
    <s v="US Oil &amp; Refining Co"/>
    <s v="AMMONIA"/>
    <s v="7664417"/>
    <m/>
    <x v="0"/>
    <n v="2.564102564102564E-5"/>
    <s v="26"/>
    <n v="0.11037527593818983"/>
    <x v="16"/>
    <s v="TRI"/>
  </r>
  <r>
    <s v="110000490549"/>
    <s v="US Oil &amp; Refining Co"/>
    <s v="BENZENE"/>
    <s v="71432"/>
    <m/>
    <x v="0"/>
    <n v="2.564102564102564E-5"/>
    <s v="0"/>
    <n v="0"/>
    <x v="1"/>
    <s v="TRI"/>
  </r>
  <r>
    <s v="110000490549"/>
    <s v="US Oil &amp; Refining Co"/>
    <s v="BENZO(G,H,I)PERYLENE"/>
    <s v="191242"/>
    <m/>
    <x v="0"/>
    <n v="2.564102564102564E-5"/>
    <s v="0"/>
    <n v="0"/>
    <x v="32"/>
    <s v="TRI"/>
  </r>
  <r>
    <s v="110000490549"/>
    <s v="US Oil &amp; Refining Co"/>
    <s v="CYCLOHEXANE"/>
    <s v="110827"/>
    <m/>
    <x v="0"/>
    <n v="2.564102564102564E-5"/>
    <s v="0"/>
    <n v="0"/>
    <x v="8"/>
    <s v="TRI"/>
  </r>
  <r>
    <s v="110000490549"/>
    <s v="US Oil &amp; Refining Co"/>
    <s v="ETHYLBENZENE"/>
    <s v="100414"/>
    <m/>
    <x v="0"/>
    <n v="2.564102564102564E-5"/>
    <s v="0"/>
    <n v="0"/>
    <x v="10"/>
    <s v="TRI"/>
  </r>
  <r>
    <s v="110000490549"/>
    <s v="US Oil &amp; Refining Co"/>
    <s v="LEAD AND LEAD COMPOUNDS"/>
    <s v="7439921"/>
    <m/>
    <x v="0"/>
    <n v="2.564102564102564E-5"/>
    <s v="0.1"/>
    <n v="4.2452029206996089E-4"/>
    <x v="11"/>
    <s v="TRI"/>
  </r>
  <r>
    <s v="110000490549"/>
    <s v="US Oil &amp; Refining Co"/>
    <s v="MERCURY AND MERCURY COMPOUNDS"/>
    <s v="N458"/>
    <m/>
    <x v="0"/>
    <n v="2.564102564102564E-5"/>
    <s v="0.07"/>
    <n v="2.9716420444897261E-4"/>
    <x v="12"/>
    <s v="TRI"/>
  </r>
  <r>
    <s v="110000490549"/>
    <s v="US Oil &amp; Refining Co"/>
    <s v="NAPHTHALENE"/>
    <s v="91203"/>
    <m/>
    <x v="0"/>
    <n v="2.564102564102564E-5"/>
    <s v="0"/>
    <n v="0"/>
    <x v="13"/>
    <s v="TRI"/>
  </r>
  <r>
    <s v="110000490549"/>
    <s v="US Oil &amp; Refining Co"/>
    <s v="N-HEXANE"/>
    <s v="110543"/>
    <m/>
    <x v="0"/>
    <n v="2.564102564102564E-5"/>
    <s v="0"/>
    <n v="0"/>
    <x v="14"/>
    <s v="TRI"/>
  </r>
  <r>
    <s v="110000490549"/>
    <s v="US Oil &amp; Refining Co"/>
    <s v="POLYCYCLIC AROMATIC COMPOUNDS"/>
    <s v="N590"/>
    <m/>
    <x v="0"/>
    <n v="2.564102564102564E-5"/>
    <s v="0"/>
    <n v="0"/>
    <x v="21"/>
    <s v="TRI"/>
  </r>
  <r>
    <s v="110000490549"/>
    <s v="US Oil &amp; Refining Co"/>
    <s v="TOLUENE"/>
    <s v="108883"/>
    <m/>
    <x v="0"/>
    <n v="2.564102564102564E-5"/>
    <s v="19"/>
    <n v="8.0658855493292575E-2"/>
    <x v="24"/>
    <s v="TRI"/>
  </r>
  <r>
    <s v="110000490549"/>
    <s v="US Oil &amp; Refining Co"/>
    <s v="XYLENE (MIXED ISOMERS)"/>
    <s v="1330207"/>
    <m/>
    <x v="0"/>
    <n v="2.564102564102564E-5"/>
    <s v="0"/>
    <n v="0"/>
    <x v="25"/>
    <s v="TRI"/>
  </r>
  <r>
    <s v="110000606746"/>
    <s v="VALERO ARDMORE RFNRY"/>
    <s v="1,2,4-TRIMETHYLBENZENE"/>
    <s v="95636"/>
    <m/>
    <x v="4"/>
    <n v="1.0677093991799605E-5"/>
    <s v="5"/>
    <n v="8.8386539667215259E-3"/>
    <x v="0"/>
    <s v="TRI"/>
  </r>
  <r>
    <s v="110000606746"/>
    <s v="VALERO ARDMORE RFNRY"/>
    <s v="ANTHRACENE"/>
    <s v="120127"/>
    <m/>
    <x v="4"/>
    <n v="1.0677093991799605E-5"/>
    <s v="5"/>
    <n v="8.8386539667215259E-3"/>
    <x v="31"/>
    <s v="TRI"/>
  </r>
  <r>
    <s v="110000606746"/>
    <s v="VALERO ARDMORE RFNRY"/>
    <s v="BENZENE"/>
    <s v="71432"/>
    <m/>
    <x v="4"/>
    <n v="1.0677093991799605E-5"/>
    <s v="5"/>
    <n v="8.8386539667215259E-3"/>
    <x v="1"/>
    <s v="TRI"/>
  </r>
  <r>
    <s v="110000606746"/>
    <s v="VALERO ARDMORE RFNRY"/>
    <s v="BENZO(G,H,I)PERYLENE"/>
    <s v="191242"/>
    <m/>
    <x v="4"/>
    <n v="1.0677093991799605E-5"/>
    <s v="5"/>
    <n v="8.8386539667215259E-3"/>
    <x v="32"/>
    <s v="TRI"/>
  </r>
  <r>
    <s v="110000606746"/>
    <s v="VALERO ARDMORE RFNRY"/>
    <s v="BOD, 5-day, 20 deg. C"/>
    <s v=""/>
    <n v="20782.222222199998"/>
    <x v="4"/>
    <n v="1.0677093991799605E-5"/>
    <s v=""/>
    <n v="6.0792805486272828E-4"/>
    <x v="2"/>
    <s v="DMR"/>
  </r>
  <r>
    <s v="110000606746"/>
    <s v="VALERO ARDMORE RFNRY"/>
    <s v="Chromium, hexavalent (as Cr)"/>
    <s v="18540299"/>
    <n v="0"/>
    <x v="4"/>
    <n v="1.0677093991799605E-5"/>
    <s v=""/>
    <n v="0"/>
    <x v="4"/>
    <s v="DMR"/>
  </r>
  <r>
    <s v="110000606746"/>
    <s v="VALERO ARDMORE RFNRY"/>
    <s v="Chromium, total (as Cr)"/>
    <s v="7440473"/>
    <n v="0.321088435374"/>
    <x v="4"/>
    <n v="1.0677093991799605E-5"/>
    <s v=""/>
    <n v="9.3925791895015643E-9"/>
    <x v="5"/>
    <s v="DMR"/>
  </r>
  <r>
    <s v="110000606746"/>
    <s v="VALERO ARDMORE RFNRY"/>
    <s v="CUMENE"/>
    <s v="98828"/>
    <m/>
    <x v="4"/>
    <n v="1.0677093991799605E-5"/>
    <s v="5"/>
    <n v="8.8386539667215259E-3"/>
    <x v="6"/>
    <s v="TRI"/>
  </r>
  <r>
    <s v="110000606746"/>
    <s v="VALERO ARDMORE RFNRY"/>
    <s v="CYCLOHEXANE"/>
    <s v="110827"/>
    <m/>
    <x v="4"/>
    <n v="1.0677093991799605E-5"/>
    <s v="5"/>
    <n v="8.8386539667215259E-3"/>
    <x v="8"/>
    <s v="TRI"/>
  </r>
  <r>
    <s v="110000606746"/>
    <s v="VALERO ARDMORE RFNRY"/>
    <s v="DIOXIN AND DIOXIN-LIKE COMPOUNDS"/>
    <s v="N150"/>
    <m/>
    <x v="4"/>
    <n v="1.0677093991799605E-5"/>
    <s v="0.000423265"/>
    <n v="7.4821857424487736E-7"/>
    <x v="37"/>
    <s v="TRI"/>
  </r>
  <r>
    <s v="110000606746"/>
    <s v="VALERO ARDMORE RFNRY"/>
    <s v="ETHYLBENZENE"/>
    <s v="100414"/>
    <m/>
    <x v="4"/>
    <n v="1.0677093991799605E-5"/>
    <s v="5"/>
    <n v="8.8386539667215259E-3"/>
    <x v="10"/>
    <s v="TRI"/>
  </r>
  <r>
    <s v="110000606746"/>
    <s v="VALERO ARDMORE RFNRY"/>
    <s v="LEAD AND LEAD COMPOUNDS"/>
    <s v="7439921"/>
    <m/>
    <x v="4"/>
    <n v="1.0677093991799605E-5"/>
    <s v="6.38"/>
    <n v="1.1278122461536668E-2"/>
    <x v="11"/>
    <s v="TRI"/>
  </r>
  <r>
    <s v="110000606746"/>
    <s v="VALERO ARDMORE RFNRY"/>
    <s v="MOLYBDENUM TRIOXIDE"/>
    <s v="1313275"/>
    <m/>
    <x v="4"/>
    <n v="1.0677093991799605E-5"/>
    <s v="250"/>
    <n v="0.44193269833607629"/>
    <x v="44"/>
    <s v="TRI"/>
  </r>
  <r>
    <s v="110000606746"/>
    <s v="VALERO ARDMORE RFNRY"/>
    <s v="NAPHTHALENE"/>
    <s v="91203"/>
    <m/>
    <x v="4"/>
    <n v="1.0677093991799605E-5"/>
    <s v="5"/>
    <n v="8.8386539667215259E-3"/>
    <x v="13"/>
    <s v="TRI"/>
  </r>
  <r>
    <s v="110000606746"/>
    <s v="VALERO ARDMORE RFNRY"/>
    <s v="N-HEXANE"/>
    <s v="110543"/>
    <m/>
    <x v="4"/>
    <n v="1.0677093991799605E-5"/>
    <s v="5"/>
    <n v="8.8386539667215259E-3"/>
    <x v="14"/>
    <s v="TRI"/>
  </r>
  <r>
    <s v="110000606746"/>
    <s v="VALERO ARDMORE RFNRY"/>
    <s v="NICKEL AND NICKEL COMPOUNDS"/>
    <s v="N495"/>
    <m/>
    <x v="4"/>
    <n v="1.0677093991799605E-5"/>
    <s v="127.4"/>
    <n v="0.22520890307206451"/>
    <x v="45"/>
    <s v="TRI"/>
  </r>
  <r>
    <s v="110000606746"/>
    <s v="VALERO ARDMORE RFNRY"/>
    <s v="NITRATE COMPOUNDS"/>
    <s v="14797558"/>
    <m/>
    <x v="4"/>
    <n v="1.0677093991799605E-5"/>
    <s v="17957"/>
    <n v="31.743141856083689"/>
    <x v="15"/>
    <s v="TRI"/>
  </r>
  <r>
    <s v="110000606746"/>
    <s v="VALERO ARDMORE RFNRY"/>
    <s v="Nitrogen, ammonia total (as N)"/>
    <s v="7664417"/>
    <n v="2428.97959184"/>
    <x v="4"/>
    <n v="1.0677093991799605E-5"/>
    <s v=""/>
    <n v="7.1053269606133478E-5"/>
    <x v="16"/>
    <s v="DMR"/>
  </r>
  <r>
    <s v="110000606746"/>
    <s v="VALERO ARDMORE RFNRY"/>
    <s v="Oil and grease, hexane extr method"/>
    <s v=""/>
    <n v="5080.43466549"/>
    <x v="4"/>
    <n v="1.0677093991799605E-5"/>
    <s v=""/>
    <n v="1.4861446148666771E-4"/>
    <x v="65"/>
    <s v="DMR"/>
  </r>
  <r>
    <s v="110000606746"/>
    <s v="VALERO ARDMORE RFNRY"/>
    <s v="Chemical Oxygen Demand (COD)"/>
    <s v=""/>
    <n v="157488.74676500005"/>
    <x v="4"/>
    <n v="1.0677093991799605E-5"/>
    <s v=""/>
    <n v="4.6069100050976199E-3"/>
    <x v="18"/>
    <s v="DMR"/>
  </r>
  <r>
    <s v="110000606746"/>
    <s v="VALERO ARDMORE RFNRY"/>
    <s v="PHENANTHRENE"/>
    <s v="85018"/>
    <m/>
    <x v="4"/>
    <n v="1.0677093991799605E-5"/>
    <s v="5"/>
    <n v="8.8386539667215259E-3"/>
    <x v="46"/>
    <s v="TRI"/>
  </r>
  <r>
    <s v="110000606746"/>
    <s v="VALERO ARDMORE RFNRY"/>
    <s v="PHENOL"/>
    <s v="108952"/>
    <m/>
    <x v="4"/>
    <n v="1.0677093991799605E-5"/>
    <s v="31"/>
    <n v="5.4799654593673468E-2"/>
    <x v="19"/>
    <s v="TRI"/>
  </r>
  <r>
    <s v="110000606746"/>
    <s v="VALERO ARDMORE RFNRY"/>
    <s v="Phenols"/>
    <s v=""/>
    <n v="13.650793650800001"/>
    <x v="4"/>
    <n v="1.0677093991799605E-5"/>
    <s v=""/>
    <n v="3.9931727910206269E-7"/>
    <x v="73"/>
    <s v="DMR"/>
  </r>
  <r>
    <s v="110000606746"/>
    <s v="VALERO ARDMORE RFNRY"/>
    <s v="Solids, total suspended"/>
    <s v=""/>
    <n v="39570.929705199997"/>
    <x v="4"/>
    <n v="1.0677093991799605E-5"/>
    <s v=""/>
    <n v="1.1575411939871653E-3"/>
    <x v="22"/>
    <s v="DMR"/>
  </r>
  <r>
    <s v="110000606746"/>
    <s v="VALERO ARDMORE RFNRY"/>
    <s v="Sulfide, total (as S)"/>
    <s v="18496258"/>
    <n v="20.770975056699999"/>
    <x v="4"/>
    <n v="1.0677093991799605E-5"/>
    <s v=""/>
    <n v="6.0759904926496171E-7"/>
    <x v="23"/>
    <s v="DMR"/>
  </r>
  <r>
    <s v="110000606746"/>
    <s v="VALERO ARDMORE RFNRY"/>
    <s v="TOLUENE"/>
    <s v="108883"/>
    <m/>
    <x v="4"/>
    <n v="1.0677093991799605E-5"/>
    <s v="5"/>
    <n v="8.8386539667215259E-3"/>
    <x v="24"/>
    <s v="TRI"/>
  </r>
  <r>
    <s v="110000606746"/>
    <s v="VALERO ARDMORE RFNRY"/>
    <s v="VANADIUM AND VANADIUM COMPOUNDS"/>
    <s v="7440622"/>
    <m/>
    <x v="4"/>
    <n v="1.0677093991799605E-5"/>
    <s v="5"/>
    <n v="8.8386539667215259E-3"/>
    <x v="78"/>
    <s v="TRI"/>
  </r>
  <r>
    <s v="110000606746"/>
    <s v="VALERO ARDMORE RFNRY"/>
    <s v="XYLENE (MIXED ISOMERS)"/>
    <s v="1330207"/>
    <m/>
    <x v="4"/>
    <n v="1.0677093991799605E-5"/>
    <s v="5"/>
    <n v="8.8386539667215259E-3"/>
    <x v="25"/>
    <s v="TRI"/>
  </r>
  <r>
    <s v="110000501993"/>
    <s v="VALERO CORPUS CHRISTI REFINING EAST"/>
    <s v="BOD, 5-day, 20 deg. C"/>
    <s v=""/>
    <n v="5523.8095238100004"/>
    <x v="2"/>
    <n v="4.8175540136444855E-6"/>
    <s v=""/>
    <n v="7.290753627955753E-5"/>
    <x v="2"/>
    <s v="DMR"/>
  </r>
  <r>
    <s v="110000501993"/>
    <s v="VALERO CORPUS CHRISTI REFINING EAST"/>
    <s v="Carbon, tot organic (TOC)"/>
    <s v="7440440"/>
    <n v="266.52538581800002"/>
    <x v="2"/>
    <n v="4.8175540136444855E-6"/>
    <s v=""/>
    <n v="3.5178094306456192E-6"/>
    <x v="3"/>
    <s v="DMR"/>
  </r>
  <r>
    <s v="110000501993"/>
    <s v="VALERO CORPUS CHRISTI REFINING EAST"/>
    <s v="Chromium, hexavalent (as Cr)"/>
    <s v="18540299"/>
    <n v="5.57278911565"/>
    <x v="2"/>
    <n v="4.8175540136444855E-6"/>
    <s v=""/>
    <n v="7.3554007044640989E-8"/>
    <x v="4"/>
    <s v="DMR"/>
  </r>
  <r>
    <s v="110000501993"/>
    <s v="VALERO CORPUS CHRISTI REFINING EAST"/>
    <s v="Copper, total (as Cu)"/>
    <s v="7440508"/>
    <n v="5.8979591836700003"/>
    <x v="2"/>
    <n v="4.8175540136444855E-6"/>
    <s v=""/>
    <n v="7.7845854623563733E-8"/>
    <x v="68"/>
    <s v="DMR"/>
  </r>
  <r>
    <s v="110000501993"/>
    <s v="VALERO CORPUS CHRISTI REFINING EAST"/>
    <s v="LEAD AND LEAD COMPOUNDS"/>
    <s v="7439921"/>
    <m/>
    <x v="2"/>
    <n v="4.8175540136444855E-6"/>
    <s v="17.6"/>
    <n v="1.4037905735123006E-2"/>
    <x v="11"/>
    <s v="TRI"/>
  </r>
  <r>
    <s v="110000501993"/>
    <s v="VALERO CORPUS CHRISTI REFINING EAST"/>
    <s v="MERCURY AND MERCURY COMPOUNDS"/>
    <s v="N458"/>
    <m/>
    <x v="2"/>
    <n v="4.8175540136444855E-6"/>
    <s v="0.55"/>
    <n v="4.3868455422259393E-4"/>
    <x v="12"/>
    <s v="TRI"/>
  </r>
  <r>
    <s v="110000501993"/>
    <s v="VALERO CORPUS CHRISTI REFINING EAST"/>
    <s v="NICKEL AND NICKEL COMPOUNDS"/>
    <s v="N495"/>
    <m/>
    <x v="2"/>
    <n v="4.8175540136444855E-6"/>
    <s v="27"/>
    <n v="2.1535423570927335E-2"/>
    <x v="45"/>
    <s v="TRI"/>
  </r>
  <r>
    <s v="110000501993"/>
    <s v="VALERO CORPUS CHRISTI REFINING EAST"/>
    <s v="NITRATE COMPOUNDS"/>
    <s v="14797558"/>
    <m/>
    <x v="2"/>
    <n v="4.8175540136444855E-6"/>
    <s v="773445"/>
    <n v="616.90613643762572"/>
    <x v="15"/>
    <s v="TRI"/>
  </r>
  <r>
    <s v="110000501993"/>
    <s v="VALERO CORPUS CHRISTI REFINING EAST"/>
    <s v="Nitrogen, ammonia total (as N)"/>
    <s v="7664417"/>
    <n v="1820.1360544199999"/>
    <x v="2"/>
    <n v="4.8175540136444855E-6"/>
    <s v=""/>
    <n v="2.4023571929726323E-5"/>
    <x v="16"/>
    <s v="DMR"/>
  </r>
  <r>
    <s v="110000501993"/>
    <s v="VALERO CORPUS CHRISTI REFINING EAST"/>
    <s v="Oil &amp; grease"/>
    <s v=""/>
    <n v="73.897582999999997"/>
    <x v="2"/>
    <n v="4.8175540136444855E-6"/>
    <s v=""/>
    <n v="9.753578015897985E-7"/>
    <x v="28"/>
    <s v="DMR"/>
  </r>
  <r>
    <s v="110000501993"/>
    <s v="VALERO CORPUS CHRISTI REFINING EAST"/>
    <s v="Selenium, total (as Se)"/>
    <s v="7782492"/>
    <n v="94.248089699999994"/>
    <x v="2"/>
    <n v="4.8175540136444855E-6"/>
    <s v=""/>
    <n v="1.2439596241440013E-6"/>
    <x v="55"/>
    <s v="DMR"/>
  </r>
  <r>
    <s v="110000464006"/>
    <s v="VALERO PORT ARTHUR REFINERY"/>
    <s v="2,4-DIMETHYLPHENOL"/>
    <s v="105679"/>
    <m/>
    <x v="2"/>
    <n v="3.1858018477326438E-6"/>
    <s v="70"/>
    <n v="3.6921544592927992E-2"/>
    <x v="81"/>
    <s v="TRI"/>
  </r>
  <r>
    <s v="110000464006"/>
    <s v="VALERO PORT ARTHUR REFINERY"/>
    <s v="ANTHRACENE"/>
    <s v="120127"/>
    <m/>
    <x v="2"/>
    <n v="3.1858018477326438E-6"/>
    <s v="71"/>
    <n v="3.7448995229969827E-2"/>
    <x v="31"/>
    <s v="TRI"/>
  </r>
  <r>
    <s v="110000464006"/>
    <s v="VALERO PORT ARTHUR REFINERY"/>
    <s v="BOD, 5-day, 20 deg. C"/>
    <s v=""/>
    <n v="176636.28117900001"/>
    <x v="2"/>
    <n v="3.1858018477326438E-6"/>
    <s v=""/>
    <n v="1.5417210711141946E-3"/>
    <x v="2"/>
    <s v="DMR"/>
  </r>
  <r>
    <s v="110000464006"/>
    <s v="VALERO PORT ARTHUR REFINERY"/>
    <s v="Carbon, tot organic (TOC)"/>
    <s v="7440440"/>
    <n v="34393.235200000003"/>
    <x v="2"/>
    <n v="3.1858018477326438E-6"/>
    <s v=""/>
    <n v="3.0019186917716004E-4"/>
    <x v="3"/>
    <s v="DMR"/>
  </r>
  <r>
    <s v="110000464006"/>
    <s v="VALERO PORT ARTHUR REFINERY"/>
    <s v="CHROMIUM AND CHROMIUM COMPOUNDS"/>
    <s v="N090"/>
    <m/>
    <x v="2"/>
    <n v="3.1858018477326438E-6"/>
    <s v="112"/>
    <n v="5.9074471348684786E-2"/>
    <x v="59"/>
    <s v="TRI"/>
  </r>
  <r>
    <s v="110000464006"/>
    <s v="VALERO PORT ARTHUR REFINERY"/>
    <s v="Copper, total (as Cu)"/>
    <s v="7440508"/>
    <n v="20.544217687100002"/>
    <x v="2"/>
    <n v="3.1858018477326438E-6"/>
    <s v=""/>
    <n v="1.7931453881584888E-7"/>
    <x v="68"/>
    <s v="DMR"/>
  </r>
  <r>
    <s v="110000464006"/>
    <s v="VALERO PORT ARTHUR REFINERY"/>
    <s v="CRESOL (MIXED ISOMERS)"/>
    <s v="1319773"/>
    <m/>
    <x v="2"/>
    <n v="3.1858018477326438E-6"/>
    <s v="70"/>
    <n v="3.6921544592927992E-2"/>
    <x v="61"/>
    <s v="TRI"/>
  </r>
  <r>
    <s v="110000464006"/>
    <s v="VALERO PORT ARTHUR REFINERY"/>
    <s v="Cyanide, total (as CN)"/>
    <s v="57125"/>
    <n v="0"/>
    <x v="2"/>
    <n v="3.1858018477326438E-6"/>
    <s v=""/>
    <n v="0"/>
    <x v="85"/>
    <s v="DMR"/>
  </r>
  <r>
    <s v="110000464006"/>
    <s v="VALERO PORT ARTHUR REFINERY"/>
    <s v="Lead, total (as Pb)"/>
    <s v="7439921"/>
    <n v="52.938775510200003"/>
    <x v="2"/>
    <n v="3.1858018477326438E-6"/>
    <s v=""/>
    <n v="4.6206150366328434E-7"/>
    <x v="57"/>
    <s v="DMR"/>
  </r>
  <r>
    <s v="110000464006"/>
    <s v="VALERO PORT ARTHUR REFINERY"/>
    <s v="Mercury, total (as Hg)"/>
    <s v="7439976"/>
    <n v="0"/>
    <x v="2"/>
    <n v="3.1858018477326438E-6"/>
    <s v=""/>
    <n v="0"/>
    <x v="64"/>
    <s v="DMR"/>
  </r>
  <r>
    <s v="110000464006"/>
    <s v="VALERO PORT ARTHUR REFINERY"/>
    <s v="NICKEL AND NICKEL COMPOUNDS"/>
    <s v="N495"/>
    <m/>
    <x v="2"/>
    <n v="3.1858018477326438E-6"/>
    <s v="1965"/>
    <n v="1.0364405017871929"/>
    <x v="45"/>
    <s v="TRI"/>
  </r>
  <r>
    <s v="110000464006"/>
    <s v="VALERO PORT ARTHUR REFINERY"/>
    <s v="NITRATE COMPOUNDS"/>
    <s v="14797558"/>
    <m/>
    <x v="2"/>
    <n v="3.1858018477326438E-6"/>
    <s v="19716"/>
    <n v="10.39921675991669"/>
    <x v="15"/>
    <s v="TRI"/>
  </r>
  <r>
    <s v="110000464006"/>
    <s v="VALERO PORT ARTHUR REFINERY"/>
    <s v="Nitrogen, ammonia total (as N)"/>
    <s v="7664417"/>
    <n v="5038.54875283"/>
    <x v="2"/>
    <n v="3.1858018477326438E-6"/>
    <s v=""/>
    <n v="4.3977583360703618E-5"/>
    <x v="16"/>
    <s v="DMR"/>
  </r>
  <r>
    <s v="110000464006"/>
    <s v="VALERO PORT ARTHUR REFINERY"/>
    <s v="Oil &amp; grease"/>
    <s v=""/>
    <n v="38874.896471699998"/>
    <x v="2"/>
    <n v="3.1858018477326438E-6"/>
    <s v=""/>
    <n v="3.3930881372590981E-4"/>
    <x v="28"/>
    <s v="DMR"/>
  </r>
  <r>
    <s v="110000464006"/>
    <s v="VALERO PORT ARTHUR REFINERY"/>
    <s v="Chemical Oxygen Demand (COD)"/>
    <s v=""/>
    <n v="2080181.4058999999"/>
    <x v="2"/>
    <n v="3.1858018477326438E-6"/>
    <s v=""/>
    <n v="1.815628977132961E-2"/>
    <x v="18"/>
    <s v="DMR"/>
  </r>
  <r>
    <s v="110000464006"/>
    <s v="VALERO PORT ARTHUR REFINERY"/>
    <s v="PHENANTHRENE"/>
    <s v="85018"/>
    <m/>
    <x v="2"/>
    <n v="3.1858018477326438E-6"/>
    <s v="70"/>
    <n v="3.6921544592927992E-2"/>
    <x v="46"/>
    <s v="TRI"/>
  </r>
  <r>
    <s v="110000464006"/>
    <s v="VALERO PORT ARTHUR REFINERY"/>
    <s v="PHENOL"/>
    <s v="108952"/>
    <m/>
    <x v="2"/>
    <n v="3.1858018477326438E-6"/>
    <s v="155"/>
    <n v="8.1754848741483407E-2"/>
    <x v="19"/>
    <s v="TRI"/>
  </r>
  <r>
    <s v="110000464006"/>
    <s v="VALERO PORT ARTHUR REFINERY"/>
    <s v="Phenolics, total recoverable"/>
    <s v=""/>
    <n v="70.158730158699996"/>
    <x v="2"/>
    <n v="3.1858018477326438E-6"/>
    <s v=""/>
    <n v="6.1236112924428057E-7"/>
    <x v="20"/>
    <s v="DMR"/>
  </r>
  <r>
    <s v="110000464006"/>
    <s v="VALERO PORT ARTHUR REFINERY"/>
    <s v="Silver, total (as Ag)"/>
    <s v="7440224"/>
    <n v="0"/>
    <x v="2"/>
    <n v="3.1858018477326438E-6"/>
    <s v=""/>
    <n v="0"/>
    <x v="58"/>
    <s v="DMR"/>
  </r>
  <r>
    <s v="110000464006"/>
    <s v="VALERO PORT ARTHUR REFINERY"/>
    <s v="Solids, total suspended"/>
    <s v=""/>
    <n v="826503.95499999996"/>
    <x v="2"/>
    <n v="3.1858018477326438E-6"/>
    <s v=""/>
    <n v="7.2139118547872262E-3"/>
    <x v="22"/>
    <s v="DMR"/>
  </r>
  <r>
    <s v="110000464006"/>
    <s v="VALERO PORT ARTHUR REFINERY"/>
    <s v="Sulfide, total (as S)"/>
    <s v="18496258"/>
    <n v="202.267573696"/>
    <x v="2"/>
    <n v="3.1858018477326438E-6"/>
    <s v=""/>
    <n v="1.7654367397729191E-6"/>
    <x v="23"/>
    <s v="DMR"/>
  </r>
  <r>
    <s v="110000464006"/>
    <s v="VALERO PORT ARTHUR REFINERY"/>
    <s v="ZINC AND ZINC COMPOUNDS"/>
    <s v="7440666"/>
    <m/>
    <x v="2"/>
    <n v="3.1858018477326438E-6"/>
    <s v="1551"/>
    <n v="0.81807593805187595"/>
    <x v="29"/>
    <s v="TRI"/>
  </r>
  <r>
    <s v="110000448837"/>
    <s v="Valero Refining - Meraux LLC - Meraux Refinery"/>
    <s v="1,2,4-TRIMETHYLBENZENE"/>
    <s v="95636"/>
    <m/>
    <x v="0"/>
    <n v="7.8633336646456609E-6"/>
    <s v="0"/>
    <n v="0"/>
    <x v="0"/>
    <s v="TRI"/>
  </r>
  <r>
    <s v="110000448837"/>
    <s v="Valero Refining - Meraux LLC - Meraux Refinery"/>
    <s v="1,3-BUTADIENE"/>
    <s v="106990"/>
    <m/>
    <x v="0"/>
    <n v="7.8633336646456609E-6"/>
    <s v="0"/>
    <n v="0"/>
    <x v="30"/>
    <s v="TRI"/>
  </r>
  <r>
    <s v="110000448837"/>
    <s v="Valero Refining - Meraux LLC - Meraux Refinery"/>
    <s v="AMMONIA"/>
    <s v="7664417"/>
    <m/>
    <x v="0"/>
    <n v="7.8633336646456609E-6"/>
    <s v="343"/>
    <n v="0.44654361704858636"/>
    <x v="16"/>
    <s v="TRI"/>
  </r>
  <r>
    <s v="110000448837"/>
    <s v="Valero Refining - Meraux LLC - Meraux Refinery"/>
    <s v="BENZENE"/>
    <s v="71432"/>
    <m/>
    <x v="0"/>
    <n v="7.8633336646456609E-6"/>
    <s v="0"/>
    <n v="0"/>
    <x v="1"/>
    <s v="TRI"/>
  </r>
  <r>
    <s v="110000448837"/>
    <s v="Valero Refining - Meraux LLC - Meraux Refinery"/>
    <s v="Carbon, tot organic (TOC)"/>
    <s v="7440440"/>
    <n v="52505.725903999999"/>
    <x v="0"/>
    <n v="7.8633336646456609E-6"/>
    <s v=""/>
    <n v="1.1311508002399477E-3"/>
    <x v="3"/>
    <s v="DMR"/>
  </r>
  <r>
    <s v="110000448837"/>
    <s v="Valero Refining - Meraux LLC - Meraux Refinery"/>
    <s v="CRESOL (MIXED ISOMERS)"/>
    <s v="1319773"/>
    <m/>
    <x v="0"/>
    <n v="7.8633336646456609E-6"/>
    <s v="0"/>
    <n v="0"/>
    <x v="61"/>
    <s v="TRI"/>
  </r>
  <r>
    <s v="110000448837"/>
    <s v="Valero Refining - Meraux LLC - Meraux Refinery"/>
    <s v="CUMENE"/>
    <s v="98828"/>
    <m/>
    <x v="0"/>
    <n v="7.8633336646456609E-6"/>
    <s v="0"/>
    <n v="0"/>
    <x v="6"/>
    <s v="TRI"/>
  </r>
  <r>
    <s v="110000448837"/>
    <s v="Valero Refining - Meraux LLC - Meraux Refinery"/>
    <s v="CYCLOHEXANE"/>
    <s v="110827"/>
    <m/>
    <x v="0"/>
    <n v="7.8633336646456609E-6"/>
    <s v="0"/>
    <n v="0"/>
    <x v="8"/>
    <s v="TRI"/>
  </r>
  <r>
    <s v="110000448837"/>
    <s v="Valero Refining - Meraux LLC - Meraux Refinery"/>
    <s v="ETHYLBENZENE"/>
    <s v="100414"/>
    <m/>
    <x v="0"/>
    <n v="7.8633336646456609E-6"/>
    <s v="0"/>
    <n v="0"/>
    <x v="10"/>
    <s v="TRI"/>
  </r>
  <r>
    <s v="110000448837"/>
    <s v="Valero Refining - Meraux LLC - Meraux Refinery"/>
    <s v="HYDROGEN FLUORIDE"/>
    <s v="7664393"/>
    <m/>
    <x v="0"/>
    <n v="7.8633336646456609E-6"/>
    <s v="0"/>
    <n v="0"/>
    <x v="77"/>
    <s v="TRI"/>
  </r>
  <r>
    <s v="110000448837"/>
    <s v="Valero Refining - Meraux LLC - Meraux Refinery"/>
    <s v="MERCURY AND MERCURY COMPOUNDS"/>
    <s v="N458"/>
    <m/>
    <x v="0"/>
    <n v="7.8633336646456609E-6"/>
    <s v="0"/>
    <n v="0"/>
    <x v="12"/>
    <s v="TRI"/>
  </r>
  <r>
    <s v="110000448837"/>
    <s v="Valero Refining - Meraux LLC - Meraux Refinery"/>
    <s v="NAPHTHALENE"/>
    <s v="91203"/>
    <m/>
    <x v="0"/>
    <n v="7.8633336646456609E-6"/>
    <s v="0"/>
    <n v="0"/>
    <x v="13"/>
    <s v="TRI"/>
  </r>
  <r>
    <s v="110000448837"/>
    <s v="Valero Refining - Meraux LLC - Meraux Refinery"/>
    <s v="N-HEXANE"/>
    <s v="110543"/>
    <m/>
    <x v="0"/>
    <n v="7.8633336646456609E-6"/>
    <s v="0"/>
    <n v="0"/>
    <x v="14"/>
    <s v="TRI"/>
  </r>
  <r>
    <s v="110000448837"/>
    <s v="Valero Refining - Meraux LLC - Meraux Refinery"/>
    <s v="NITRATE COMPOUNDS"/>
    <s v="14797558"/>
    <m/>
    <x v="0"/>
    <n v="7.8633336646456609E-6"/>
    <s v="37036"/>
    <n v="48.216295629770983"/>
    <x v="15"/>
    <s v="TRI"/>
  </r>
  <r>
    <s v="110000448837"/>
    <s v="Valero Refining - Meraux LLC - Meraux Refinery"/>
    <s v="Nitrogen, total (as N)"/>
    <s v="7727379"/>
    <n v="306461.32950508496"/>
    <x v="0"/>
    <n v="7.8633336646456609E-6"/>
    <s v=""/>
    <n v="6.6022128471490442E-3"/>
    <x v="79"/>
    <s v="DMR"/>
  </r>
  <r>
    <s v="110000448837"/>
    <s v="Valero Refining - Meraux LLC - Meraux Refinery"/>
    <s v="Oil and grease"/>
    <s v=""/>
    <n v="5074.5222479999993"/>
    <x v="0"/>
    <n v="7.8633336646456609E-6"/>
    <s v=""/>
    <n v="1.093223606155939E-4"/>
    <x v="17"/>
    <s v="DMR"/>
  </r>
  <r>
    <s v="110000448837"/>
    <s v="Valero Refining - Meraux LLC - Meraux Refinery"/>
    <s v="PHENOL"/>
    <s v="108952"/>
    <m/>
    <x v="0"/>
    <n v="7.8633336646456609E-6"/>
    <s v="26"/>
    <n v="3.3848787298143571E-2"/>
    <x v="19"/>
    <s v="TRI"/>
  </r>
  <r>
    <s v="110000448837"/>
    <s v="Valero Refining - Meraux LLC - Meraux Refinery"/>
    <s v="POLYCYCLIC AROMATIC COMPOUNDS"/>
    <s v="N590"/>
    <m/>
    <x v="0"/>
    <n v="7.8633336646456609E-6"/>
    <s v="0"/>
    <n v="0"/>
    <x v="21"/>
    <s v="TRI"/>
  </r>
  <r>
    <s v="110000448837"/>
    <s v="Valero Refining - Meraux LLC - Meraux Refinery"/>
    <s v="TOLUENE"/>
    <s v="108883"/>
    <m/>
    <x v="0"/>
    <n v="7.8633336646456609E-6"/>
    <s v="0"/>
    <n v="0"/>
    <x v="24"/>
    <s v="TRI"/>
  </r>
  <r>
    <s v="110000448837"/>
    <s v="Valero Refining - Meraux LLC - Meraux Refinery"/>
    <s v="XYLENE (MIXED ISOMERS)"/>
    <s v="1330207"/>
    <m/>
    <x v="0"/>
    <n v="7.8633336646456609E-6"/>
    <s v="0"/>
    <n v="0"/>
    <x v="25"/>
    <s v="TRI"/>
  </r>
  <r>
    <s v="110000448659"/>
    <s v="Valero Refining Co - New Orleans LLC - St Charles Refinery"/>
    <s v="1,2,4-TRIMETHYLBENZENE"/>
    <s v="95636"/>
    <m/>
    <x v="3"/>
    <n v="3.9316668323228305E-6"/>
    <s v="9"/>
    <n v="5.8584439554479261E-3"/>
    <x v="0"/>
    <s v="TRI"/>
  </r>
  <r>
    <s v="110000448659"/>
    <s v="Valero Refining Co - New Orleans LLC - St Charles Refinery"/>
    <s v="1,3-BUTADIENE"/>
    <s v="106990"/>
    <m/>
    <x v="3"/>
    <n v="3.9316668323228305E-6"/>
    <s v="0"/>
    <n v="0"/>
    <x v="30"/>
    <s v="TRI"/>
  </r>
  <r>
    <s v="110000448659"/>
    <s v="Valero Refining Co - New Orleans LLC - St Charles Refinery"/>
    <s v="AMMONIA"/>
    <s v="7664417"/>
    <m/>
    <x v="3"/>
    <n v="3.9316668323228305E-6"/>
    <s v="3200"/>
    <n v="2.0830022952703739"/>
    <x v="16"/>
    <s v="TRI"/>
  </r>
  <r>
    <s v="110000448659"/>
    <s v="Valero Refining Co - New Orleans LLC - St Charles Refinery"/>
    <s v="ANTIMONY AND ANTIMONY COMPOUNDS"/>
    <s v="7440360"/>
    <m/>
    <x v="3"/>
    <n v="3.9316668323228305E-6"/>
    <s v="1900"/>
    <n v="1.2367826128167845"/>
    <x v="92"/>
    <s v="TRI"/>
  </r>
  <r>
    <s v="110000448659"/>
    <s v="Valero Refining Co - New Orleans LLC - St Charles Refinery"/>
    <s v="BENZENE"/>
    <s v="71432"/>
    <m/>
    <x v="3"/>
    <n v="3.9316668323228305E-6"/>
    <s v="9"/>
    <n v="5.8584439554479261E-3"/>
    <x v="1"/>
    <s v="TRI"/>
  </r>
  <r>
    <s v="110000448659"/>
    <s v="Valero Refining Co - New Orleans LLC - St Charles Refinery"/>
    <s v="BENZO(G,H,I)PERYLENE"/>
    <s v="191242"/>
    <m/>
    <x v="3"/>
    <n v="3.9316668323228305E-6"/>
    <s v="0"/>
    <n v="0"/>
    <x v="32"/>
    <s v="TRI"/>
  </r>
  <r>
    <s v="110000448659"/>
    <s v="Valero Refining Co - New Orleans LLC - St Charles Refinery"/>
    <s v="COBALT AND COBALT COMPOUNDS"/>
    <s v="7440484"/>
    <m/>
    <x v="3"/>
    <n v="3.9316668323228305E-6"/>
    <s v="0"/>
    <n v="0"/>
    <x v="76"/>
    <s v="TRI"/>
  </r>
  <r>
    <s v="110000448659"/>
    <s v="Valero Refining Co - New Orleans LLC - St Charles Refinery"/>
    <s v="CRESOL (MIXED ISOMERS)"/>
    <s v="1319773"/>
    <m/>
    <x v="3"/>
    <n v="3.9316668323228305E-6"/>
    <s v="9"/>
    <n v="5.8584439554479261E-3"/>
    <x v="61"/>
    <s v="TRI"/>
  </r>
  <r>
    <s v="110000448659"/>
    <s v="Valero Refining Co - New Orleans LLC - St Charles Refinery"/>
    <s v="CUMENE"/>
    <s v="98828"/>
    <m/>
    <x v="3"/>
    <n v="3.9316668323228305E-6"/>
    <s v="9"/>
    <n v="5.8584439554479261E-3"/>
    <x v="6"/>
    <s v="TRI"/>
  </r>
  <r>
    <s v="110000448659"/>
    <s v="Valero Refining Co - New Orleans LLC - St Charles Refinery"/>
    <s v="CYANIDE COMPOUNDS"/>
    <s v="N106"/>
    <m/>
    <x v="3"/>
    <n v="3.9316668323228305E-6"/>
    <s v="97"/>
    <n v="6.3141007075383213E-2"/>
    <x v="7"/>
    <s v="TRI"/>
  </r>
  <r>
    <s v="110000448659"/>
    <s v="Valero Refining Co - New Orleans LLC - St Charles Refinery"/>
    <s v="CYCLOHEXANE"/>
    <s v="110827"/>
    <m/>
    <x v="3"/>
    <n v="3.9316668323228305E-6"/>
    <s v="9"/>
    <n v="5.8584439554479261E-3"/>
    <x v="8"/>
    <s v="TRI"/>
  </r>
  <r>
    <s v="110000448659"/>
    <s v="Valero Refining Co - New Orleans LLC - St Charles Refinery"/>
    <s v="DIETHANOLAMINE"/>
    <s v="111422"/>
    <m/>
    <x v="3"/>
    <n v="3.9316668323228305E-6"/>
    <s v="0"/>
    <n v="0"/>
    <x v="9"/>
    <s v="TRI"/>
  </r>
  <r>
    <s v="110000448659"/>
    <s v="Valero Refining Co - New Orleans LLC - St Charles Refinery"/>
    <s v="ETHYLBENZENE"/>
    <s v="100414"/>
    <m/>
    <x v="3"/>
    <n v="3.9316668323228305E-6"/>
    <s v="9"/>
    <n v="5.8584439554479261E-3"/>
    <x v="10"/>
    <s v="TRI"/>
  </r>
  <r>
    <s v="110000448659"/>
    <s v="Valero Refining Co - New Orleans LLC - St Charles Refinery"/>
    <s v="LEAD AND LEAD COMPOUNDS"/>
    <s v="7439921"/>
    <m/>
    <x v="3"/>
    <n v="3.9316668323228305E-6"/>
    <s v="46.6169"/>
    <n v="3.0344721780746715E-2"/>
    <x v="11"/>
    <s v="TRI"/>
  </r>
  <r>
    <s v="110000448659"/>
    <s v="Valero Refining Co - New Orleans LLC - St Charles Refinery"/>
    <s v="MERCURY AND MERCURY COMPOUNDS"/>
    <s v="N458"/>
    <m/>
    <x v="3"/>
    <n v="3.9316668323228305E-6"/>
    <s v="0.9141"/>
    <n v="5.9502262440832773E-4"/>
    <x v="12"/>
    <s v="TRI"/>
  </r>
  <r>
    <s v="110000448659"/>
    <s v="Valero Refining Co - New Orleans LLC - St Charles Refinery"/>
    <s v="MOLYBDENUM TRIOXIDE"/>
    <s v="1313275"/>
    <m/>
    <x v="3"/>
    <n v="3.9316668323228305E-6"/>
    <s v="0"/>
    <n v="0"/>
    <x v="44"/>
    <s v="TRI"/>
  </r>
  <r>
    <s v="110000448659"/>
    <s v="Valero Refining Co - New Orleans LLC - St Charles Refinery"/>
    <s v="NAPHTHALENE"/>
    <s v="91203"/>
    <m/>
    <x v="3"/>
    <n v="3.9316668323228305E-6"/>
    <s v="9"/>
    <n v="5.8584439554479261E-3"/>
    <x v="13"/>
    <s v="TRI"/>
  </r>
  <r>
    <s v="110000448659"/>
    <s v="Valero Refining Co - New Orleans LLC - St Charles Refinery"/>
    <s v="N-HEXANE"/>
    <s v="110543"/>
    <m/>
    <x v="3"/>
    <n v="3.9316668323228305E-6"/>
    <s v="9"/>
    <n v="5.8584439554479261E-3"/>
    <x v="14"/>
    <s v="TRI"/>
  </r>
  <r>
    <s v="110000448659"/>
    <s v="Valero Refining Co - New Orleans LLC - St Charles Refinery"/>
    <s v="NICKEL AND NICKEL COMPOUNDS"/>
    <s v="N495"/>
    <m/>
    <x v="3"/>
    <n v="3.9316668323228305E-6"/>
    <s v="0"/>
    <n v="0"/>
    <x v="45"/>
    <s v="TRI"/>
  </r>
  <r>
    <s v="110000448659"/>
    <s v="Valero Refining Co - New Orleans LLC - St Charles Refinery"/>
    <s v="NITRATE COMPOUNDS"/>
    <s v="14797558"/>
    <m/>
    <x v="3"/>
    <n v="3.9316668323228305E-6"/>
    <s v="10000"/>
    <n v="6.5093821727199179"/>
    <x v="15"/>
    <s v="TRI"/>
  </r>
  <r>
    <s v="110000448659"/>
    <s v="Valero Refining Co - New Orleans LLC - St Charles Refinery"/>
    <s v="PHENOL"/>
    <s v="108952"/>
    <m/>
    <x v="3"/>
    <n v="3.9316668323228305E-6"/>
    <s v="200"/>
    <n v="0.13018764345439837"/>
    <x v="19"/>
    <s v="TRI"/>
  </r>
  <r>
    <s v="110000448659"/>
    <s v="Valero Refining Co - New Orleans LLC - St Charles Refinery"/>
    <s v="POLYCYCLIC AROMATIC COMPOUNDS"/>
    <s v="N590"/>
    <m/>
    <x v="3"/>
    <n v="3.9316668323228305E-6"/>
    <s v="9.1406"/>
    <n v="5.9499658687963679E-3"/>
    <x v="21"/>
    <s v="TRI"/>
  </r>
  <r>
    <s v="110000448659"/>
    <s v="Valero Refining Co - New Orleans LLC - St Charles Refinery"/>
    <s v="TOLUENE"/>
    <s v="108883"/>
    <m/>
    <x v="3"/>
    <n v="3.9316668323228305E-6"/>
    <s v="9"/>
    <n v="5.8584439554479261E-3"/>
    <x v="24"/>
    <s v="TRI"/>
  </r>
  <r>
    <s v="110000448659"/>
    <s v="Valero Refining Co - New Orleans LLC - St Charles Refinery"/>
    <s v="VANADIUM AND VANADIUM COMPOUNDS"/>
    <s v="7440622"/>
    <m/>
    <x v="3"/>
    <n v="3.9316668323228305E-6"/>
    <s v="1600"/>
    <n v="1.041501147635187"/>
    <x v="78"/>
    <s v="TRI"/>
  </r>
  <r>
    <s v="110000448659"/>
    <s v="Valero Refining Co - New Orleans LLC - St Charles Refinery"/>
    <s v="XYLENE (MIXED ISOMERS)"/>
    <s v="1330207"/>
    <m/>
    <x v="3"/>
    <n v="3.9316668323228305E-6"/>
    <s v="25"/>
    <n v="1.6273455431799796E-2"/>
    <x v="25"/>
    <s v="TRI"/>
  </r>
  <r>
    <s v="110000374087"/>
    <s v="Valero Refining Co. (Prev. Premcor Refining, Prev. Williams Refining Llc)"/>
    <s v="1,2,4-TRIMETHYLBENZENE"/>
    <s v="95636"/>
    <m/>
    <x v="1"/>
    <n v="5.1282051282051279E-6"/>
    <s v="0"/>
    <n v="0"/>
    <x v="0"/>
    <s v="TRI"/>
  </r>
  <r>
    <s v="110000374087"/>
    <s v="Valero Refining Co. (Prev. Premcor Refining, Prev. Williams Refining Llc)"/>
    <s v="AMMONIA"/>
    <s v="7664417"/>
    <m/>
    <x v="1"/>
    <n v="5.1282051282051279E-6"/>
    <s v="0"/>
    <n v="0"/>
    <x v="16"/>
    <s v="TRI"/>
  </r>
  <r>
    <s v="110000374087"/>
    <s v="Valero Refining Co. (Prev. Premcor Refining, Prev. Williams Refining Llc)"/>
    <s v="ANTHRACENE"/>
    <s v="120127"/>
    <m/>
    <x v="1"/>
    <n v="5.1282051282051279E-6"/>
    <s v="0"/>
    <n v="0"/>
    <x v="31"/>
    <s v="TRI"/>
  </r>
  <r>
    <s v="110000374087"/>
    <s v="Valero Refining Co. (Prev. Premcor Refining, Prev. Williams Refining Llc)"/>
    <s v="ANTIMONY AND ANTIMONY COMPOUNDS"/>
    <s v="7440360"/>
    <m/>
    <x v="1"/>
    <n v="5.1282051282051279E-6"/>
    <s v="0"/>
    <n v="0"/>
    <x v="92"/>
    <s v="TRI"/>
  </r>
  <r>
    <s v="110000374087"/>
    <s v="Valero Refining Co. (Prev. Premcor Refining, Prev. Williams Refining Llc)"/>
    <s v="BENZENE"/>
    <s v="71432"/>
    <m/>
    <x v="1"/>
    <n v="5.1282051282051279E-6"/>
    <s v="7"/>
    <n v="5.9432840889794532E-3"/>
    <x v="1"/>
    <s v="TRI"/>
  </r>
  <r>
    <s v="110000374087"/>
    <s v="Valero Refining Co. (Prev. Premcor Refining, Prev. Williams Refining Llc)"/>
    <s v="BENZO(G,H,I)PERYLENE"/>
    <s v="191242"/>
    <m/>
    <x v="1"/>
    <n v="5.1282051282051279E-6"/>
    <s v="0"/>
    <n v="0"/>
    <x v="32"/>
    <s v="TRI"/>
  </r>
  <r>
    <s v="110000374087"/>
    <s v="Valero Refining Co. (Prev. Premcor Refining, Prev. Williams Refining Llc)"/>
    <s v="BOD, 5-day, 20 deg. C"/>
    <s v=""/>
    <n v="30560.226259999999"/>
    <x v="1"/>
    <n v="5.1282051282051279E-6"/>
    <s v=""/>
    <n v="4.2936742198805756E-4"/>
    <x v="2"/>
    <s v="DMR"/>
  </r>
  <r>
    <s v="110000374087"/>
    <s v="Valero Refining Co. (Prev. Premcor Refining, Prev. Williams Refining Llc)"/>
    <s v="Carbon, tot organic (TOC)"/>
    <s v="7440440"/>
    <n v="70812.711482500003"/>
    <x v="1"/>
    <n v="5.1282051282051279E-6"/>
    <s v=""/>
    <n v="9.9490989086757999E-4"/>
    <x v="3"/>
    <s v="DMR"/>
  </r>
  <r>
    <s v="110000374087"/>
    <s v="Valero Refining Co. (Prev. Premcor Refining, Prev. Williams Refining Llc)"/>
    <s v="CERTAIN GLYCOL ETHERS"/>
    <s v="N230"/>
    <m/>
    <x v="1"/>
    <n v="5.1282051282051279E-6"/>
    <s v="0"/>
    <n v="0"/>
    <x v="117"/>
    <s v="TRI"/>
  </r>
  <r>
    <s v="110000374087"/>
    <s v="Valero Refining Co. (Prev. Premcor Refining, Prev. Williams Refining Llc)"/>
    <s v="COBALT AND COBALT COMPOUNDS"/>
    <s v="7440484"/>
    <m/>
    <x v="1"/>
    <n v="5.1282051282051279E-6"/>
    <s v="0"/>
    <n v="0"/>
    <x v="76"/>
    <s v="TRI"/>
  </r>
  <r>
    <s v="110000374087"/>
    <s v="Valero Refining Co. (Prev. Premcor Refining, Prev. Williams Refining Llc)"/>
    <s v="Copper, total (as Cu)"/>
    <s v="7440508"/>
    <n v="43.783577959999995"/>
    <x v="1"/>
    <n v="5.1282051282051279E-6"/>
    <s v=""/>
    <n v="6.1515388774148212E-7"/>
    <x v="68"/>
    <s v="DMR"/>
  </r>
  <r>
    <s v="110000374087"/>
    <s v="Valero Refining Co. (Prev. Premcor Refining, Prev. Williams Refining Llc)"/>
    <s v="CRESOL (MIXED ISOMERS)"/>
    <s v="1319773"/>
    <m/>
    <x v="1"/>
    <n v="5.1282051282051279E-6"/>
    <s v="29"/>
    <n v="2.4622176940057732E-2"/>
    <x v="61"/>
    <s v="TRI"/>
  </r>
  <r>
    <s v="110000374087"/>
    <s v="Valero Refining Co. (Prev. Premcor Refining, Prev. Williams Refining Llc)"/>
    <s v="CUMENE"/>
    <s v="98828"/>
    <m/>
    <x v="1"/>
    <n v="5.1282051282051279E-6"/>
    <s v="0"/>
    <n v="0"/>
    <x v="6"/>
    <s v="TRI"/>
  </r>
  <r>
    <s v="110000374087"/>
    <s v="Valero Refining Co. (Prev. Premcor Refining, Prev. Williams Refining Llc)"/>
    <s v="CYCLOHEXANE"/>
    <s v="110827"/>
    <m/>
    <x v="1"/>
    <n v="5.1282051282051279E-6"/>
    <s v="0"/>
    <n v="0"/>
    <x v="8"/>
    <s v="TRI"/>
  </r>
  <r>
    <s v="110000374087"/>
    <s v="Valero Refining Co. (Prev. Premcor Refining, Prev. Williams Refining Llc)"/>
    <s v="ETHYLBENZENE"/>
    <s v="100414"/>
    <m/>
    <x v="1"/>
    <n v="5.1282051282051279E-6"/>
    <s v="7"/>
    <n v="5.9432840889794532E-3"/>
    <x v="10"/>
    <s v="TRI"/>
  </r>
  <r>
    <s v="110000374087"/>
    <s v="Valero Refining Co. (Prev. Premcor Refining, Prev. Williams Refining Llc)"/>
    <s v="ETHYLENE GLYCOL"/>
    <s v="107211"/>
    <m/>
    <x v="1"/>
    <n v="5.1282051282051279E-6"/>
    <s v="0"/>
    <n v="0"/>
    <x v="39"/>
    <s v="TRI"/>
  </r>
  <r>
    <s v="110000374087"/>
    <s v="Valero Refining Co. (Prev. Premcor Refining, Prev. Williams Refining Llc)"/>
    <s v="Lead, total (as Pb)"/>
    <s v="7439921"/>
    <n v="33.835538159999999"/>
    <x v="1"/>
    <n v="5.1282051282051279E-6"/>
    <s v=""/>
    <n v="4.7538515152792409E-7"/>
    <x v="57"/>
    <s v="DMR"/>
  </r>
  <r>
    <s v="110000374087"/>
    <s v="Valero Refining Co. (Prev. Premcor Refining, Prev. Williams Refining Llc)"/>
    <s v="MERCURY AND MERCURY COMPOUNDS"/>
    <s v="N458"/>
    <m/>
    <x v="1"/>
    <n v="5.1282051282051279E-6"/>
    <s v="0"/>
    <n v="0"/>
    <x v="12"/>
    <s v="TRI"/>
  </r>
  <r>
    <s v="110000374087"/>
    <s v="Valero Refining Co. (Prev. Premcor Refining, Prev. Williams Refining Llc)"/>
    <s v="METHANOL"/>
    <s v="67561"/>
    <m/>
    <x v="1"/>
    <n v="5.1282051282051279E-6"/>
    <s v="0"/>
    <n v="0"/>
    <x v="42"/>
    <s v="TRI"/>
  </r>
  <r>
    <s v="110000374087"/>
    <s v="Valero Refining Co. (Prev. Premcor Refining, Prev. Williams Refining Llc)"/>
    <s v="NAPHTHALENE"/>
    <s v="91203"/>
    <m/>
    <x v="1"/>
    <n v="5.1282051282051279E-6"/>
    <s v="0"/>
    <n v="0"/>
    <x v="13"/>
    <s v="TRI"/>
  </r>
  <r>
    <s v="110000374087"/>
    <s v="Valero Refining Co. (Prev. Premcor Refining, Prev. Williams Refining Llc)"/>
    <s v="N-HEXANE"/>
    <s v="110543"/>
    <m/>
    <x v="1"/>
    <n v="5.1282051282051279E-6"/>
    <s v="0"/>
    <n v="0"/>
    <x v="14"/>
    <s v="TRI"/>
  </r>
  <r>
    <s v="110000374087"/>
    <s v="Valero Refining Co. (Prev. Premcor Refining, Prev. Williams Refining Llc)"/>
    <s v="NICKEL AND NICKEL COMPOUNDS"/>
    <s v="N495"/>
    <m/>
    <x v="1"/>
    <n v="5.1282051282051279E-6"/>
    <s v="0"/>
    <n v="0"/>
    <x v="45"/>
    <s v="TRI"/>
  </r>
  <r>
    <s v="110000374087"/>
    <s v="Valero Refining Co. (Prev. Premcor Refining, Prev. Williams Refining Llc)"/>
    <s v="Chemical Oxygen Demand (COD)"/>
    <s v=""/>
    <n v="68594.375215499997"/>
    <x v="1"/>
    <n v="5.1282051282051279E-6"/>
    <s v=""/>
    <n v="9.6374253903055843E-4"/>
    <x v="18"/>
    <s v="DMR"/>
  </r>
  <r>
    <s v="110000374087"/>
    <s v="Valero Refining Co. (Prev. Premcor Refining, Prev. Williams Refining Llc)"/>
    <s v="PHENANTHRENE"/>
    <s v="85018"/>
    <m/>
    <x v="1"/>
    <n v="5.1282051282051279E-6"/>
    <s v="0"/>
    <n v="0"/>
    <x v="46"/>
    <s v="TRI"/>
  </r>
  <r>
    <s v="110000374087"/>
    <s v="Valero Refining Co. (Prev. Premcor Refining, Prev. Williams Refining Llc)"/>
    <s v="PHENOL"/>
    <s v="108952"/>
    <m/>
    <x v="1"/>
    <n v="5.1282051282051279E-6"/>
    <s v="33"/>
    <n v="2.801833927661742E-2"/>
    <x v="19"/>
    <s v="TRI"/>
  </r>
  <r>
    <s v="110000374087"/>
    <s v="Valero Refining Co. (Prev. Premcor Refining, Prev. Williams Refining Llc)"/>
    <s v="Phenols"/>
    <s v=""/>
    <n v="25.903328800000001"/>
    <x v="1"/>
    <n v="5.1282051282051279E-6"/>
    <s v=""/>
    <n v="3.6393858517737967E-7"/>
    <x v="73"/>
    <s v="DMR"/>
  </r>
  <r>
    <s v="110000374087"/>
    <s v="Valero Refining Co. (Prev. Premcor Refining, Prev. Williams Refining Llc)"/>
    <s v="POLYCYCLIC AROMATIC COMPOUNDS"/>
    <s v="N590"/>
    <m/>
    <x v="1"/>
    <n v="5.1282051282051279E-6"/>
    <s v="0"/>
    <n v="0"/>
    <x v="21"/>
    <s v="TRI"/>
  </r>
  <r>
    <s v="110000374087"/>
    <s v="Valero Refining Co. (Prev. Premcor Refining, Prev. Williams Refining Llc)"/>
    <s v="Solids, total suspended"/>
    <s v=""/>
    <n v="657988.23042000004"/>
    <x v="1"/>
    <n v="5.1282051282051279E-6"/>
    <s v=""/>
    <n v="9.2446537466807158E-3"/>
    <x v="22"/>
    <s v="DMR"/>
  </r>
  <r>
    <s v="110000374087"/>
    <s v="Valero Refining Co. (Prev. Premcor Refining, Prev. Williams Refining Llc)"/>
    <s v="STYRENE"/>
    <s v="100425"/>
    <m/>
    <x v="1"/>
    <n v="5.1282051282051279E-6"/>
    <s v="0"/>
    <n v="0"/>
    <x v="48"/>
    <s v="TRI"/>
  </r>
  <r>
    <s v="110000374087"/>
    <s v="Valero Refining Co. (Prev. Premcor Refining, Prev. Williams Refining Llc)"/>
    <s v="TETRACHLOROETHYLENE"/>
    <s v="127184"/>
    <m/>
    <x v="1"/>
    <n v="5.1282051282051279E-6"/>
    <s v="0"/>
    <n v="0"/>
    <x v="50"/>
    <s v="TRI"/>
  </r>
  <r>
    <s v="110000374087"/>
    <s v="Valero Refining Co. (Prev. Premcor Refining, Prev. Williams Refining Llc)"/>
    <s v="TOLUENE"/>
    <s v="108883"/>
    <m/>
    <x v="1"/>
    <n v="5.1282051282051279E-6"/>
    <s v="8"/>
    <n v="6.7923246731193742E-3"/>
    <x v="24"/>
    <s v="TRI"/>
  </r>
  <r>
    <s v="110000374087"/>
    <s v="Valero Refining Co. (Prev. Premcor Refining, Prev. Williams Refining Llc)"/>
    <s v="VANADIUM AND VANADIUM COMPOUNDS"/>
    <s v="7440622"/>
    <m/>
    <x v="1"/>
    <n v="5.1282051282051279E-6"/>
    <s v="0"/>
    <n v="0"/>
    <x v="78"/>
    <s v="TRI"/>
  </r>
  <r>
    <s v="110000374087"/>
    <s v="Valero Refining Co. (Prev. Premcor Refining, Prev. Williams Refining Llc)"/>
    <s v="XYLENE (MIXED ISOMERS)"/>
    <s v="1330207"/>
    <m/>
    <x v="1"/>
    <n v="5.1282051282051279E-6"/>
    <s v="7"/>
    <n v="5.9432840889794532E-3"/>
    <x v="25"/>
    <s v="TRI"/>
  </r>
  <r>
    <s v="110000374087"/>
    <s v="Valero Refining Co. (Prev. Premcor Refining, Prev. Williams Refining Llc)"/>
    <s v="Zinc, total (as Zn)"/>
    <s v="7440666"/>
    <n v="2304.7960227600001"/>
    <x v="1"/>
    <n v="5.1282051282051279E-6"/>
    <s v=""/>
    <n v="3.238210077639621E-5"/>
    <x v="98"/>
    <s v="DMR"/>
  </r>
  <r>
    <s v="110033145353"/>
    <s v="VALERO REFINING COMPANY - CALI"/>
    <s v="Aluminum, acid soluble"/>
    <s v="7429905"/>
    <n v="98.344973699999997"/>
    <x v="2"/>
    <n v="5.6286571412950794E-6"/>
    <s v=""/>
    <n v="1.5165757219917309E-6"/>
    <x v="148"/>
    <s v="DMR"/>
  </r>
  <r>
    <s v="110033145353"/>
    <s v="VALERO REFINING COMPANY - CALI"/>
    <s v="Aluminum, total (as Al)"/>
    <s v="7429905"/>
    <n v="151.97456299999999"/>
    <x v="2"/>
    <n v="5.6286571412950794E-6"/>
    <s v=""/>
    <n v="2.3435964639045176E-6"/>
    <x v="91"/>
    <s v="DMR"/>
  </r>
  <r>
    <s v="110033145353"/>
    <s v="VALERO REFINING COMPANY - CALI"/>
    <s v="AMMONIA"/>
    <s v="7664417"/>
    <m/>
    <x v="2"/>
    <n v="5.6286571412950794E-6"/>
    <s v="3692"/>
    <n v="3.4405632724605022"/>
    <x v="16"/>
    <s v="TRI"/>
  </r>
  <r>
    <s v="110033145353"/>
    <s v="VALERO REFINING COMPANY - CALI"/>
    <s v="BENZENE"/>
    <s v="71432"/>
    <m/>
    <x v="2"/>
    <n v="5.6286571412950794E-6"/>
    <s v="0"/>
    <n v="0"/>
    <x v="1"/>
    <s v="TRI"/>
  </r>
  <r>
    <s v="110033145353"/>
    <s v="VALERO REFINING COMPANY - CALI"/>
    <s v="BENZO(G,H,I)PERYLENE"/>
    <s v="191242"/>
    <m/>
    <x v="2"/>
    <n v="5.6286571412950794E-6"/>
    <s v="0"/>
    <n v="0"/>
    <x v="32"/>
    <s v="TRI"/>
  </r>
  <r>
    <s v="110033145353"/>
    <s v="VALERO REFINING COMPANY - CALI"/>
    <s v="CHROMIUM AND CHROMIUM COMPOUNDS"/>
    <s v="N090"/>
    <m/>
    <x v="2"/>
    <n v="5.6286571412950794E-6"/>
    <s v="7"/>
    <n v="6.5232781438850258E-3"/>
    <x v="59"/>
    <s v="TRI"/>
  </r>
  <r>
    <s v="110033145353"/>
    <s v="VALERO REFINING COMPANY - CALI"/>
    <s v="COBALT AND COBALT COMPOUNDS"/>
    <s v="7440484"/>
    <m/>
    <x v="2"/>
    <n v="5.6286571412950794E-6"/>
    <s v="0"/>
    <n v="0"/>
    <x v="76"/>
    <s v="TRI"/>
  </r>
  <r>
    <s v="110033145353"/>
    <s v="VALERO REFINING COMPANY - CALI"/>
    <s v="Copper, total (as Cu)"/>
    <s v="7440508"/>
    <n v="14.3861794"/>
    <x v="2"/>
    <n v="5.6286571412950794E-6"/>
    <s v=""/>
    <n v="2.2184896278291002E-7"/>
    <x v="68"/>
    <s v="DMR"/>
  </r>
  <r>
    <s v="110033145353"/>
    <s v="VALERO REFINING COMPANY - CALI"/>
    <s v="CYANIDE COMPOUNDS"/>
    <s v="N106"/>
    <m/>
    <x v="2"/>
    <n v="5.6286571412950794E-6"/>
    <s v="65"/>
    <n v="6.057329705036095E-2"/>
    <x v="7"/>
    <s v="TRI"/>
  </r>
  <r>
    <s v="110033145353"/>
    <s v="VALERO REFINING COMPANY - CALI"/>
    <s v="Cyanide, total (as CN)"/>
    <s v="57125"/>
    <n v="40.009493900000002"/>
    <x v="2"/>
    <n v="5.6286571412950794E-6"/>
    <s v=""/>
    <n v="6.1698554399955325E-7"/>
    <x v="85"/>
    <s v="DMR"/>
  </r>
  <r>
    <s v="110033145353"/>
    <s v="VALERO REFINING COMPANY - CALI"/>
    <s v="CYCLOHEXANE"/>
    <s v="110827"/>
    <m/>
    <x v="2"/>
    <n v="5.6286571412950794E-6"/>
    <s v="0"/>
    <n v="0"/>
    <x v="8"/>
    <s v="TRI"/>
  </r>
  <r>
    <s v="110033145353"/>
    <s v="VALERO REFINING COMPANY - CALI"/>
    <s v="ETHYLBENZENE"/>
    <s v="100414"/>
    <m/>
    <x v="2"/>
    <n v="5.6286571412950794E-6"/>
    <s v="0"/>
    <n v="0"/>
    <x v="10"/>
    <s v="TRI"/>
  </r>
  <r>
    <s v="110033145353"/>
    <s v="VALERO REFINING COMPANY - CALI"/>
    <s v="HYDROGEN CYANIDE"/>
    <s v="74908"/>
    <m/>
    <x v="2"/>
    <n v="5.6286571412950794E-6"/>
    <s v="0"/>
    <n v="0"/>
    <x v="41"/>
    <s v="TRI"/>
  </r>
  <r>
    <s v="110033145353"/>
    <s v="VALERO REFINING COMPANY - CALI"/>
    <s v="LEAD AND LEAD COMPOUNDS"/>
    <s v="7439921"/>
    <m/>
    <x v="2"/>
    <n v="5.6286571412950794E-6"/>
    <s v="0"/>
    <n v="0"/>
    <x v="11"/>
    <s v="TRI"/>
  </r>
  <r>
    <s v="110033145353"/>
    <s v="VALERO REFINING COMPANY - CALI"/>
    <s v="MERCURY AND MERCURY COMPOUNDS"/>
    <s v="N458"/>
    <m/>
    <x v="2"/>
    <n v="5.6286571412950794E-6"/>
    <s v="0.29"/>
    <n v="2.7025009453237963E-4"/>
    <x v="12"/>
    <s v="TRI"/>
  </r>
  <r>
    <s v="110033145353"/>
    <s v="VALERO REFINING COMPANY - CALI"/>
    <s v="Mercury, total (as Hg)"/>
    <s v="7439976"/>
    <n v="0.18437022659999999"/>
    <x v="2"/>
    <n v="5.6286571412950794E-6"/>
    <s v=""/>
    <n v="2.843169294778855E-9"/>
    <x v="64"/>
    <s v="DMR"/>
  </r>
  <r>
    <s v="110033145353"/>
    <s v="VALERO REFINING COMPANY - CALI"/>
    <s v="NAPHTHALENE"/>
    <s v="91203"/>
    <m/>
    <x v="2"/>
    <n v="5.6286571412950794E-6"/>
    <s v="0"/>
    <n v="0"/>
    <x v="13"/>
    <s v="TRI"/>
  </r>
  <r>
    <s v="110033145353"/>
    <s v="VALERO REFINING COMPANY - CALI"/>
    <s v="NICKEL AND NICKEL COMPOUNDS"/>
    <s v="N495"/>
    <m/>
    <x v="2"/>
    <n v="5.6286571412950794E-6"/>
    <s v="49"/>
    <n v="4.5662947007195177E-2"/>
    <x v="45"/>
    <s v="TRI"/>
  </r>
  <r>
    <s v="110033145353"/>
    <s v="VALERO REFINING COMPANY - CALI"/>
    <s v="NITRATE COMPOUNDS"/>
    <s v="14797558"/>
    <m/>
    <x v="2"/>
    <n v="5.6286571412950794E-6"/>
    <s v="322093"/>
    <n v="300.15746102833708"/>
    <x v="15"/>
    <s v="TRI"/>
  </r>
  <r>
    <s v="110033145353"/>
    <s v="VALERO REFINING COMPANY - CALI"/>
    <s v="PHENOL"/>
    <s v="108952"/>
    <m/>
    <x v="2"/>
    <n v="5.6286571412950794E-6"/>
    <s v="29"/>
    <n v="2.7025009453237964E-2"/>
    <x v="19"/>
    <s v="TRI"/>
  </r>
  <r>
    <s v="110033145353"/>
    <s v="VALERO REFINING COMPANY - CALI"/>
    <s v="POLYCYCLIC AROMATIC COMPOUNDS"/>
    <s v="N590"/>
    <m/>
    <x v="2"/>
    <n v="5.6286571412950794E-6"/>
    <s v="0"/>
    <n v="0"/>
    <x v="21"/>
    <s v="TRI"/>
  </r>
  <r>
    <s v="110033145353"/>
    <s v="VALERO REFINING COMPANY - CALI"/>
    <s v="Selenium, total (as Se)"/>
    <s v="7782492"/>
    <n v="87.276315789500003"/>
    <x v="2"/>
    <n v="5.6286571412950794E-6"/>
    <s v=""/>
    <n v="1.3458861866698457E-6"/>
    <x v="55"/>
    <s v="DMR"/>
  </r>
  <r>
    <s v="110033145353"/>
    <s v="VALERO REFINING COMPANY - CALI"/>
    <s v="TOLUENE"/>
    <s v="108883"/>
    <m/>
    <x v="2"/>
    <n v="5.6286571412950794E-6"/>
    <s v="0"/>
    <n v="0"/>
    <x v="24"/>
    <s v="TRI"/>
  </r>
  <r>
    <s v="110033145353"/>
    <s v="VALERO REFINING COMPANY - CALI"/>
    <s v="XYLENE (MIXED ISOMERS)"/>
    <s v="1330207"/>
    <m/>
    <x v="2"/>
    <n v="5.6286571412950794E-6"/>
    <s v="0"/>
    <n v="0"/>
    <x v="25"/>
    <s v="TRI"/>
  </r>
  <r>
    <s v="110033145353"/>
    <s v="VALERO REFINING COMPANY - CALI"/>
    <s v="Zinc, total (as Cr)"/>
    <s v="7440666"/>
    <n v="74.100761800000001"/>
    <x v="2"/>
    <n v="5.6286571412950794E-6"/>
    <s v=""/>
    <n v="1.1427062522766455E-6"/>
    <x v="74"/>
    <s v="DMR"/>
  </r>
  <r>
    <s v="110000453697"/>
    <s v="WYNNEWOOD RFNRY CO"/>
    <s v="1,2,4-TRIMETHYLBENZENE"/>
    <s v="95636"/>
    <m/>
    <x v="4"/>
    <n v="1.8608649528565026E-5"/>
    <s v="5"/>
    <n v="1.5404511199143234E-2"/>
    <x v="0"/>
    <s v="TRI"/>
  </r>
  <r>
    <s v="110000453697"/>
    <s v="WYNNEWOOD RFNRY CO"/>
    <s v="BENZENE"/>
    <s v="71432"/>
    <m/>
    <x v="4"/>
    <n v="1.8608649528565026E-5"/>
    <s v="5"/>
    <n v="1.5404511199143234E-2"/>
    <x v="1"/>
    <s v="TRI"/>
  </r>
  <r>
    <s v="110000453697"/>
    <s v="WYNNEWOOD RFNRY CO"/>
    <s v="BENZO(G,H,I)PERYLENE"/>
    <s v="191242"/>
    <m/>
    <x v="4"/>
    <n v="1.8608649528565026E-5"/>
    <s v="0"/>
    <n v="0"/>
    <x v="32"/>
    <s v="TRI"/>
  </r>
  <r>
    <s v="110000453697"/>
    <s v="WYNNEWOOD RFNRY CO"/>
    <s v="BOD, 5-day, 20 deg. C"/>
    <s v=""/>
    <n v="9686.4126984100003"/>
    <x v="4"/>
    <n v="1.8608649528565026E-5"/>
    <s v=""/>
    <n v="4.9383851806507817E-4"/>
    <x v="2"/>
    <s v="DMR"/>
  </r>
  <r>
    <s v="110000453697"/>
    <s v="WYNNEWOOD RFNRY CO"/>
    <s v="COBALT AND COBALT COMPOUNDS"/>
    <s v="7440484"/>
    <m/>
    <x v="4"/>
    <n v="1.8608649528565026E-5"/>
    <s v="5"/>
    <n v="1.5404511199143234E-2"/>
    <x v="76"/>
    <s v="TRI"/>
  </r>
  <r>
    <s v="110000453697"/>
    <s v="WYNNEWOOD RFNRY CO"/>
    <s v="CRESOL (MIXED ISOMERS)"/>
    <s v="1319773"/>
    <m/>
    <x v="4"/>
    <n v="1.8608649528565026E-5"/>
    <s v="250"/>
    <n v="0.77022555995716169"/>
    <x v="61"/>
    <s v="TRI"/>
  </r>
  <r>
    <s v="110000453697"/>
    <s v="WYNNEWOOD RFNRY CO"/>
    <s v="DIETHANOLAMINE"/>
    <s v="111422"/>
    <m/>
    <x v="4"/>
    <n v="1.8608649528565026E-5"/>
    <s v="5"/>
    <n v="1.5404511199143234E-2"/>
    <x v="9"/>
    <s v="TRI"/>
  </r>
  <r>
    <s v="110000453697"/>
    <s v="WYNNEWOOD RFNRY CO"/>
    <s v="ETHYLBENZENE"/>
    <s v="100414"/>
    <m/>
    <x v="4"/>
    <n v="1.8608649528565026E-5"/>
    <s v="5"/>
    <n v="1.5404511199143234E-2"/>
    <x v="10"/>
    <s v="TRI"/>
  </r>
  <r>
    <s v="110000453697"/>
    <s v="WYNNEWOOD RFNRY CO"/>
    <s v="HYDROGEN FLUORIDE"/>
    <s v="7664393"/>
    <m/>
    <x v="4"/>
    <n v="1.8608649528565026E-5"/>
    <s v="0"/>
    <n v="0"/>
    <x v="77"/>
    <s v="TRI"/>
  </r>
  <r>
    <s v="110000453697"/>
    <s v="WYNNEWOOD RFNRY CO"/>
    <s v="LEAD AND LEAD COMPOUNDS"/>
    <s v="7439921"/>
    <m/>
    <x v="4"/>
    <n v="1.8608649528565026E-5"/>
    <s v="13"/>
    <n v="4.0051729117772404E-2"/>
    <x v="11"/>
    <s v="TRI"/>
  </r>
  <r>
    <s v="110000453697"/>
    <s v="WYNNEWOOD RFNRY CO"/>
    <s v="MERCURY AND MERCURY COMPOUNDS"/>
    <s v="N458"/>
    <m/>
    <x v="4"/>
    <n v="1.8608649528565026E-5"/>
    <s v="0.4"/>
    <n v="1.2323608959314588E-3"/>
    <x v="12"/>
    <s v="TRI"/>
  </r>
  <r>
    <s v="110000453697"/>
    <s v="WYNNEWOOD RFNRY CO"/>
    <s v="NICKEL AND NICKEL COMPOUNDS"/>
    <s v="N495"/>
    <m/>
    <x v="4"/>
    <n v="1.8608649528565026E-5"/>
    <s v="15"/>
    <n v="4.6213533597429697E-2"/>
    <x v="45"/>
    <s v="TRI"/>
  </r>
  <r>
    <s v="110000453697"/>
    <s v="WYNNEWOOD RFNRY CO"/>
    <s v="NITRATE COMPOUNDS"/>
    <s v="14797558"/>
    <m/>
    <x v="4"/>
    <n v="1.8608649528565026E-5"/>
    <s v="750"/>
    <n v="2.3106766798714853"/>
    <x v="15"/>
    <s v="TRI"/>
  </r>
  <r>
    <s v="110000453697"/>
    <s v="WYNNEWOOD RFNRY CO"/>
    <s v="Nitrogen, ammonia total (as N)"/>
    <s v="7664417"/>
    <n v="2128.64852608"/>
    <x v="4"/>
    <n v="1.8608649528565026E-5"/>
    <s v=""/>
    <n v="1.0852403942827187E-4"/>
    <x v="16"/>
    <s v="DMR"/>
  </r>
  <r>
    <s v="110000453697"/>
    <s v="WYNNEWOOD RFNRY CO"/>
    <s v="Oil and grease, hexane extr method"/>
    <s v=""/>
    <n v="613.01544505300001"/>
    <x v="4"/>
    <n v="1.8608649528565026E-5"/>
    <s v=""/>
    <n v="3.1253122116681066E-5"/>
    <x v="65"/>
    <s v="DMR"/>
  </r>
  <r>
    <s v="110000453697"/>
    <s v="WYNNEWOOD RFNRY CO"/>
    <s v="Chemical Oxygen Demand (COD)"/>
    <s v=""/>
    <n v="96136.115003599989"/>
    <x v="4"/>
    <n v="1.8608649528565026E-5"/>
    <s v=""/>
    <n v="4.9012692359994905E-3"/>
    <x v="18"/>
    <s v="DMR"/>
  </r>
  <r>
    <s v="110000453697"/>
    <s v="WYNNEWOOD RFNRY CO"/>
    <s v="PHENOL"/>
    <s v="108952"/>
    <m/>
    <x v="4"/>
    <n v="1.8608649528565026E-5"/>
    <s v="37"/>
    <n v="0.11399338287365993"/>
    <x v="19"/>
    <s v="TRI"/>
  </r>
  <r>
    <s v="110000453697"/>
    <s v="WYNNEWOOD RFNRY CO"/>
    <s v="Phenolics, total recoverable"/>
    <s v=""/>
    <n v="21.619047619"/>
    <x v="4"/>
    <n v="1.8608649528565026E-5"/>
    <s v=""/>
    <n v="1.1021952884474772E-6"/>
    <x v="20"/>
    <s v="DMR"/>
  </r>
  <r>
    <s v="110000453697"/>
    <s v="WYNNEWOOD RFNRY CO"/>
    <s v="POLYCYCLIC AROMATIC COMPOUNDS"/>
    <s v="N590"/>
    <m/>
    <x v="4"/>
    <n v="1.8608649528565026E-5"/>
    <s v="12"/>
    <n v="3.6970826877943765E-2"/>
    <x v="21"/>
    <s v="TRI"/>
  </r>
  <r>
    <s v="110000453697"/>
    <s v="WYNNEWOOD RFNRY CO"/>
    <s v="Solids, total suspended"/>
    <s v=""/>
    <n v="126818.3959153"/>
    <x v="4"/>
    <n v="1.8608649528565026E-5"/>
    <s v=""/>
    <n v="6.4655317352400555E-3"/>
    <x v="22"/>
    <s v="DMR"/>
  </r>
  <r>
    <s v="110000453697"/>
    <s v="WYNNEWOOD RFNRY CO"/>
    <s v="Sulfide, total (as S)"/>
    <s v="18496258"/>
    <n v="41.424036281200003"/>
    <x v="4"/>
    <n v="1.8608649528565026E-5"/>
    <s v=""/>
    <n v="2.1119051320970217E-6"/>
    <x v="23"/>
    <s v="DMR"/>
  </r>
  <r>
    <s v="110000453697"/>
    <s v="WYNNEWOOD RFNRY CO"/>
    <s v="TOLUENE"/>
    <s v="108883"/>
    <m/>
    <x v="4"/>
    <n v="1.8608649528565026E-5"/>
    <s v="5"/>
    <n v="1.5404511199143234E-2"/>
    <x v="24"/>
    <s v="TRI"/>
  </r>
  <r>
    <s v="110000453697"/>
    <s v="WYNNEWOOD RFNRY CO"/>
    <s v="VANADIUM AND VANADIUM COMPOUNDS"/>
    <s v="7440622"/>
    <m/>
    <x v="4"/>
    <n v="1.8608649528565026E-5"/>
    <s v="5"/>
    <n v="1.5404511199143234E-2"/>
    <x v="78"/>
    <s v="TRI"/>
  </r>
  <r>
    <s v="110000453697"/>
    <s v="WYNNEWOOD RFNRY CO"/>
    <s v="XYLENE (MIXED ISOMERS)"/>
    <s v="1330207"/>
    <m/>
    <x v="4"/>
    <n v="1.8608649528565026E-5"/>
    <s v="5"/>
    <n v="1.5404511199143234E-2"/>
    <x v="25"/>
    <s v="TRI"/>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5" applyNumberFormats="0" applyBorderFormats="0" applyFontFormats="0" applyPatternFormats="0" applyAlignmentFormats="0" applyWidthHeightFormats="1" dataCaption="Values" updatedVersion="4" minRefreshableVersion="3" useAutoFormatting="1" itemPrintTitles="1" createdVersion="4" indent="0" outline="1" outlineData="1" multipleFieldFilters="0">
  <location ref="A3:QI11" firstHeaderRow="1" firstDataRow="3" firstDataCol="1"/>
  <pivotFields count="11">
    <pivotField showAll="0"/>
    <pivotField showAll="0"/>
    <pivotField showAll="0"/>
    <pivotField showAll="0"/>
    <pivotField showAll="0" defaultSubtotal="0"/>
    <pivotField axis="axisRow" showAll="0">
      <items count="7">
        <item h="1" x="5"/>
        <item x="1"/>
        <item x="0"/>
        <item x="4"/>
        <item x="3"/>
        <item x="2"/>
        <item t="default"/>
      </items>
    </pivotField>
    <pivotField showAll="0"/>
    <pivotField showAll="0"/>
    <pivotField dataField="1" showAll="0"/>
    <pivotField axis="axisCol" showAll="0">
      <items count="150">
        <item x="0"/>
        <item x="102"/>
        <item x="30"/>
        <item x="100"/>
        <item x="126"/>
        <item x="81"/>
        <item x="103"/>
        <item x="116"/>
        <item x="111"/>
        <item x="16"/>
        <item x="80"/>
        <item x="31"/>
        <item x="104"/>
        <item x="1"/>
        <item x="105"/>
        <item x="52"/>
        <item x="34"/>
        <item x="53"/>
        <item x="61"/>
        <item x="8"/>
        <item x="107"/>
        <item x="36"/>
        <item x="9"/>
        <item x="38"/>
        <item x="10"/>
        <item x="86"/>
        <item x="39"/>
        <item x="108"/>
        <item x="40"/>
        <item x="101"/>
        <item x="115"/>
        <item x="77"/>
        <item x="6"/>
        <item x="42"/>
        <item x="43"/>
        <item x="118"/>
        <item x="130"/>
        <item x="87"/>
        <item x="119"/>
        <item x="13"/>
        <item x="14"/>
        <item x="15"/>
        <item x="79"/>
        <item x="27"/>
        <item x="88"/>
        <item x="50"/>
        <item x="46"/>
        <item x="19"/>
        <item x="66"/>
        <item x="54"/>
        <item x="89"/>
        <item x="109"/>
        <item x="90"/>
        <item x="48"/>
        <item x="49"/>
        <item x="24"/>
        <item x="51"/>
        <item x="25"/>
        <item x="2"/>
        <item x="3"/>
        <item x="4"/>
        <item x="5"/>
        <item x="7"/>
        <item x="11"/>
        <item x="12"/>
        <item x="17"/>
        <item x="20"/>
        <item x="21"/>
        <item x="22"/>
        <item x="23"/>
        <item x="26"/>
        <item x="28"/>
        <item x="29"/>
        <item x="32"/>
        <item x="33"/>
        <item x="35"/>
        <item x="37"/>
        <item x="41"/>
        <item x="44"/>
        <item x="45"/>
        <item x="47"/>
        <item x="56"/>
        <item x="57"/>
        <item x="55"/>
        <item x="58"/>
        <item x="59"/>
        <item x="60"/>
        <item x="62"/>
        <item x="18"/>
        <item x="63"/>
        <item x="65"/>
        <item x="67"/>
        <item x="68"/>
        <item x="64"/>
        <item x="69"/>
        <item x="70"/>
        <item x="72"/>
        <item x="73"/>
        <item x="75"/>
        <item x="76"/>
        <item x="78"/>
        <item x="82"/>
        <item x="83"/>
        <item x="84"/>
        <item x="85"/>
        <item x="91"/>
        <item x="92"/>
        <item x="93"/>
        <item x="94"/>
        <item x="95"/>
        <item x="96"/>
        <item x="97"/>
        <item x="98"/>
        <item x="99"/>
        <item x="71"/>
        <item x="106"/>
        <item x="112"/>
        <item x="113"/>
        <item x="114"/>
        <item x="117"/>
        <item x="120"/>
        <item x="121"/>
        <item x="122"/>
        <item x="123"/>
        <item x="124"/>
        <item x="125"/>
        <item x="127"/>
        <item x="128"/>
        <item x="129"/>
        <item x="131"/>
        <item x="132"/>
        <item x="133"/>
        <item x="110"/>
        <item x="134"/>
        <item x="135"/>
        <item x="136"/>
        <item x="137"/>
        <item x="138"/>
        <item x="139"/>
        <item x="140"/>
        <item x="141"/>
        <item x="142"/>
        <item x="143"/>
        <item x="144"/>
        <item x="145"/>
        <item x="146"/>
        <item x="147"/>
        <item x="148"/>
        <item x="74"/>
        <item t="default"/>
      </items>
    </pivotField>
    <pivotField showAll="0"/>
  </pivotFields>
  <rowFields count="1">
    <field x="5"/>
  </rowFields>
  <rowItems count="6">
    <i>
      <x v="1"/>
    </i>
    <i>
      <x v="2"/>
    </i>
    <i>
      <x v="3"/>
    </i>
    <i>
      <x v="4"/>
    </i>
    <i>
      <x v="5"/>
    </i>
    <i t="grand">
      <x/>
    </i>
  </rowItems>
  <colFields count="2">
    <field x="9"/>
    <field x="-2"/>
  </colFields>
  <colItems count="450">
    <i>
      <x/>
      <x/>
    </i>
    <i r="1" i="1">
      <x v="1"/>
    </i>
    <i r="1" i="2">
      <x v="2"/>
    </i>
    <i>
      <x v="1"/>
      <x/>
    </i>
    <i r="1" i="1">
      <x v="1"/>
    </i>
    <i r="1" i="2">
      <x v="2"/>
    </i>
    <i>
      <x v="2"/>
      <x/>
    </i>
    <i r="1" i="1">
      <x v="1"/>
    </i>
    <i r="1" i="2">
      <x v="2"/>
    </i>
    <i>
      <x v="3"/>
      <x/>
    </i>
    <i r="1" i="1">
      <x v="1"/>
    </i>
    <i r="1" i="2">
      <x v="2"/>
    </i>
    <i>
      <x v="4"/>
      <x/>
    </i>
    <i r="1" i="1">
      <x v="1"/>
    </i>
    <i r="1" i="2">
      <x v="2"/>
    </i>
    <i>
      <x v="5"/>
      <x/>
    </i>
    <i r="1" i="1">
      <x v="1"/>
    </i>
    <i r="1" i="2">
      <x v="2"/>
    </i>
    <i>
      <x v="6"/>
      <x/>
    </i>
    <i r="1" i="1">
      <x v="1"/>
    </i>
    <i r="1" i="2">
      <x v="2"/>
    </i>
    <i>
      <x v="7"/>
      <x/>
    </i>
    <i r="1" i="1">
      <x v="1"/>
    </i>
    <i r="1" i="2">
      <x v="2"/>
    </i>
    <i>
      <x v="8"/>
      <x/>
    </i>
    <i r="1" i="1">
      <x v="1"/>
    </i>
    <i r="1" i="2">
      <x v="2"/>
    </i>
    <i>
      <x v="9"/>
      <x/>
    </i>
    <i r="1" i="1">
      <x v="1"/>
    </i>
    <i r="1" i="2">
      <x v="2"/>
    </i>
    <i>
      <x v="10"/>
      <x/>
    </i>
    <i r="1" i="1">
      <x v="1"/>
    </i>
    <i r="1" i="2">
      <x v="2"/>
    </i>
    <i>
      <x v="11"/>
      <x/>
    </i>
    <i r="1" i="1">
      <x v="1"/>
    </i>
    <i r="1" i="2">
      <x v="2"/>
    </i>
    <i>
      <x v="12"/>
      <x/>
    </i>
    <i r="1" i="1">
      <x v="1"/>
    </i>
    <i r="1" i="2">
      <x v="2"/>
    </i>
    <i>
      <x v="13"/>
      <x/>
    </i>
    <i r="1" i="1">
      <x v="1"/>
    </i>
    <i r="1" i="2">
      <x v="2"/>
    </i>
    <i>
      <x v="14"/>
      <x/>
    </i>
    <i r="1" i="1">
      <x v="1"/>
    </i>
    <i r="1" i="2">
      <x v="2"/>
    </i>
    <i>
      <x v="15"/>
      <x/>
    </i>
    <i r="1" i="1">
      <x v="1"/>
    </i>
    <i r="1" i="2">
      <x v="2"/>
    </i>
    <i>
      <x v="16"/>
      <x/>
    </i>
    <i r="1" i="1">
      <x v="1"/>
    </i>
    <i r="1" i="2">
      <x v="2"/>
    </i>
    <i>
      <x v="17"/>
      <x/>
    </i>
    <i r="1" i="1">
      <x v="1"/>
    </i>
    <i r="1" i="2">
      <x v="2"/>
    </i>
    <i>
      <x v="18"/>
      <x/>
    </i>
    <i r="1" i="1">
      <x v="1"/>
    </i>
    <i r="1" i="2">
      <x v="2"/>
    </i>
    <i>
      <x v="19"/>
      <x/>
    </i>
    <i r="1" i="1">
      <x v="1"/>
    </i>
    <i r="1" i="2">
      <x v="2"/>
    </i>
    <i>
      <x v="20"/>
      <x/>
    </i>
    <i r="1" i="1">
      <x v="1"/>
    </i>
    <i r="1" i="2">
      <x v="2"/>
    </i>
    <i>
      <x v="21"/>
      <x/>
    </i>
    <i r="1" i="1">
      <x v="1"/>
    </i>
    <i r="1" i="2">
      <x v="2"/>
    </i>
    <i>
      <x v="22"/>
      <x/>
    </i>
    <i r="1" i="1">
      <x v="1"/>
    </i>
    <i r="1" i="2">
      <x v="2"/>
    </i>
    <i>
      <x v="23"/>
      <x/>
    </i>
    <i r="1" i="1">
      <x v="1"/>
    </i>
    <i r="1" i="2">
      <x v="2"/>
    </i>
    <i>
      <x v="24"/>
      <x/>
    </i>
    <i r="1" i="1">
      <x v="1"/>
    </i>
    <i r="1" i="2">
      <x v="2"/>
    </i>
    <i>
      <x v="25"/>
      <x/>
    </i>
    <i r="1" i="1">
      <x v="1"/>
    </i>
    <i r="1" i="2">
      <x v="2"/>
    </i>
    <i>
      <x v="26"/>
      <x/>
    </i>
    <i r="1" i="1">
      <x v="1"/>
    </i>
    <i r="1" i="2">
      <x v="2"/>
    </i>
    <i>
      <x v="27"/>
      <x/>
    </i>
    <i r="1" i="1">
      <x v="1"/>
    </i>
    <i r="1" i="2">
      <x v="2"/>
    </i>
    <i>
      <x v="28"/>
      <x/>
    </i>
    <i r="1" i="1">
      <x v="1"/>
    </i>
    <i r="1" i="2">
      <x v="2"/>
    </i>
    <i>
      <x v="29"/>
      <x/>
    </i>
    <i r="1" i="1">
      <x v="1"/>
    </i>
    <i r="1" i="2">
      <x v="2"/>
    </i>
    <i>
      <x v="30"/>
      <x/>
    </i>
    <i r="1" i="1">
      <x v="1"/>
    </i>
    <i r="1" i="2">
      <x v="2"/>
    </i>
    <i>
      <x v="31"/>
      <x/>
    </i>
    <i r="1" i="1">
      <x v="1"/>
    </i>
    <i r="1" i="2">
      <x v="2"/>
    </i>
    <i>
      <x v="32"/>
      <x/>
    </i>
    <i r="1" i="1">
      <x v="1"/>
    </i>
    <i r="1" i="2">
      <x v="2"/>
    </i>
    <i>
      <x v="33"/>
      <x/>
    </i>
    <i r="1" i="1">
      <x v="1"/>
    </i>
    <i r="1" i="2">
      <x v="2"/>
    </i>
    <i>
      <x v="34"/>
      <x/>
    </i>
    <i r="1" i="1">
      <x v="1"/>
    </i>
    <i r="1" i="2">
      <x v="2"/>
    </i>
    <i>
      <x v="35"/>
      <x/>
    </i>
    <i r="1" i="1">
      <x v="1"/>
    </i>
    <i r="1" i="2">
      <x v="2"/>
    </i>
    <i>
      <x v="36"/>
      <x/>
    </i>
    <i r="1" i="1">
      <x v="1"/>
    </i>
    <i r="1" i="2">
      <x v="2"/>
    </i>
    <i>
      <x v="37"/>
      <x/>
    </i>
    <i r="1" i="1">
      <x v="1"/>
    </i>
    <i r="1" i="2">
      <x v="2"/>
    </i>
    <i>
      <x v="38"/>
      <x/>
    </i>
    <i r="1" i="1">
      <x v="1"/>
    </i>
    <i r="1" i="2">
      <x v="2"/>
    </i>
    <i>
      <x v="39"/>
      <x/>
    </i>
    <i r="1" i="1">
      <x v="1"/>
    </i>
    <i r="1" i="2">
      <x v="2"/>
    </i>
    <i>
      <x v="40"/>
      <x/>
    </i>
    <i r="1" i="1">
      <x v="1"/>
    </i>
    <i r="1" i="2">
      <x v="2"/>
    </i>
    <i>
      <x v="41"/>
      <x/>
    </i>
    <i r="1" i="1">
      <x v="1"/>
    </i>
    <i r="1" i="2">
      <x v="2"/>
    </i>
    <i>
      <x v="42"/>
      <x/>
    </i>
    <i r="1" i="1">
      <x v="1"/>
    </i>
    <i r="1" i="2">
      <x v="2"/>
    </i>
    <i>
      <x v="43"/>
      <x/>
    </i>
    <i r="1" i="1">
      <x v="1"/>
    </i>
    <i r="1" i="2">
      <x v="2"/>
    </i>
    <i>
      <x v="44"/>
      <x/>
    </i>
    <i r="1" i="1">
      <x v="1"/>
    </i>
    <i r="1" i="2">
      <x v="2"/>
    </i>
    <i>
      <x v="45"/>
      <x/>
    </i>
    <i r="1" i="1">
      <x v="1"/>
    </i>
    <i r="1" i="2">
      <x v="2"/>
    </i>
    <i>
      <x v="46"/>
      <x/>
    </i>
    <i r="1" i="1">
      <x v="1"/>
    </i>
    <i r="1" i="2">
      <x v="2"/>
    </i>
    <i>
      <x v="47"/>
      <x/>
    </i>
    <i r="1" i="1">
      <x v="1"/>
    </i>
    <i r="1" i="2">
      <x v="2"/>
    </i>
    <i>
      <x v="48"/>
      <x/>
    </i>
    <i r="1" i="1">
      <x v="1"/>
    </i>
    <i r="1" i="2">
      <x v="2"/>
    </i>
    <i>
      <x v="49"/>
      <x/>
    </i>
    <i r="1" i="1">
      <x v="1"/>
    </i>
    <i r="1" i="2">
      <x v="2"/>
    </i>
    <i>
      <x v="50"/>
      <x/>
    </i>
    <i r="1" i="1">
      <x v="1"/>
    </i>
    <i r="1" i="2">
      <x v="2"/>
    </i>
    <i>
      <x v="51"/>
      <x/>
    </i>
    <i r="1" i="1">
      <x v="1"/>
    </i>
    <i r="1" i="2">
      <x v="2"/>
    </i>
    <i>
      <x v="52"/>
      <x/>
    </i>
    <i r="1" i="1">
      <x v="1"/>
    </i>
    <i r="1" i="2">
      <x v="2"/>
    </i>
    <i>
      <x v="53"/>
      <x/>
    </i>
    <i r="1" i="1">
      <x v="1"/>
    </i>
    <i r="1" i="2">
      <x v="2"/>
    </i>
    <i>
      <x v="54"/>
      <x/>
    </i>
    <i r="1" i="1">
      <x v="1"/>
    </i>
    <i r="1" i="2">
      <x v="2"/>
    </i>
    <i>
      <x v="55"/>
      <x/>
    </i>
    <i r="1" i="1">
      <x v="1"/>
    </i>
    <i r="1" i="2">
      <x v="2"/>
    </i>
    <i>
      <x v="56"/>
      <x/>
    </i>
    <i r="1" i="1">
      <x v="1"/>
    </i>
    <i r="1" i="2">
      <x v="2"/>
    </i>
    <i>
      <x v="57"/>
      <x/>
    </i>
    <i r="1" i="1">
      <x v="1"/>
    </i>
    <i r="1" i="2">
      <x v="2"/>
    </i>
    <i>
      <x v="58"/>
      <x/>
    </i>
    <i r="1" i="1">
      <x v="1"/>
    </i>
    <i r="1" i="2">
      <x v="2"/>
    </i>
    <i>
      <x v="59"/>
      <x/>
    </i>
    <i r="1" i="1">
      <x v="1"/>
    </i>
    <i r="1" i="2">
      <x v="2"/>
    </i>
    <i>
      <x v="60"/>
      <x/>
    </i>
    <i r="1" i="1">
      <x v="1"/>
    </i>
    <i r="1" i="2">
      <x v="2"/>
    </i>
    <i>
      <x v="61"/>
      <x/>
    </i>
    <i r="1" i="1">
      <x v="1"/>
    </i>
    <i r="1" i="2">
      <x v="2"/>
    </i>
    <i>
      <x v="62"/>
      <x/>
    </i>
    <i r="1" i="1">
      <x v="1"/>
    </i>
    <i r="1" i="2">
      <x v="2"/>
    </i>
    <i>
      <x v="63"/>
      <x/>
    </i>
    <i r="1" i="1">
      <x v="1"/>
    </i>
    <i r="1" i="2">
      <x v="2"/>
    </i>
    <i>
      <x v="64"/>
      <x/>
    </i>
    <i r="1" i="1">
      <x v="1"/>
    </i>
    <i r="1" i="2">
      <x v="2"/>
    </i>
    <i>
      <x v="65"/>
      <x/>
    </i>
    <i r="1" i="1">
      <x v="1"/>
    </i>
    <i r="1" i="2">
      <x v="2"/>
    </i>
    <i>
      <x v="66"/>
      <x/>
    </i>
    <i r="1" i="1">
      <x v="1"/>
    </i>
    <i r="1" i="2">
      <x v="2"/>
    </i>
    <i>
      <x v="67"/>
      <x/>
    </i>
    <i r="1" i="1">
      <x v="1"/>
    </i>
    <i r="1" i="2">
      <x v="2"/>
    </i>
    <i>
      <x v="68"/>
      <x/>
    </i>
    <i r="1" i="1">
      <x v="1"/>
    </i>
    <i r="1" i="2">
      <x v="2"/>
    </i>
    <i>
      <x v="69"/>
      <x/>
    </i>
    <i r="1" i="1">
      <x v="1"/>
    </i>
    <i r="1" i="2">
      <x v="2"/>
    </i>
    <i>
      <x v="70"/>
      <x/>
    </i>
    <i r="1" i="1">
      <x v="1"/>
    </i>
    <i r="1" i="2">
      <x v="2"/>
    </i>
    <i>
      <x v="71"/>
      <x/>
    </i>
    <i r="1" i="1">
      <x v="1"/>
    </i>
    <i r="1" i="2">
      <x v="2"/>
    </i>
    <i>
      <x v="72"/>
      <x/>
    </i>
    <i r="1" i="1">
      <x v="1"/>
    </i>
    <i r="1" i="2">
      <x v="2"/>
    </i>
    <i>
      <x v="73"/>
      <x/>
    </i>
    <i r="1" i="1">
      <x v="1"/>
    </i>
    <i r="1" i="2">
      <x v="2"/>
    </i>
    <i>
      <x v="74"/>
      <x/>
    </i>
    <i r="1" i="1">
      <x v="1"/>
    </i>
    <i r="1" i="2">
      <x v="2"/>
    </i>
    <i>
      <x v="75"/>
      <x/>
    </i>
    <i r="1" i="1">
      <x v="1"/>
    </i>
    <i r="1" i="2">
      <x v="2"/>
    </i>
    <i>
      <x v="76"/>
      <x/>
    </i>
    <i r="1" i="1">
      <x v="1"/>
    </i>
    <i r="1" i="2">
      <x v="2"/>
    </i>
    <i>
      <x v="77"/>
      <x/>
    </i>
    <i r="1" i="1">
      <x v="1"/>
    </i>
    <i r="1" i="2">
      <x v="2"/>
    </i>
    <i>
      <x v="78"/>
      <x/>
    </i>
    <i r="1" i="1">
      <x v="1"/>
    </i>
    <i r="1" i="2">
      <x v="2"/>
    </i>
    <i>
      <x v="79"/>
      <x/>
    </i>
    <i r="1" i="1">
      <x v="1"/>
    </i>
    <i r="1" i="2">
      <x v="2"/>
    </i>
    <i>
      <x v="80"/>
      <x/>
    </i>
    <i r="1" i="1">
      <x v="1"/>
    </i>
    <i r="1" i="2">
      <x v="2"/>
    </i>
    <i>
      <x v="81"/>
      <x/>
    </i>
    <i r="1" i="1">
      <x v="1"/>
    </i>
    <i r="1" i="2">
      <x v="2"/>
    </i>
    <i>
      <x v="82"/>
      <x/>
    </i>
    <i r="1" i="1">
      <x v="1"/>
    </i>
    <i r="1" i="2">
      <x v="2"/>
    </i>
    <i>
      <x v="83"/>
      <x/>
    </i>
    <i r="1" i="1">
      <x v="1"/>
    </i>
    <i r="1" i="2">
      <x v="2"/>
    </i>
    <i>
      <x v="84"/>
      <x/>
    </i>
    <i r="1" i="1">
      <x v="1"/>
    </i>
    <i r="1" i="2">
      <x v="2"/>
    </i>
    <i>
      <x v="85"/>
      <x/>
    </i>
    <i r="1" i="1">
      <x v="1"/>
    </i>
    <i r="1" i="2">
      <x v="2"/>
    </i>
    <i>
      <x v="86"/>
      <x/>
    </i>
    <i r="1" i="1">
      <x v="1"/>
    </i>
    <i r="1" i="2">
      <x v="2"/>
    </i>
    <i>
      <x v="87"/>
      <x/>
    </i>
    <i r="1" i="1">
      <x v="1"/>
    </i>
    <i r="1" i="2">
      <x v="2"/>
    </i>
    <i>
      <x v="88"/>
      <x/>
    </i>
    <i r="1" i="1">
      <x v="1"/>
    </i>
    <i r="1" i="2">
      <x v="2"/>
    </i>
    <i>
      <x v="89"/>
      <x/>
    </i>
    <i r="1" i="1">
      <x v="1"/>
    </i>
    <i r="1" i="2">
      <x v="2"/>
    </i>
    <i>
      <x v="90"/>
      <x/>
    </i>
    <i r="1" i="1">
      <x v="1"/>
    </i>
    <i r="1" i="2">
      <x v="2"/>
    </i>
    <i>
      <x v="91"/>
      <x/>
    </i>
    <i r="1" i="1">
      <x v="1"/>
    </i>
    <i r="1" i="2">
      <x v="2"/>
    </i>
    <i>
      <x v="92"/>
      <x/>
    </i>
    <i r="1" i="1">
      <x v="1"/>
    </i>
    <i r="1" i="2">
      <x v="2"/>
    </i>
    <i>
      <x v="93"/>
      <x/>
    </i>
    <i r="1" i="1">
      <x v="1"/>
    </i>
    <i r="1" i="2">
      <x v="2"/>
    </i>
    <i>
      <x v="94"/>
      <x/>
    </i>
    <i r="1" i="1">
      <x v="1"/>
    </i>
    <i r="1" i="2">
      <x v="2"/>
    </i>
    <i>
      <x v="95"/>
      <x/>
    </i>
    <i r="1" i="1">
      <x v="1"/>
    </i>
    <i r="1" i="2">
      <x v="2"/>
    </i>
    <i>
      <x v="96"/>
      <x/>
    </i>
    <i r="1" i="1">
      <x v="1"/>
    </i>
    <i r="1" i="2">
      <x v="2"/>
    </i>
    <i>
      <x v="97"/>
      <x/>
    </i>
    <i r="1" i="1">
      <x v="1"/>
    </i>
    <i r="1" i="2">
      <x v="2"/>
    </i>
    <i>
      <x v="98"/>
      <x/>
    </i>
    <i r="1" i="1">
      <x v="1"/>
    </i>
    <i r="1" i="2">
      <x v="2"/>
    </i>
    <i>
      <x v="99"/>
      <x/>
    </i>
    <i r="1" i="1">
      <x v="1"/>
    </i>
    <i r="1" i="2">
      <x v="2"/>
    </i>
    <i>
      <x v="100"/>
      <x/>
    </i>
    <i r="1" i="1">
      <x v="1"/>
    </i>
    <i r="1" i="2">
      <x v="2"/>
    </i>
    <i>
      <x v="101"/>
      <x/>
    </i>
    <i r="1" i="1">
      <x v="1"/>
    </i>
    <i r="1" i="2">
      <x v="2"/>
    </i>
    <i>
      <x v="102"/>
      <x/>
    </i>
    <i r="1" i="1">
      <x v="1"/>
    </i>
    <i r="1" i="2">
      <x v="2"/>
    </i>
    <i>
      <x v="103"/>
      <x/>
    </i>
    <i r="1" i="1">
      <x v="1"/>
    </i>
    <i r="1" i="2">
      <x v="2"/>
    </i>
    <i>
      <x v="104"/>
      <x/>
    </i>
    <i r="1" i="1">
      <x v="1"/>
    </i>
    <i r="1" i="2">
      <x v="2"/>
    </i>
    <i>
      <x v="105"/>
      <x/>
    </i>
    <i r="1" i="1">
      <x v="1"/>
    </i>
    <i r="1" i="2">
      <x v="2"/>
    </i>
    <i>
      <x v="106"/>
      <x/>
    </i>
    <i r="1" i="1">
      <x v="1"/>
    </i>
    <i r="1" i="2">
      <x v="2"/>
    </i>
    <i>
      <x v="107"/>
      <x/>
    </i>
    <i r="1" i="1">
      <x v="1"/>
    </i>
    <i r="1" i="2">
      <x v="2"/>
    </i>
    <i>
      <x v="108"/>
      <x/>
    </i>
    <i r="1" i="1">
      <x v="1"/>
    </i>
    <i r="1" i="2">
      <x v="2"/>
    </i>
    <i>
      <x v="109"/>
      <x/>
    </i>
    <i r="1" i="1">
      <x v="1"/>
    </i>
    <i r="1" i="2">
      <x v="2"/>
    </i>
    <i>
      <x v="110"/>
      <x/>
    </i>
    <i r="1" i="1">
      <x v="1"/>
    </i>
    <i r="1" i="2">
      <x v="2"/>
    </i>
    <i>
      <x v="111"/>
      <x/>
    </i>
    <i r="1" i="1">
      <x v="1"/>
    </i>
    <i r="1" i="2">
      <x v="2"/>
    </i>
    <i>
      <x v="112"/>
      <x/>
    </i>
    <i r="1" i="1">
      <x v="1"/>
    </i>
    <i r="1" i="2">
      <x v="2"/>
    </i>
    <i>
      <x v="113"/>
      <x/>
    </i>
    <i r="1" i="1">
      <x v="1"/>
    </i>
    <i r="1" i="2">
      <x v="2"/>
    </i>
    <i>
      <x v="114"/>
      <x/>
    </i>
    <i r="1" i="1">
      <x v="1"/>
    </i>
    <i r="1" i="2">
      <x v="2"/>
    </i>
    <i>
      <x v="115"/>
      <x/>
    </i>
    <i r="1" i="1">
      <x v="1"/>
    </i>
    <i r="1" i="2">
      <x v="2"/>
    </i>
    <i>
      <x v="116"/>
      <x/>
    </i>
    <i r="1" i="1">
      <x v="1"/>
    </i>
    <i r="1" i="2">
      <x v="2"/>
    </i>
    <i>
      <x v="117"/>
      <x/>
    </i>
    <i r="1" i="1">
      <x v="1"/>
    </i>
    <i r="1" i="2">
      <x v="2"/>
    </i>
    <i>
      <x v="118"/>
      <x/>
    </i>
    <i r="1" i="1">
      <x v="1"/>
    </i>
    <i r="1" i="2">
      <x v="2"/>
    </i>
    <i>
      <x v="119"/>
      <x/>
    </i>
    <i r="1" i="1">
      <x v="1"/>
    </i>
    <i r="1" i="2">
      <x v="2"/>
    </i>
    <i>
      <x v="120"/>
      <x/>
    </i>
    <i r="1" i="1">
      <x v="1"/>
    </i>
    <i r="1" i="2">
      <x v="2"/>
    </i>
    <i>
      <x v="121"/>
      <x/>
    </i>
    <i r="1" i="1">
      <x v="1"/>
    </i>
    <i r="1" i="2">
      <x v="2"/>
    </i>
    <i>
      <x v="122"/>
      <x/>
    </i>
    <i r="1" i="1">
      <x v="1"/>
    </i>
    <i r="1" i="2">
      <x v="2"/>
    </i>
    <i>
      <x v="123"/>
      <x/>
    </i>
    <i r="1" i="1">
      <x v="1"/>
    </i>
    <i r="1" i="2">
      <x v="2"/>
    </i>
    <i>
      <x v="124"/>
      <x/>
    </i>
    <i r="1" i="1">
      <x v="1"/>
    </i>
    <i r="1" i="2">
      <x v="2"/>
    </i>
    <i>
      <x v="125"/>
      <x/>
    </i>
    <i r="1" i="1">
      <x v="1"/>
    </i>
    <i r="1" i="2">
      <x v="2"/>
    </i>
    <i>
      <x v="126"/>
      <x/>
    </i>
    <i r="1" i="1">
      <x v="1"/>
    </i>
    <i r="1" i="2">
      <x v="2"/>
    </i>
    <i>
      <x v="127"/>
      <x/>
    </i>
    <i r="1" i="1">
      <x v="1"/>
    </i>
    <i r="1" i="2">
      <x v="2"/>
    </i>
    <i>
      <x v="128"/>
      <x/>
    </i>
    <i r="1" i="1">
      <x v="1"/>
    </i>
    <i r="1" i="2">
      <x v="2"/>
    </i>
    <i>
      <x v="129"/>
      <x/>
    </i>
    <i r="1" i="1">
      <x v="1"/>
    </i>
    <i r="1" i="2">
      <x v="2"/>
    </i>
    <i>
      <x v="130"/>
      <x/>
    </i>
    <i r="1" i="1">
      <x v="1"/>
    </i>
    <i r="1" i="2">
      <x v="2"/>
    </i>
    <i>
      <x v="131"/>
      <x/>
    </i>
    <i r="1" i="1">
      <x v="1"/>
    </i>
    <i r="1" i="2">
      <x v="2"/>
    </i>
    <i>
      <x v="132"/>
      <x/>
    </i>
    <i r="1" i="1">
      <x v="1"/>
    </i>
    <i r="1" i="2">
      <x v="2"/>
    </i>
    <i>
      <x v="133"/>
      <x/>
    </i>
    <i r="1" i="1">
      <x v="1"/>
    </i>
    <i r="1" i="2">
      <x v="2"/>
    </i>
    <i>
      <x v="134"/>
      <x/>
    </i>
    <i r="1" i="1">
      <x v="1"/>
    </i>
    <i r="1" i="2">
      <x v="2"/>
    </i>
    <i>
      <x v="135"/>
      <x/>
    </i>
    <i r="1" i="1">
      <x v="1"/>
    </i>
    <i r="1" i="2">
      <x v="2"/>
    </i>
    <i>
      <x v="136"/>
      <x/>
    </i>
    <i r="1" i="1">
      <x v="1"/>
    </i>
    <i r="1" i="2">
      <x v="2"/>
    </i>
    <i>
      <x v="137"/>
      <x/>
    </i>
    <i r="1" i="1">
      <x v="1"/>
    </i>
    <i r="1" i="2">
      <x v="2"/>
    </i>
    <i>
      <x v="138"/>
      <x/>
    </i>
    <i r="1" i="1">
      <x v="1"/>
    </i>
    <i r="1" i="2">
      <x v="2"/>
    </i>
    <i>
      <x v="139"/>
      <x/>
    </i>
    <i r="1" i="1">
      <x v="1"/>
    </i>
    <i r="1" i="2">
      <x v="2"/>
    </i>
    <i>
      <x v="140"/>
      <x/>
    </i>
    <i r="1" i="1">
      <x v="1"/>
    </i>
    <i r="1" i="2">
      <x v="2"/>
    </i>
    <i>
      <x v="141"/>
      <x/>
    </i>
    <i r="1" i="1">
      <x v="1"/>
    </i>
    <i r="1" i="2">
      <x v="2"/>
    </i>
    <i>
      <x v="142"/>
      <x/>
    </i>
    <i r="1" i="1">
      <x v="1"/>
    </i>
    <i r="1" i="2">
      <x v="2"/>
    </i>
    <i>
      <x v="143"/>
      <x/>
    </i>
    <i r="1" i="1">
      <x v="1"/>
    </i>
    <i r="1" i="2">
      <x v="2"/>
    </i>
    <i>
      <x v="144"/>
      <x/>
    </i>
    <i r="1" i="1">
      <x v="1"/>
    </i>
    <i r="1" i="2">
      <x v="2"/>
    </i>
    <i>
      <x v="145"/>
      <x/>
    </i>
    <i r="1" i="1">
      <x v="1"/>
    </i>
    <i r="1" i="2">
      <x v="2"/>
    </i>
    <i>
      <x v="146"/>
      <x/>
    </i>
    <i r="1" i="1">
      <x v="1"/>
    </i>
    <i r="1" i="2">
      <x v="2"/>
    </i>
    <i>
      <x v="147"/>
      <x/>
    </i>
    <i r="1" i="1">
      <x v="1"/>
    </i>
    <i r="1" i="2">
      <x v="2"/>
    </i>
    <i>
      <x v="148"/>
      <x/>
    </i>
    <i r="1" i="1">
      <x v="1"/>
    </i>
    <i r="1" i="2">
      <x v="2"/>
    </i>
    <i t="grand">
      <x/>
    </i>
    <i t="grand" i="1">
      <x/>
    </i>
    <i t="grand" i="2">
      <x/>
    </i>
  </colItems>
  <dataFields count="3">
    <dataField name="Average of kg/barrel" fld="8" subtotal="average" baseField="5" baseItem="0"/>
    <dataField name="Min of kg/barrel" fld="8" subtotal="min" baseField="5" baseItem="0"/>
    <dataField name="Max of kg/barrel" fld="8" subtotal="max" baseField="5"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ntrol" Target="../activeX/activeX2.xml"/><Relationship Id="rId11" Type="http://schemas.openxmlformats.org/officeDocument/2006/relationships/image" Target="../media/image4.emf"/><Relationship Id="rId5" Type="http://schemas.openxmlformats.org/officeDocument/2006/relationships/image" Target="../media/image1.emf"/><Relationship Id="rId10" Type="http://schemas.openxmlformats.org/officeDocument/2006/relationships/control" Target="../activeX/activeX4.xml"/><Relationship Id="rId4" Type="http://schemas.openxmlformats.org/officeDocument/2006/relationships/control" Target="../activeX/activeX1.xml"/><Relationship Id="rId9" Type="http://schemas.openxmlformats.org/officeDocument/2006/relationships/image" Target="../media/image3.emf"/></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A511"/>
  <sheetViews>
    <sheetView tabSelected="1" workbookViewId="0">
      <selection sqref="A1:N1"/>
    </sheetView>
  </sheetViews>
  <sheetFormatPr defaultColWidth="9.140625" defaultRowHeight="12.75" x14ac:dyDescent="0.2"/>
  <cols>
    <col min="1" max="1" width="2" style="2" customWidth="1"/>
    <col min="2" max="2" width="9.140625" style="3"/>
    <col min="3" max="3" width="21.42578125" style="3" customWidth="1"/>
    <col min="4" max="4" width="8.42578125" style="3" customWidth="1"/>
    <col min="5" max="5" width="9.140625" style="3"/>
    <col min="6" max="6" width="8" style="3" customWidth="1"/>
    <col min="7" max="12" width="9.140625" style="3"/>
    <col min="13" max="13" width="13" style="3" customWidth="1"/>
    <col min="14" max="14" width="2" style="3" customWidth="1"/>
    <col min="15" max="15" width="9.140625" style="3" customWidth="1"/>
    <col min="16" max="27" width="9.140625" style="2"/>
    <col min="28" max="256" width="9.140625" style="3"/>
    <col min="257" max="257" width="2" style="3" customWidth="1"/>
    <col min="258" max="258" width="9.140625" style="3"/>
    <col min="259" max="259" width="21.42578125" style="3" customWidth="1"/>
    <col min="260" max="260" width="8.42578125" style="3" customWidth="1"/>
    <col min="261" max="261" width="9.140625" style="3"/>
    <col min="262" max="262" width="8" style="3" customWidth="1"/>
    <col min="263" max="268" width="9.140625" style="3"/>
    <col min="269" max="269" width="13" style="3" customWidth="1"/>
    <col min="270" max="270" width="2" style="3" customWidth="1"/>
    <col min="271" max="271" width="9.140625" style="3" customWidth="1"/>
    <col min="272" max="512" width="9.140625" style="3"/>
    <col min="513" max="513" width="2" style="3" customWidth="1"/>
    <col min="514" max="514" width="9.140625" style="3"/>
    <col min="515" max="515" width="21.42578125" style="3" customWidth="1"/>
    <col min="516" max="516" width="8.42578125" style="3" customWidth="1"/>
    <col min="517" max="517" width="9.140625" style="3"/>
    <col min="518" max="518" width="8" style="3" customWidth="1"/>
    <col min="519" max="524" width="9.140625" style="3"/>
    <col min="525" max="525" width="13" style="3" customWidth="1"/>
    <col min="526" max="526" width="2" style="3" customWidth="1"/>
    <col min="527" max="527" width="9.140625" style="3" customWidth="1"/>
    <col min="528" max="768" width="9.140625" style="3"/>
    <col min="769" max="769" width="2" style="3" customWidth="1"/>
    <col min="770" max="770" width="9.140625" style="3"/>
    <col min="771" max="771" width="21.42578125" style="3" customWidth="1"/>
    <col min="772" max="772" width="8.42578125" style="3" customWidth="1"/>
    <col min="773" max="773" width="9.140625" style="3"/>
    <col min="774" max="774" width="8" style="3" customWidth="1"/>
    <col min="775" max="780" width="9.140625" style="3"/>
    <col min="781" max="781" width="13" style="3" customWidth="1"/>
    <col min="782" max="782" width="2" style="3" customWidth="1"/>
    <col min="783" max="783" width="9.140625" style="3" customWidth="1"/>
    <col min="784" max="1024" width="9.140625" style="3"/>
    <col min="1025" max="1025" width="2" style="3" customWidth="1"/>
    <col min="1026" max="1026" width="9.140625" style="3"/>
    <col min="1027" max="1027" width="21.42578125" style="3" customWidth="1"/>
    <col min="1028" max="1028" width="8.42578125" style="3" customWidth="1"/>
    <col min="1029" max="1029" width="9.140625" style="3"/>
    <col min="1030" max="1030" width="8" style="3" customWidth="1"/>
    <col min="1031" max="1036" width="9.140625" style="3"/>
    <col min="1037" max="1037" width="13" style="3" customWidth="1"/>
    <col min="1038" max="1038" width="2" style="3" customWidth="1"/>
    <col min="1039" max="1039" width="9.140625" style="3" customWidth="1"/>
    <col min="1040" max="1280" width="9.140625" style="3"/>
    <col min="1281" max="1281" width="2" style="3" customWidth="1"/>
    <col min="1282" max="1282" width="9.140625" style="3"/>
    <col min="1283" max="1283" width="21.42578125" style="3" customWidth="1"/>
    <col min="1284" max="1284" width="8.42578125" style="3" customWidth="1"/>
    <col min="1285" max="1285" width="9.140625" style="3"/>
    <col min="1286" max="1286" width="8" style="3" customWidth="1"/>
    <col min="1287" max="1292" width="9.140625" style="3"/>
    <col min="1293" max="1293" width="13" style="3" customWidth="1"/>
    <col min="1294" max="1294" width="2" style="3" customWidth="1"/>
    <col min="1295" max="1295" width="9.140625" style="3" customWidth="1"/>
    <col min="1296" max="1536" width="9.140625" style="3"/>
    <col min="1537" max="1537" width="2" style="3" customWidth="1"/>
    <col min="1538" max="1538" width="9.140625" style="3"/>
    <col min="1539" max="1539" width="21.42578125" style="3" customWidth="1"/>
    <col min="1540" max="1540" width="8.42578125" style="3" customWidth="1"/>
    <col min="1541" max="1541" width="9.140625" style="3"/>
    <col min="1542" max="1542" width="8" style="3" customWidth="1"/>
    <col min="1543" max="1548" width="9.140625" style="3"/>
    <col min="1549" max="1549" width="13" style="3" customWidth="1"/>
    <col min="1550" max="1550" width="2" style="3" customWidth="1"/>
    <col min="1551" max="1551" width="9.140625" style="3" customWidth="1"/>
    <col min="1552" max="1792" width="9.140625" style="3"/>
    <col min="1793" max="1793" width="2" style="3" customWidth="1"/>
    <col min="1794" max="1794" width="9.140625" style="3"/>
    <col min="1795" max="1795" width="21.42578125" style="3" customWidth="1"/>
    <col min="1796" max="1796" width="8.42578125" style="3" customWidth="1"/>
    <col min="1797" max="1797" width="9.140625" style="3"/>
    <col min="1798" max="1798" width="8" style="3" customWidth="1"/>
    <col min="1799" max="1804" width="9.140625" style="3"/>
    <col min="1805" max="1805" width="13" style="3" customWidth="1"/>
    <col min="1806" max="1806" width="2" style="3" customWidth="1"/>
    <col min="1807" max="1807" width="9.140625" style="3" customWidth="1"/>
    <col min="1808" max="2048" width="9.140625" style="3"/>
    <col min="2049" max="2049" width="2" style="3" customWidth="1"/>
    <col min="2050" max="2050" width="9.140625" style="3"/>
    <col min="2051" max="2051" width="21.42578125" style="3" customWidth="1"/>
    <col min="2052" max="2052" width="8.42578125" style="3" customWidth="1"/>
    <col min="2053" max="2053" width="9.140625" style="3"/>
    <col min="2054" max="2054" width="8" style="3" customWidth="1"/>
    <col min="2055" max="2060" width="9.140625" style="3"/>
    <col min="2061" max="2061" width="13" style="3" customWidth="1"/>
    <col min="2062" max="2062" width="2" style="3" customWidth="1"/>
    <col min="2063" max="2063" width="9.140625" style="3" customWidth="1"/>
    <col min="2064" max="2304" width="9.140625" style="3"/>
    <col min="2305" max="2305" width="2" style="3" customWidth="1"/>
    <col min="2306" max="2306" width="9.140625" style="3"/>
    <col min="2307" max="2307" width="21.42578125" style="3" customWidth="1"/>
    <col min="2308" max="2308" width="8.42578125" style="3" customWidth="1"/>
    <col min="2309" max="2309" width="9.140625" style="3"/>
    <col min="2310" max="2310" width="8" style="3" customWidth="1"/>
    <col min="2311" max="2316" width="9.140625" style="3"/>
    <col min="2317" max="2317" width="13" style="3" customWidth="1"/>
    <col min="2318" max="2318" width="2" style="3" customWidth="1"/>
    <col min="2319" max="2319" width="9.140625" style="3" customWidth="1"/>
    <col min="2320" max="2560" width="9.140625" style="3"/>
    <col min="2561" max="2561" width="2" style="3" customWidth="1"/>
    <col min="2562" max="2562" width="9.140625" style="3"/>
    <col min="2563" max="2563" width="21.42578125" style="3" customWidth="1"/>
    <col min="2564" max="2564" width="8.42578125" style="3" customWidth="1"/>
    <col min="2565" max="2565" width="9.140625" style="3"/>
    <col min="2566" max="2566" width="8" style="3" customWidth="1"/>
    <col min="2567" max="2572" width="9.140625" style="3"/>
    <col min="2573" max="2573" width="13" style="3" customWidth="1"/>
    <col min="2574" max="2574" width="2" style="3" customWidth="1"/>
    <col min="2575" max="2575" width="9.140625" style="3" customWidth="1"/>
    <col min="2576" max="2816" width="9.140625" style="3"/>
    <col min="2817" max="2817" width="2" style="3" customWidth="1"/>
    <col min="2818" max="2818" width="9.140625" style="3"/>
    <col min="2819" max="2819" width="21.42578125" style="3" customWidth="1"/>
    <col min="2820" max="2820" width="8.42578125" style="3" customWidth="1"/>
    <col min="2821" max="2821" width="9.140625" style="3"/>
    <col min="2822" max="2822" width="8" style="3" customWidth="1"/>
    <col min="2823" max="2828" width="9.140625" style="3"/>
    <col min="2829" max="2829" width="13" style="3" customWidth="1"/>
    <col min="2830" max="2830" width="2" style="3" customWidth="1"/>
    <col min="2831" max="2831" width="9.140625" style="3" customWidth="1"/>
    <col min="2832" max="3072" width="9.140625" style="3"/>
    <col min="3073" max="3073" width="2" style="3" customWidth="1"/>
    <col min="3074" max="3074" width="9.140625" style="3"/>
    <col min="3075" max="3075" width="21.42578125" style="3" customWidth="1"/>
    <col min="3076" max="3076" width="8.42578125" style="3" customWidth="1"/>
    <col min="3077" max="3077" width="9.140625" style="3"/>
    <col min="3078" max="3078" width="8" style="3" customWidth="1"/>
    <col min="3079" max="3084" width="9.140625" style="3"/>
    <col min="3085" max="3085" width="13" style="3" customWidth="1"/>
    <col min="3086" max="3086" width="2" style="3" customWidth="1"/>
    <col min="3087" max="3087" width="9.140625" style="3" customWidth="1"/>
    <col min="3088" max="3328" width="9.140625" style="3"/>
    <col min="3329" max="3329" width="2" style="3" customWidth="1"/>
    <col min="3330" max="3330" width="9.140625" style="3"/>
    <col min="3331" max="3331" width="21.42578125" style="3" customWidth="1"/>
    <col min="3332" max="3332" width="8.42578125" style="3" customWidth="1"/>
    <col min="3333" max="3333" width="9.140625" style="3"/>
    <col min="3334" max="3334" width="8" style="3" customWidth="1"/>
    <col min="3335" max="3340" width="9.140625" style="3"/>
    <col min="3341" max="3341" width="13" style="3" customWidth="1"/>
    <col min="3342" max="3342" width="2" style="3" customWidth="1"/>
    <col min="3343" max="3343" width="9.140625" style="3" customWidth="1"/>
    <col min="3344" max="3584" width="9.140625" style="3"/>
    <col min="3585" max="3585" width="2" style="3" customWidth="1"/>
    <col min="3586" max="3586" width="9.140625" style="3"/>
    <col min="3587" max="3587" width="21.42578125" style="3" customWidth="1"/>
    <col min="3588" max="3588" width="8.42578125" style="3" customWidth="1"/>
    <col min="3589" max="3589" width="9.140625" style="3"/>
    <col min="3590" max="3590" width="8" style="3" customWidth="1"/>
    <col min="3591" max="3596" width="9.140625" style="3"/>
    <col min="3597" max="3597" width="13" style="3" customWidth="1"/>
    <col min="3598" max="3598" width="2" style="3" customWidth="1"/>
    <col min="3599" max="3599" width="9.140625" style="3" customWidth="1"/>
    <col min="3600" max="3840" width="9.140625" style="3"/>
    <col min="3841" max="3841" width="2" style="3" customWidth="1"/>
    <col min="3842" max="3842" width="9.140625" style="3"/>
    <col min="3843" max="3843" width="21.42578125" style="3" customWidth="1"/>
    <col min="3844" max="3844" width="8.42578125" style="3" customWidth="1"/>
    <col min="3845" max="3845" width="9.140625" style="3"/>
    <col min="3846" max="3846" width="8" style="3" customWidth="1"/>
    <col min="3847" max="3852" width="9.140625" style="3"/>
    <col min="3853" max="3853" width="13" style="3" customWidth="1"/>
    <col min="3854" max="3854" width="2" style="3" customWidth="1"/>
    <col min="3855" max="3855" width="9.140625" style="3" customWidth="1"/>
    <col min="3856" max="4096" width="9.140625" style="3"/>
    <col min="4097" max="4097" width="2" style="3" customWidth="1"/>
    <col min="4098" max="4098" width="9.140625" style="3"/>
    <col min="4099" max="4099" width="21.42578125" style="3" customWidth="1"/>
    <col min="4100" max="4100" width="8.42578125" style="3" customWidth="1"/>
    <col min="4101" max="4101" width="9.140625" style="3"/>
    <col min="4102" max="4102" width="8" style="3" customWidth="1"/>
    <col min="4103" max="4108" width="9.140625" style="3"/>
    <col min="4109" max="4109" width="13" style="3" customWidth="1"/>
    <col min="4110" max="4110" width="2" style="3" customWidth="1"/>
    <col min="4111" max="4111" width="9.140625" style="3" customWidth="1"/>
    <col min="4112" max="4352" width="9.140625" style="3"/>
    <col min="4353" max="4353" width="2" style="3" customWidth="1"/>
    <col min="4354" max="4354" width="9.140625" style="3"/>
    <col min="4355" max="4355" width="21.42578125" style="3" customWidth="1"/>
    <col min="4356" max="4356" width="8.42578125" style="3" customWidth="1"/>
    <col min="4357" max="4357" width="9.140625" style="3"/>
    <col min="4358" max="4358" width="8" style="3" customWidth="1"/>
    <col min="4359" max="4364" width="9.140625" style="3"/>
    <col min="4365" max="4365" width="13" style="3" customWidth="1"/>
    <col min="4366" max="4366" width="2" style="3" customWidth="1"/>
    <col min="4367" max="4367" width="9.140625" style="3" customWidth="1"/>
    <col min="4368" max="4608" width="9.140625" style="3"/>
    <col min="4609" max="4609" width="2" style="3" customWidth="1"/>
    <col min="4610" max="4610" width="9.140625" style="3"/>
    <col min="4611" max="4611" width="21.42578125" style="3" customWidth="1"/>
    <col min="4612" max="4612" width="8.42578125" style="3" customWidth="1"/>
    <col min="4613" max="4613" width="9.140625" style="3"/>
    <col min="4614" max="4614" width="8" style="3" customWidth="1"/>
    <col min="4615" max="4620" width="9.140625" style="3"/>
    <col min="4621" max="4621" width="13" style="3" customWidth="1"/>
    <col min="4622" max="4622" width="2" style="3" customWidth="1"/>
    <col min="4623" max="4623" width="9.140625" style="3" customWidth="1"/>
    <col min="4624" max="4864" width="9.140625" style="3"/>
    <col min="4865" max="4865" width="2" style="3" customWidth="1"/>
    <col min="4866" max="4866" width="9.140625" style="3"/>
    <col min="4867" max="4867" width="21.42578125" style="3" customWidth="1"/>
    <col min="4868" max="4868" width="8.42578125" style="3" customWidth="1"/>
    <col min="4869" max="4869" width="9.140625" style="3"/>
    <col min="4870" max="4870" width="8" style="3" customWidth="1"/>
    <col min="4871" max="4876" width="9.140625" style="3"/>
    <col min="4877" max="4877" width="13" style="3" customWidth="1"/>
    <col min="4878" max="4878" width="2" style="3" customWidth="1"/>
    <col min="4879" max="4879" width="9.140625" style="3" customWidth="1"/>
    <col min="4880" max="5120" width="9.140625" style="3"/>
    <col min="5121" max="5121" width="2" style="3" customWidth="1"/>
    <col min="5122" max="5122" width="9.140625" style="3"/>
    <col min="5123" max="5123" width="21.42578125" style="3" customWidth="1"/>
    <col min="5124" max="5124" width="8.42578125" style="3" customWidth="1"/>
    <col min="5125" max="5125" width="9.140625" style="3"/>
    <col min="5126" max="5126" width="8" style="3" customWidth="1"/>
    <col min="5127" max="5132" width="9.140625" style="3"/>
    <col min="5133" max="5133" width="13" style="3" customWidth="1"/>
    <col min="5134" max="5134" width="2" style="3" customWidth="1"/>
    <col min="5135" max="5135" width="9.140625" style="3" customWidth="1"/>
    <col min="5136" max="5376" width="9.140625" style="3"/>
    <col min="5377" max="5377" width="2" style="3" customWidth="1"/>
    <col min="5378" max="5378" width="9.140625" style="3"/>
    <col min="5379" max="5379" width="21.42578125" style="3" customWidth="1"/>
    <col min="5380" max="5380" width="8.42578125" style="3" customWidth="1"/>
    <col min="5381" max="5381" width="9.140625" style="3"/>
    <col min="5382" max="5382" width="8" style="3" customWidth="1"/>
    <col min="5383" max="5388" width="9.140625" style="3"/>
    <col min="5389" max="5389" width="13" style="3" customWidth="1"/>
    <col min="5390" max="5390" width="2" style="3" customWidth="1"/>
    <col min="5391" max="5391" width="9.140625" style="3" customWidth="1"/>
    <col min="5392" max="5632" width="9.140625" style="3"/>
    <col min="5633" max="5633" width="2" style="3" customWidth="1"/>
    <col min="5634" max="5634" width="9.140625" style="3"/>
    <col min="5635" max="5635" width="21.42578125" style="3" customWidth="1"/>
    <col min="5636" max="5636" width="8.42578125" style="3" customWidth="1"/>
    <col min="5637" max="5637" width="9.140625" style="3"/>
    <col min="5638" max="5638" width="8" style="3" customWidth="1"/>
    <col min="5639" max="5644" width="9.140625" style="3"/>
    <col min="5645" max="5645" width="13" style="3" customWidth="1"/>
    <col min="5646" max="5646" width="2" style="3" customWidth="1"/>
    <col min="5647" max="5647" width="9.140625" style="3" customWidth="1"/>
    <col min="5648" max="5888" width="9.140625" style="3"/>
    <col min="5889" max="5889" width="2" style="3" customWidth="1"/>
    <col min="5890" max="5890" width="9.140625" style="3"/>
    <col min="5891" max="5891" width="21.42578125" style="3" customWidth="1"/>
    <col min="5892" max="5892" width="8.42578125" style="3" customWidth="1"/>
    <col min="5893" max="5893" width="9.140625" style="3"/>
    <col min="5894" max="5894" width="8" style="3" customWidth="1"/>
    <col min="5895" max="5900" width="9.140625" style="3"/>
    <col min="5901" max="5901" width="13" style="3" customWidth="1"/>
    <col min="5902" max="5902" width="2" style="3" customWidth="1"/>
    <col min="5903" max="5903" width="9.140625" style="3" customWidth="1"/>
    <col min="5904" max="6144" width="9.140625" style="3"/>
    <col min="6145" max="6145" width="2" style="3" customWidth="1"/>
    <col min="6146" max="6146" width="9.140625" style="3"/>
    <col min="6147" max="6147" width="21.42578125" style="3" customWidth="1"/>
    <col min="6148" max="6148" width="8.42578125" style="3" customWidth="1"/>
    <col min="6149" max="6149" width="9.140625" style="3"/>
    <col min="6150" max="6150" width="8" style="3" customWidth="1"/>
    <col min="6151" max="6156" width="9.140625" style="3"/>
    <col min="6157" max="6157" width="13" style="3" customWidth="1"/>
    <col min="6158" max="6158" width="2" style="3" customWidth="1"/>
    <col min="6159" max="6159" width="9.140625" style="3" customWidth="1"/>
    <col min="6160" max="6400" width="9.140625" style="3"/>
    <col min="6401" max="6401" width="2" style="3" customWidth="1"/>
    <col min="6402" max="6402" width="9.140625" style="3"/>
    <col min="6403" max="6403" width="21.42578125" style="3" customWidth="1"/>
    <col min="6404" max="6404" width="8.42578125" style="3" customWidth="1"/>
    <col min="6405" max="6405" width="9.140625" style="3"/>
    <col min="6406" max="6406" width="8" style="3" customWidth="1"/>
    <col min="6407" max="6412" width="9.140625" style="3"/>
    <col min="6413" max="6413" width="13" style="3" customWidth="1"/>
    <col min="6414" max="6414" width="2" style="3" customWidth="1"/>
    <col min="6415" max="6415" width="9.140625" style="3" customWidth="1"/>
    <col min="6416" max="6656" width="9.140625" style="3"/>
    <col min="6657" max="6657" width="2" style="3" customWidth="1"/>
    <col min="6658" max="6658" width="9.140625" style="3"/>
    <col min="6659" max="6659" width="21.42578125" style="3" customWidth="1"/>
    <col min="6660" max="6660" width="8.42578125" style="3" customWidth="1"/>
    <col min="6661" max="6661" width="9.140625" style="3"/>
    <col min="6662" max="6662" width="8" style="3" customWidth="1"/>
    <col min="6663" max="6668" width="9.140625" style="3"/>
    <col min="6669" max="6669" width="13" style="3" customWidth="1"/>
    <col min="6670" max="6670" width="2" style="3" customWidth="1"/>
    <col min="6671" max="6671" width="9.140625" style="3" customWidth="1"/>
    <col min="6672" max="6912" width="9.140625" style="3"/>
    <col min="6913" max="6913" width="2" style="3" customWidth="1"/>
    <col min="6914" max="6914" width="9.140625" style="3"/>
    <col min="6915" max="6915" width="21.42578125" style="3" customWidth="1"/>
    <col min="6916" max="6916" width="8.42578125" style="3" customWidth="1"/>
    <col min="6917" max="6917" width="9.140625" style="3"/>
    <col min="6918" max="6918" width="8" style="3" customWidth="1"/>
    <col min="6919" max="6924" width="9.140625" style="3"/>
    <col min="6925" max="6925" width="13" style="3" customWidth="1"/>
    <col min="6926" max="6926" width="2" style="3" customWidth="1"/>
    <col min="6927" max="6927" width="9.140625" style="3" customWidth="1"/>
    <col min="6928" max="7168" width="9.140625" style="3"/>
    <col min="7169" max="7169" width="2" style="3" customWidth="1"/>
    <col min="7170" max="7170" width="9.140625" style="3"/>
    <col min="7171" max="7171" width="21.42578125" style="3" customWidth="1"/>
    <col min="7172" max="7172" width="8.42578125" style="3" customWidth="1"/>
    <col min="7173" max="7173" width="9.140625" style="3"/>
    <col min="7174" max="7174" width="8" style="3" customWidth="1"/>
    <col min="7175" max="7180" width="9.140625" style="3"/>
    <col min="7181" max="7181" width="13" style="3" customWidth="1"/>
    <col min="7182" max="7182" width="2" style="3" customWidth="1"/>
    <col min="7183" max="7183" width="9.140625" style="3" customWidth="1"/>
    <col min="7184" max="7424" width="9.140625" style="3"/>
    <col min="7425" max="7425" width="2" style="3" customWidth="1"/>
    <col min="7426" max="7426" width="9.140625" style="3"/>
    <col min="7427" max="7427" width="21.42578125" style="3" customWidth="1"/>
    <col min="7428" max="7428" width="8.42578125" style="3" customWidth="1"/>
    <col min="7429" max="7429" width="9.140625" style="3"/>
    <col min="7430" max="7430" width="8" style="3" customWidth="1"/>
    <col min="7431" max="7436" width="9.140625" style="3"/>
    <col min="7437" max="7437" width="13" style="3" customWidth="1"/>
    <col min="7438" max="7438" width="2" style="3" customWidth="1"/>
    <col min="7439" max="7439" width="9.140625" style="3" customWidth="1"/>
    <col min="7440" max="7680" width="9.140625" style="3"/>
    <col min="7681" max="7681" width="2" style="3" customWidth="1"/>
    <col min="7682" max="7682" width="9.140625" style="3"/>
    <col min="7683" max="7683" width="21.42578125" style="3" customWidth="1"/>
    <col min="7684" max="7684" width="8.42578125" style="3" customWidth="1"/>
    <col min="7685" max="7685" width="9.140625" style="3"/>
    <col min="7686" max="7686" width="8" style="3" customWidth="1"/>
    <col min="7687" max="7692" width="9.140625" style="3"/>
    <col min="7693" max="7693" width="13" style="3" customWidth="1"/>
    <col min="7694" max="7694" width="2" style="3" customWidth="1"/>
    <col min="7695" max="7695" width="9.140625" style="3" customWidth="1"/>
    <col min="7696" max="7936" width="9.140625" style="3"/>
    <col min="7937" max="7937" width="2" style="3" customWidth="1"/>
    <col min="7938" max="7938" width="9.140625" style="3"/>
    <col min="7939" max="7939" width="21.42578125" style="3" customWidth="1"/>
    <col min="7940" max="7940" width="8.42578125" style="3" customWidth="1"/>
    <col min="7941" max="7941" width="9.140625" style="3"/>
    <col min="7942" max="7942" width="8" style="3" customWidth="1"/>
    <col min="7943" max="7948" width="9.140625" style="3"/>
    <col min="7949" max="7949" width="13" style="3" customWidth="1"/>
    <col min="7950" max="7950" width="2" style="3" customWidth="1"/>
    <col min="7951" max="7951" width="9.140625" style="3" customWidth="1"/>
    <col min="7952" max="8192" width="9.140625" style="3"/>
    <col min="8193" max="8193" width="2" style="3" customWidth="1"/>
    <col min="8194" max="8194" width="9.140625" style="3"/>
    <col min="8195" max="8195" width="21.42578125" style="3" customWidth="1"/>
    <col min="8196" max="8196" width="8.42578125" style="3" customWidth="1"/>
    <col min="8197" max="8197" width="9.140625" style="3"/>
    <col min="8198" max="8198" width="8" style="3" customWidth="1"/>
    <col min="8199" max="8204" width="9.140625" style="3"/>
    <col min="8205" max="8205" width="13" style="3" customWidth="1"/>
    <col min="8206" max="8206" width="2" style="3" customWidth="1"/>
    <col min="8207" max="8207" width="9.140625" style="3" customWidth="1"/>
    <col min="8208" max="8448" width="9.140625" style="3"/>
    <col min="8449" max="8449" width="2" style="3" customWidth="1"/>
    <col min="8450" max="8450" width="9.140625" style="3"/>
    <col min="8451" max="8451" width="21.42578125" style="3" customWidth="1"/>
    <col min="8452" max="8452" width="8.42578125" style="3" customWidth="1"/>
    <col min="8453" max="8453" width="9.140625" style="3"/>
    <col min="8454" max="8454" width="8" style="3" customWidth="1"/>
    <col min="8455" max="8460" width="9.140625" style="3"/>
    <col min="8461" max="8461" width="13" style="3" customWidth="1"/>
    <col min="8462" max="8462" width="2" style="3" customWidth="1"/>
    <col min="8463" max="8463" width="9.140625" style="3" customWidth="1"/>
    <col min="8464" max="8704" width="9.140625" style="3"/>
    <col min="8705" max="8705" width="2" style="3" customWidth="1"/>
    <col min="8706" max="8706" width="9.140625" style="3"/>
    <col min="8707" max="8707" width="21.42578125" style="3" customWidth="1"/>
    <col min="8708" max="8708" width="8.42578125" style="3" customWidth="1"/>
    <col min="8709" max="8709" width="9.140625" style="3"/>
    <col min="8710" max="8710" width="8" style="3" customWidth="1"/>
    <col min="8711" max="8716" width="9.140625" style="3"/>
    <col min="8717" max="8717" width="13" style="3" customWidth="1"/>
    <col min="8718" max="8718" width="2" style="3" customWidth="1"/>
    <col min="8719" max="8719" width="9.140625" style="3" customWidth="1"/>
    <col min="8720" max="8960" width="9.140625" style="3"/>
    <col min="8961" max="8961" width="2" style="3" customWidth="1"/>
    <col min="8962" max="8962" width="9.140625" style="3"/>
    <col min="8963" max="8963" width="21.42578125" style="3" customWidth="1"/>
    <col min="8964" max="8964" width="8.42578125" style="3" customWidth="1"/>
    <col min="8965" max="8965" width="9.140625" style="3"/>
    <col min="8966" max="8966" width="8" style="3" customWidth="1"/>
    <col min="8967" max="8972" width="9.140625" style="3"/>
    <col min="8973" max="8973" width="13" style="3" customWidth="1"/>
    <col min="8974" max="8974" width="2" style="3" customWidth="1"/>
    <col min="8975" max="8975" width="9.140625" style="3" customWidth="1"/>
    <col min="8976" max="9216" width="9.140625" style="3"/>
    <col min="9217" max="9217" width="2" style="3" customWidth="1"/>
    <col min="9218" max="9218" width="9.140625" style="3"/>
    <col min="9219" max="9219" width="21.42578125" style="3" customWidth="1"/>
    <col min="9220" max="9220" width="8.42578125" style="3" customWidth="1"/>
    <col min="9221" max="9221" width="9.140625" style="3"/>
    <col min="9222" max="9222" width="8" style="3" customWidth="1"/>
    <col min="9223" max="9228" width="9.140625" style="3"/>
    <col min="9229" max="9229" width="13" style="3" customWidth="1"/>
    <col min="9230" max="9230" width="2" style="3" customWidth="1"/>
    <col min="9231" max="9231" width="9.140625" style="3" customWidth="1"/>
    <col min="9232" max="9472" width="9.140625" style="3"/>
    <col min="9473" max="9473" width="2" style="3" customWidth="1"/>
    <col min="9474" max="9474" width="9.140625" style="3"/>
    <col min="9475" max="9475" width="21.42578125" style="3" customWidth="1"/>
    <col min="9476" max="9476" width="8.42578125" style="3" customWidth="1"/>
    <col min="9477" max="9477" width="9.140625" style="3"/>
    <col min="9478" max="9478" width="8" style="3" customWidth="1"/>
    <col min="9479" max="9484" width="9.140625" style="3"/>
    <col min="9485" max="9485" width="13" style="3" customWidth="1"/>
    <col min="9486" max="9486" width="2" style="3" customWidth="1"/>
    <col min="9487" max="9487" width="9.140625" style="3" customWidth="1"/>
    <col min="9488" max="9728" width="9.140625" style="3"/>
    <col min="9729" max="9729" width="2" style="3" customWidth="1"/>
    <col min="9730" max="9730" width="9.140625" style="3"/>
    <col min="9731" max="9731" width="21.42578125" style="3" customWidth="1"/>
    <col min="9732" max="9732" width="8.42578125" style="3" customWidth="1"/>
    <col min="9733" max="9733" width="9.140625" style="3"/>
    <col min="9734" max="9734" width="8" style="3" customWidth="1"/>
    <col min="9735" max="9740" width="9.140625" style="3"/>
    <col min="9741" max="9741" width="13" style="3" customWidth="1"/>
    <col min="9742" max="9742" width="2" style="3" customWidth="1"/>
    <col min="9743" max="9743" width="9.140625" style="3" customWidth="1"/>
    <col min="9744" max="9984" width="9.140625" style="3"/>
    <col min="9985" max="9985" width="2" style="3" customWidth="1"/>
    <col min="9986" max="9986" width="9.140625" style="3"/>
    <col min="9987" max="9987" width="21.42578125" style="3" customWidth="1"/>
    <col min="9988" max="9988" width="8.42578125" style="3" customWidth="1"/>
    <col min="9989" max="9989" width="9.140625" style="3"/>
    <col min="9990" max="9990" width="8" style="3" customWidth="1"/>
    <col min="9991" max="9996" width="9.140625" style="3"/>
    <col min="9997" max="9997" width="13" style="3" customWidth="1"/>
    <col min="9998" max="9998" width="2" style="3" customWidth="1"/>
    <col min="9999" max="9999" width="9.140625" style="3" customWidth="1"/>
    <col min="10000" max="10240" width="9.140625" style="3"/>
    <col min="10241" max="10241" width="2" style="3" customWidth="1"/>
    <col min="10242" max="10242" width="9.140625" style="3"/>
    <col min="10243" max="10243" width="21.42578125" style="3" customWidth="1"/>
    <col min="10244" max="10244" width="8.42578125" style="3" customWidth="1"/>
    <col min="10245" max="10245" width="9.140625" style="3"/>
    <col min="10246" max="10246" width="8" style="3" customWidth="1"/>
    <col min="10247" max="10252" width="9.140625" style="3"/>
    <col min="10253" max="10253" width="13" style="3" customWidth="1"/>
    <col min="10254" max="10254" width="2" style="3" customWidth="1"/>
    <col min="10255" max="10255" width="9.140625" style="3" customWidth="1"/>
    <col min="10256" max="10496" width="9.140625" style="3"/>
    <col min="10497" max="10497" width="2" style="3" customWidth="1"/>
    <col min="10498" max="10498" width="9.140625" style="3"/>
    <col min="10499" max="10499" width="21.42578125" style="3" customWidth="1"/>
    <col min="10500" max="10500" width="8.42578125" style="3" customWidth="1"/>
    <col min="10501" max="10501" width="9.140625" style="3"/>
    <col min="10502" max="10502" width="8" style="3" customWidth="1"/>
    <col min="10503" max="10508" width="9.140625" style="3"/>
    <col min="10509" max="10509" width="13" style="3" customWidth="1"/>
    <col min="10510" max="10510" width="2" style="3" customWidth="1"/>
    <col min="10511" max="10511" width="9.140625" style="3" customWidth="1"/>
    <col min="10512" max="10752" width="9.140625" style="3"/>
    <col min="10753" max="10753" width="2" style="3" customWidth="1"/>
    <col min="10754" max="10754" width="9.140625" style="3"/>
    <col min="10755" max="10755" width="21.42578125" style="3" customWidth="1"/>
    <col min="10756" max="10756" width="8.42578125" style="3" customWidth="1"/>
    <col min="10757" max="10757" width="9.140625" style="3"/>
    <col min="10758" max="10758" width="8" style="3" customWidth="1"/>
    <col min="10759" max="10764" width="9.140625" style="3"/>
    <col min="10765" max="10765" width="13" style="3" customWidth="1"/>
    <col min="10766" max="10766" width="2" style="3" customWidth="1"/>
    <col min="10767" max="10767" width="9.140625" style="3" customWidth="1"/>
    <col min="10768" max="11008" width="9.140625" style="3"/>
    <col min="11009" max="11009" width="2" style="3" customWidth="1"/>
    <col min="11010" max="11010" width="9.140625" style="3"/>
    <col min="11011" max="11011" width="21.42578125" style="3" customWidth="1"/>
    <col min="11012" max="11012" width="8.42578125" style="3" customWidth="1"/>
    <col min="11013" max="11013" width="9.140625" style="3"/>
    <col min="11014" max="11014" width="8" style="3" customWidth="1"/>
    <col min="11015" max="11020" width="9.140625" style="3"/>
    <col min="11021" max="11021" width="13" style="3" customWidth="1"/>
    <col min="11022" max="11022" width="2" style="3" customWidth="1"/>
    <col min="11023" max="11023" width="9.140625" style="3" customWidth="1"/>
    <col min="11024" max="11264" width="9.140625" style="3"/>
    <col min="11265" max="11265" width="2" style="3" customWidth="1"/>
    <col min="11266" max="11266" width="9.140625" style="3"/>
    <col min="11267" max="11267" width="21.42578125" style="3" customWidth="1"/>
    <col min="11268" max="11268" width="8.42578125" style="3" customWidth="1"/>
    <col min="11269" max="11269" width="9.140625" style="3"/>
    <col min="11270" max="11270" width="8" style="3" customWidth="1"/>
    <col min="11271" max="11276" width="9.140625" style="3"/>
    <col min="11277" max="11277" width="13" style="3" customWidth="1"/>
    <col min="11278" max="11278" width="2" style="3" customWidth="1"/>
    <col min="11279" max="11279" width="9.140625" style="3" customWidth="1"/>
    <col min="11280" max="11520" width="9.140625" style="3"/>
    <col min="11521" max="11521" width="2" style="3" customWidth="1"/>
    <col min="11522" max="11522" width="9.140625" style="3"/>
    <col min="11523" max="11523" width="21.42578125" style="3" customWidth="1"/>
    <col min="11524" max="11524" width="8.42578125" style="3" customWidth="1"/>
    <col min="11525" max="11525" width="9.140625" style="3"/>
    <col min="11526" max="11526" width="8" style="3" customWidth="1"/>
    <col min="11527" max="11532" width="9.140625" style="3"/>
    <col min="11533" max="11533" width="13" style="3" customWidth="1"/>
    <col min="11534" max="11534" width="2" style="3" customWidth="1"/>
    <col min="11535" max="11535" width="9.140625" style="3" customWidth="1"/>
    <col min="11536" max="11776" width="9.140625" style="3"/>
    <col min="11777" max="11777" width="2" style="3" customWidth="1"/>
    <col min="11778" max="11778" width="9.140625" style="3"/>
    <col min="11779" max="11779" width="21.42578125" style="3" customWidth="1"/>
    <col min="11780" max="11780" width="8.42578125" style="3" customWidth="1"/>
    <col min="11781" max="11781" width="9.140625" style="3"/>
    <col min="11782" max="11782" width="8" style="3" customWidth="1"/>
    <col min="11783" max="11788" width="9.140625" style="3"/>
    <col min="11789" max="11789" width="13" style="3" customWidth="1"/>
    <col min="11790" max="11790" width="2" style="3" customWidth="1"/>
    <col min="11791" max="11791" width="9.140625" style="3" customWidth="1"/>
    <col min="11792" max="12032" width="9.140625" style="3"/>
    <col min="12033" max="12033" width="2" style="3" customWidth="1"/>
    <col min="12034" max="12034" width="9.140625" style="3"/>
    <col min="12035" max="12035" width="21.42578125" style="3" customWidth="1"/>
    <col min="12036" max="12036" width="8.42578125" style="3" customWidth="1"/>
    <col min="12037" max="12037" width="9.140625" style="3"/>
    <col min="12038" max="12038" width="8" style="3" customWidth="1"/>
    <col min="12039" max="12044" width="9.140625" style="3"/>
    <col min="12045" max="12045" width="13" style="3" customWidth="1"/>
    <col min="12046" max="12046" width="2" style="3" customWidth="1"/>
    <col min="12047" max="12047" width="9.140625" style="3" customWidth="1"/>
    <col min="12048" max="12288" width="9.140625" style="3"/>
    <col min="12289" max="12289" width="2" style="3" customWidth="1"/>
    <col min="12290" max="12290" width="9.140625" style="3"/>
    <col min="12291" max="12291" width="21.42578125" style="3" customWidth="1"/>
    <col min="12292" max="12292" width="8.42578125" style="3" customWidth="1"/>
    <col min="12293" max="12293" width="9.140625" style="3"/>
    <col min="12294" max="12294" width="8" style="3" customWidth="1"/>
    <col min="12295" max="12300" width="9.140625" style="3"/>
    <col min="12301" max="12301" width="13" style="3" customWidth="1"/>
    <col min="12302" max="12302" width="2" style="3" customWidth="1"/>
    <col min="12303" max="12303" width="9.140625" style="3" customWidth="1"/>
    <col min="12304" max="12544" width="9.140625" style="3"/>
    <col min="12545" max="12545" width="2" style="3" customWidth="1"/>
    <col min="12546" max="12546" width="9.140625" style="3"/>
    <col min="12547" max="12547" width="21.42578125" style="3" customWidth="1"/>
    <col min="12548" max="12548" width="8.42578125" style="3" customWidth="1"/>
    <col min="12549" max="12549" width="9.140625" style="3"/>
    <col min="12550" max="12550" width="8" style="3" customWidth="1"/>
    <col min="12551" max="12556" width="9.140625" style="3"/>
    <col min="12557" max="12557" width="13" style="3" customWidth="1"/>
    <col min="12558" max="12558" width="2" style="3" customWidth="1"/>
    <col min="12559" max="12559" width="9.140625" style="3" customWidth="1"/>
    <col min="12560" max="12800" width="9.140625" style="3"/>
    <col min="12801" max="12801" width="2" style="3" customWidth="1"/>
    <col min="12802" max="12802" width="9.140625" style="3"/>
    <col min="12803" max="12803" width="21.42578125" style="3" customWidth="1"/>
    <col min="12804" max="12804" width="8.42578125" style="3" customWidth="1"/>
    <col min="12805" max="12805" width="9.140625" style="3"/>
    <col min="12806" max="12806" width="8" style="3" customWidth="1"/>
    <col min="12807" max="12812" width="9.140625" style="3"/>
    <col min="12813" max="12813" width="13" style="3" customWidth="1"/>
    <col min="12814" max="12814" width="2" style="3" customWidth="1"/>
    <col min="12815" max="12815" width="9.140625" style="3" customWidth="1"/>
    <col min="12816" max="13056" width="9.140625" style="3"/>
    <col min="13057" max="13057" width="2" style="3" customWidth="1"/>
    <col min="13058" max="13058" width="9.140625" style="3"/>
    <col min="13059" max="13059" width="21.42578125" style="3" customWidth="1"/>
    <col min="13060" max="13060" width="8.42578125" style="3" customWidth="1"/>
    <col min="13061" max="13061" width="9.140625" style="3"/>
    <col min="13062" max="13062" width="8" style="3" customWidth="1"/>
    <col min="13063" max="13068" width="9.140625" style="3"/>
    <col min="13069" max="13069" width="13" style="3" customWidth="1"/>
    <col min="13070" max="13070" width="2" style="3" customWidth="1"/>
    <col min="13071" max="13071" width="9.140625" style="3" customWidth="1"/>
    <col min="13072" max="13312" width="9.140625" style="3"/>
    <col min="13313" max="13313" width="2" style="3" customWidth="1"/>
    <col min="13314" max="13314" width="9.140625" style="3"/>
    <col min="13315" max="13315" width="21.42578125" style="3" customWidth="1"/>
    <col min="13316" max="13316" width="8.42578125" style="3" customWidth="1"/>
    <col min="13317" max="13317" width="9.140625" style="3"/>
    <col min="13318" max="13318" width="8" style="3" customWidth="1"/>
    <col min="13319" max="13324" width="9.140625" style="3"/>
    <col min="13325" max="13325" width="13" style="3" customWidth="1"/>
    <col min="13326" max="13326" width="2" style="3" customWidth="1"/>
    <col min="13327" max="13327" width="9.140625" style="3" customWidth="1"/>
    <col min="13328" max="13568" width="9.140625" style="3"/>
    <col min="13569" max="13569" width="2" style="3" customWidth="1"/>
    <col min="13570" max="13570" width="9.140625" style="3"/>
    <col min="13571" max="13571" width="21.42578125" style="3" customWidth="1"/>
    <col min="13572" max="13572" width="8.42578125" style="3" customWidth="1"/>
    <col min="13573" max="13573" width="9.140625" style="3"/>
    <col min="13574" max="13574" width="8" style="3" customWidth="1"/>
    <col min="13575" max="13580" width="9.140625" style="3"/>
    <col min="13581" max="13581" width="13" style="3" customWidth="1"/>
    <col min="13582" max="13582" width="2" style="3" customWidth="1"/>
    <col min="13583" max="13583" width="9.140625" style="3" customWidth="1"/>
    <col min="13584" max="13824" width="9.140625" style="3"/>
    <col min="13825" max="13825" width="2" style="3" customWidth="1"/>
    <col min="13826" max="13826" width="9.140625" style="3"/>
    <col min="13827" max="13827" width="21.42578125" style="3" customWidth="1"/>
    <col min="13828" max="13828" width="8.42578125" style="3" customWidth="1"/>
    <col min="13829" max="13829" width="9.140625" style="3"/>
    <col min="13830" max="13830" width="8" style="3" customWidth="1"/>
    <col min="13831" max="13836" width="9.140625" style="3"/>
    <col min="13837" max="13837" width="13" style="3" customWidth="1"/>
    <col min="13838" max="13838" width="2" style="3" customWidth="1"/>
    <col min="13839" max="13839" width="9.140625" style="3" customWidth="1"/>
    <col min="13840" max="14080" width="9.140625" style="3"/>
    <col min="14081" max="14081" width="2" style="3" customWidth="1"/>
    <col min="14082" max="14082" width="9.140625" style="3"/>
    <col min="14083" max="14083" width="21.42578125" style="3" customWidth="1"/>
    <col min="14084" max="14084" width="8.42578125" style="3" customWidth="1"/>
    <col min="14085" max="14085" width="9.140625" style="3"/>
    <col min="14086" max="14086" width="8" style="3" customWidth="1"/>
    <col min="14087" max="14092" width="9.140625" style="3"/>
    <col min="14093" max="14093" width="13" style="3" customWidth="1"/>
    <col min="14094" max="14094" width="2" style="3" customWidth="1"/>
    <col min="14095" max="14095" width="9.140625" style="3" customWidth="1"/>
    <col min="14096" max="14336" width="9.140625" style="3"/>
    <col min="14337" max="14337" width="2" style="3" customWidth="1"/>
    <col min="14338" max="14338" width="9.140625" style="3"/>
    <col min="14339" max="14339" width="21.42578125" style="3" customWidth="1"/>
    <col min="14340" max="14340" width="8.42578125" style="3" customWidth="1"/>
    <col min="14341" max="14341" width="9.140625" style="3"/>
    <col min="14342" max="14342" width="8" style="3" customWidth="1"/>
    <col min="14343" max="14348" width="9.140625" style="3"/>
    <col min="14349" max="14349" width="13" style="3" customWidth="1"/>
    <col min="14350" max="14350" width="2" style="3" customWidth="1"/>
    <col min="14351" max="14351" width="9.140625" style="3" customWidth="1"/>
    <col min="14352" max="14592" width="9.140625" style="3"/>
    <col min="14593" max="14593" width="2" style="3" customWidth="1"/>
    <col min="14594" max="14594" width="9.140625" style="3"/>
    <col min="14595" max="14595" width="21.42578125" style="3" customWidth="1"/>
    <col min="14596" max="14596" width="8.42578125" style="3" customWidth="1"/>
    <col min="14597" max="14597" width="9.140625" style="3"/>
    <col min="14598" max="14598" width="8" style="3" customWidth="1"/>
    <col min="14599" max="14604" width="9.140625" style="3"/>
    <col min="14605" max="14605" width="13" style="3" customWidth="1"/>
    <col min="14606" max="14606" width="2" style="3" customWidth="1"/>
    <col min="14607" max="14607" width="9.140625" style="3" customWidth="1"/>
    <col min="14608" max="14848" width="9.140625" style="3"/>
    <col min="14849" max="14849" width="2" style="3" customWidth="1"/>
    <col min="14850" max="14850" width="9.140625" style="3"/>
    <col min="14851" max="14851" width="21.42578125" style="3" customWidth="1"/>
    <col min="14852" max="14852" width="8.42578125" style="3" customWidth="1"/>
    <col min="14853" max="14853" width="9.140625" style="3"/>
    <col min="14854" max="14854" width="8" style="3" customWidth="1"/>
    <col min="14855" max="14860" width="9.140625" style="3"/>
    <col min="14861" max="14861" width="13" style="3" customWidth="1"/>
    <col min="14862" max="14862" width="2" style="3" customWidth="1"/>
    <col min="14863" max="14863" width="9.140625" style="3" customWidth="1"/>
    <col min="14864" max="15104" width="9.140625" style="3"/>
    <col min="15105" max="15105" width="2" style="3" customWidth="1"/>
    <col min="15106" max="15106" width="9.140625" style="3"/>
    <col min="15107" max="15107" width="21.42578125" style="3" customWidth="1"/>
    <col min="15108" max="15108" width="8.42578125" style="3" customWidth="1"/>
    <col min="15109" max="15109" width="9.140625" style="3"/>
    <col min="15110" max="15110" width="8" style="3" customWidth="1"/>
    <col min="15111" max="15116" width="9.140625" style="3"/>
    <col min="15117" max="15117" width="13" style="3" customWidth="1"/>
    <col min="15118" max="15118" width="2" style="3" customWidth="1"/>
    <col min="15119" max="15119" width="9.140625" style="3" customWidth="1"/>
    <col min="15120" max="15360" width="9.140625" style="3"/>
    <col min="15361" max="15361" width="2" style="3" customWidth="1"/>
    <col min="15362" max="15362" width="9.140625" style="3"/>
    <col min="15363" max="15363" width="21.42578125" style="3" customWidth="1"/>
    <col min="15364" max="15364" width="8.42578125" style="3" customWidth="1"/>
    <col min="15365" max="15365" width="9.140625" style="3"/>
    <col min="15366" max="15366" width="8" style="3" customWidth="1"/>
    <col min="15367" max="15372" width="9.140625" style="3"/>
    <col min="15373" max="15373" width="13" style="3" customWidth="1"/>
    <col min="15374" max="15374" width="2" style="3" customWidth="1"/>
    <col min="15375" max="15375" width="9.140625" style="3" customWidth="1"/>
    <col min="15376" max="15616" width="9.140625" style="3"/>
    <col min="15617" max="15617" width="2" style="3" customWidth="1"/>
    <col min="15618" max="15618" width="9.140625" style="3"/>
    <col min="15619" max="15619" width="21.42578125" style="3" customWidth="1"/>
    <col min="15620" max="15620" width="8.42578125" style="3" customWidth="1"/>
    <col min="15621" max="15621" width="9.140625" style="3"/>
    <col min="15622" max="15622" width="8" style="3" customWidth="1"/>
    <col min="15623" max="15628" width="9.140625" style="3"/>
    <col min="15629" max="15629" width="13" style="3" customWidth="1"/>
    <col min="15630" max="15630" width="2" style="3" customWidth="1"/>
    <col min="15631" max="15631" width="9.140625" style="3" customWidth="1"/>
    <col min="15632" max="15872" width="9.140625" style="3"/>
    <col min="15873" max="15873" width="2" style="3" customWidth="1"/>
    <col min="15874" max="15874" width="9.140625" style="3"/>
    <col min="15875" max="15875" width="21.42578125" style="3" customWidth="1"/>
    <col min="15876" max="15876" width="8.42578125" style="3" customWidth="1"/>
    <col min="15877" max="15877" width="9.140625" style="3"/>
    <col min="15878" max="15878" width="8" style="3" customWidth="1"/>
    <col min="15879" max="15884" width="9.140625" style="3"/>
    <col min="15885" max="15885" width="13" style="3" customWidth="1"/>
    <col min="15886" max="15886" width="2" style="3" customWidth="1"/>
    <col min="15887" max="15887" width="9.140625" style="3" customWidth="1"/>
    <col min="15888" max="16128" width="9.140625" style="3"/>
    <col min="16129" max="16129" width="2" style="3" customWidth="1"/>
    <col min="16130" max="16130" width="9.140625" style="3"/>
    <col min="16131" max="16131" width="21.42578125" style="3" customWidth="1"/>
    <col min="16132" max="16132" width="8.42578125" style="3" customWidth="1"/>
    <col min="16133" max="16133" width="9.140625" style="3"/>
    <col min="16134" max="16134" width="8" style="3" customWidth="1"/>
    <col min="16135" max="16140" width="9.140625" style="3"/>
    <col min="16141" max="16141" width="13" style="3" customWidth="1"/>
    <col min="16142" max="16142" width="2" style="3" customWidth="1"/>
    <col min="16143" max="16143" width="9.140625" style="3" customWidth="1"/>
    <col min="16144" max="16384" width="9.140625" style="3"/>
  </cols>
  <sheetData>
    <row r="1" spans="1:27" ht="20.25" x14ac:dyDescent="0.3">
      <c r="A1" s="402" t="s">
        <v>0</v>
      </c>
      <c r="B1" s="402"/>
      <c r="C1" s="402"/>
      <c r="D1" s="402"/>
      <c r="E1" s="402"/>
      <c r="F1" s="402"/>
      <c r="G1" s="402"/>
      <c r="H1" s="402"/>
      <c r="I1" s="402"/>
      <c r="J1" s="402"/>
      <c r="K1" s="402"/>
      <c r="L1" s="402"/>
      <c r="M1" s="402"/>
      <c r="N1" s="402"/>
      <c r="O1" s="1"/>
    </row>
    <row r="2" spans="1:27" ht="21" thickBot="1" x14ac:dyDescent="0.35">
      <c r="A2" s="402" t="s">
        <v>1</v>
      </c>
      <c r="B2" s="402"/>
      <c r="C2" s="402"/>
      <c r="D2" s="402"/>
      <c r="E2" s="402"/>
      <c r="F2" s="402"/>
      <c r="G2" s="402"/>
      <c r="H2" s="402"/>
      <c r="I2" s="402"/>
      <c r="J2" s="402"/>
      <c r="K2" s="402"/>
      <c r="L2" s="402"/>
      <c r="M2" s="402"/>
      <c r="N2" s="402"/>
      <c r="O2" s="1"/>
    </row>
    <row r="3" spans="1:27" ht="12.75" customHeight="1" thickBot="1" x14ac:dyDescent="0.25">
      <c r="B3" s="2"/>
      <c r="C3" s="4" t="s">
        <v>2</v>
      </c>
      <c r="D3" s="5" t="str">
        <f>'Data Summary'!D4</f>
        <v>Petroleum Refinery Emissions</v>
      </c>
      <c r="E3" s="6"/>
      <c r="F3" s="6"/>
      <c r="G3" s="6"/>
      <c r="H3" s="6"/>
      <c r="I3" s="6"/>
      <c r="J3" s="6"/>
      <c r="K3" s="6"/>
      <c r="L3" s="6"/>
      <c r="M3" s="7"/>
      <c r="N3" s="2"/>
      <c r="O3" s="2"/>
    </row>
    <row r="4" spans="1:27" ht="42.75" customHeight="1" thickBot="1" x14ac:dyDescent="0.25">
      <c r="B4" s="2"/>
      <c r="C4" s="4" t="s">
        <v>3</v>
      </c>
      <c r="D4" s="403" t="str">
        <f>'Data Summary'!D6</f>
        <v>Emissions to air and water from petroleum refining (includes flaring but not combustion GHGs)</v>
      </c>
      <c r="E4" s="404"/>
      <c r="F4" s="404"/>
      <c r="G4" s="404"/>
      <c r="H4" s="404"/>
      <c r="I4" s="404"/>
      <c r="J4" s="404"/>
      <c r="K4" s="404"/>
      <c r="L4" s="404"/>
      <c r="M4" s="405"/>
      <c r="N4" s="2"/>
      <c r="O4" s="2"/>
    </row>
    <row r="5" spans="1:27" ht="39" customHeight="1" thickBot="1" x14ac:dyDescent="0.25">
      <c r="B5" s="2"/>
      <c r="C5" s="4" t="s">
        <v>4</v>
      </c>
      <c r="D5" s="406" t="s">
        <v>600</v>
      </c>
      <c r="E5" s="407"/>
      <c r="F5" s="407"/>
      <c r="G5" s="407"/>
      <c r="H5" s="407"/>
      <c r="I5" s="407"/>
      <c r="J5" s="407"/>
      <c r="K5" s="407"/>
      <c r="L5" s="407"/>
      <c r="M5" s="408"/>
      <c r="N5" s="2"/>
      <c r="O5" s="2"/>
    </row>
    <row r="6" spans="1:27" ht="56.25" customHeight="1" thickBot="1" x14ac:dyDescent="0.25">
      <c r="B6" s="2"/>
      <c r="C6" s="8" t="s">
        <v>5</v>
      </c>
      <c r="D6" s="406" t="s">
        <v>6</v>
      </c>
      <c r="E6" s="407"/>
      <c r="F6" s="407"/>
      <c r="G6" s="407"/>
      <c r="H6" s="407"/>
      <c r="I6" s="407"/>
      <c r="J6" s="407"/>
      <c r="K6" s="407"/>
      <c r="L6" s="407"/>
      <c r="M6" s="408"/>
      <c r="N6" s="2"/>
      <c r="O6" s="2"/>
    </row>
    <row r="7" spans="1:27" x14ac:dyDescent="0.2">
      <c r="B7" s="9" t="s">
        <v>7</v>
      </c>
      <c r="C7" s="9"/>
      <c r="D7" s="9"/>
      <c r="E7" s="9"/>
      <c r="F7" s="9"/>
      <c r="G7" s="9"/>
      <c r="H7" s="9"/>
      <c r="I7" s="9"/>
      <c r="J7" s="9"/>
      <c r="K7" s="9"/>
      <c r="L7" s="9"/>
      <c r="M7" s="9"/>
      <c r="N7" s="2"/>
      <c r="O7" s="2"/>
    </row>
    <row r="8" spans="1:27" ht="13.5" thickBot="1" x14ac:dyDescent="0.25">
      <c r="B8" s="9"/>
      <c r="C8" s="9" t="s">
        <v>8</v>
      </c>
      <c r="D8" s="9" t="s">
        <v>9</v>
      </c>
      <c r="E8" s="9"/>
      <c r="F8" s="9"/>
      <c r="G8" s="9"/>
      <c r="H8" s="9"/>
      <c r="I8" s="9"/>
      <c r="J8" s="9"/>
      <c r="K8" s="9"/>
      <c r="L8" s="9"/>
      <c r="M8" s="9"/>
      <c r="N8" s="2"/>
      <c r="O8" s="2"/>
    </row>
    <row r="9" spans="1:27" s="11" customFormat="1" ht="15" customHeight="1" x14ac:dyDescent="0.2">
      <c r="A9" s="2"/>
      <c r="B9" s="409" t="s">
        <v>10</v>
      </c>
      <c r="C9" s="10" t="s">
        <v>11</v>
      </c>
      <c r="D9" s="411" t="s">
        <v>12</v>
      </c>
      <c r="E9" s="411"/>
      <c r="F9" s="411"/>
      <c r="G9" s="411"/>
      <c r="H9" s="411"/>
      <c r="I9" s="411"/>
      <c r="J9" s="411"/>
      <c r="K9" s="411"/>
      <c r="L9" s="411"/>
      <c r="M9" s="412"/>
      <c r="N9" s="2"/>
      <c r="O9" s="2"/>
      <c r="P9" s="2"/>
      <c r="Q9" s="2"/>
      <c r="R9" s="2"/>
      <c r="S9" s="2"/>
      <c r="T9" s="2"/>
      <c r="U9" s="2"/>
      <c r="V9" s="2"/>
      <c r="W9" s="2"/>
      <c r="X9" s="2"/>
      <c r="Y9" s="2"/>
      <c r="Z9" s="2"/>
      <c r="AA9" s="2"/>
    </row>
    <row r="10" spans="1:27" s="11" customFormat="1" ht="15" customHeight="1" x14ac:dyDescent="0.2">
      <c r="A10" s="2"/>
      <c r="B10" s="410"/>
      <c r="C10" s="12" t="s">
        <v>585</v>
      </c>
      <c r="D10" s="413" t="s">
        <v>13</v>
      </c>
      <c r="E10" s="413"/>
      <c r="F10" s="413"/>
      <c r="G10" s="413"/>
      <c r="H10" s="413"/>
      <c r="I10" s="413"/>
      <c r="J10" s="413"/>
      <c r="K10" s="413"/>
      <c r="L10" s="413"/>
      <c r="M10" s="414"/>
      <c r="N10" s="2"/>
      <c r="O10" s="2"/>
      <c r="P10" s="2"/>
      <c r="Q10" s="2"/>
      <c r="R10" s="2"/>
      <c r="S10" s="2"/>
      <c r="T10" s="2"/>
      <c r="U10" s="2"/>
      <c r="V10" s="2"/>
      <c r="W10" s="2"/>
      <c r="X10" s="2"/>
      <c r="Y10" s="2"/>
      <c r="Z10" s="2"/>
      <c r="AA10" s="2"/>
    </row>
    <row r="11" spans="1:27" s="11" customFormat="1" ht="15" customHeight="1" x14ac:dyDescent="0.2">
      <c r="A11" s="2"/>
      <c r="B11" s="410"/>
      <c r="C11" s="12" t="s">
        <v>14</v>
      </c>
      <c r="D11" s="413" t="s">
        <v>15</v>
      </c>
      <c r="E11" s="413"/>
      <c r="F11" s="413"/>
      <c r="G11" s="413"/>
      <c r="H11" s="413"/>
      <c r="I11" s="413"/>
      <c r="J11" s="413"/>
      <c r="K11" s="413"/>
      <c r="L11" s="413"/>
      <c r="M11" s="414"/>
      <c r="N11" s="2"/>
      <c r="O11" s="2"/>
      <c r="P11" s="2"/>
      <c r="Q11" s="2"/>
      <c r="R11" s="2"/>
      <c r="S11" s="2"/>
      <c r="T11" s="2"/>
      <c r="U11" s="2"/>
      <c r="V11" s="2"/>
      <c r="W11" s="2"/>
      <c r="X11" s="2"/>
      <c r="Y11" s="2"/>
      <c r="Z11" s="2"/>
      <c r="AA11" s="2"/>
    </row>
    <row r="12" spans="1:27" s="11" customFormat="1" ht="15" customHeight="1" x14ac:dyDescent="0.2">
      <c r="A12" s="2"/>
      <c r="B12" s="410"/>
      <c r="C12" s="12" t="s">
        <v>16</v>
      </c>
      <c r="D12" s="413" t="s">
        <v>17</v>
      </c>
      <c r="E12" s="413"/>
      <c r="F12" s="413"/>
      <c r="G12" s="413"/>
      <c r="H12" s="413"/>
      <c r="I12" s="413"/>
      <c r="J12" s="413"/>
      <c r="K12" s="413"/>
      <c r="L12" s="413"/>
      <c r="M12" s="414"/>
      <c r="N12" s="2"/>
      <c r="O12" s="2"/>
      <c r="P12" s="2"/>
      <c r="Q12" s="2"/>
      <c r="R12" s="2"/>
      <c r="S12" s="2"/>
      <c r="T12" s="2"/>
      <c r="U12" s="2"/>
      <c r="V12" s="2"/>
      <c r="W12" s="2"/>
      <c r="X12" s="2"/>
      <c r="Y12" s="2"/>
      <c r="Z12" s="2"/>
      <c r="AA12" s="2"/>
    </row>
    <row r="13" spans="1:27" ht="15" customHeight="1" x14ac:dyDescent="0.2">
      <c r="B13" s="396" t="s">
        <v>18</v>
      </c>
      <c r="C13" s="13" t="s">
        <v>586</v>
      </c>
      <c r="D13" s="392" t="s">
        <v>587</v>
      </c>
      <c r="E13" s="392"/>
      <c r="F13" s="392"/>
      <c r="G13" s="392"/>
      <c r="H13" s="392"/>
      <c r="I13" s="392"/>
      <c r="J13" s="392"/>
      <c r="K13" s="392"/>
      <c r="L13" s="392"/>
      <c r="M13" s="393"/>
      <c r="N13" s="2"/>
      <c r="O13" s="2"/>
    </row>
    <row r="14" spans="1:27" s="195" customFormat="1" ht="15" customHeight="1" x14ac:dyDescent="0.2">
      <c r="A14" s="2"/>
      <c r="B14" s="396"/>
      <c r="C14" s="13" t="s">
        <v>1112</v>
      </c>
      <c r="D14" s="398" t="s">
        <v>1184</v>
      </c>
      <c r="E14" s="398"/>
      <c r="F14" s="398"/>
      <c r="G14" s="398"/>
      <c r="H14" s="398"/>
      <c r="I14" s="398"/>
      <c r="J14" s="398"/>
      <c r="K14" s="398"/>
      <c r="L14" s="398"/>
      <c r="M14" s="399"/>
      <c r="N14" s="2"/>
      <c r="O14" s="2"/>
      <c r="P14" s="2"/>
      <c r="Q14" s="2"/>
      <c r="R14" s="2"/>
      <c r="S14" s="2"/>
      <c r="T14" s="2"/>
      <c r="U14" s="2"/>
      <c r="V14" s="2"/>
      <c r="W14" s="2"/>
      <c r="X14" s="2"/>
      <c r="Y14" s="2"/>
      <c r="Z14" s="2"/>
      <c r="AA14" s="2"/>
    </row>
    <row r="15" spans="1:27" s="195" customFormat="1" ht="15" customHeight="1" x14ac:dyDescent="0.2">
      <c r="A15" s="2"/>
      <c r="B15" s="396"/>
      <c r="C15" s="13" t="s">
        <v>1185</v>
      </c>
      <c r="D15" s="398" t="s">
        <v>1186</v>
      </c>
      <c r="E15" s="398"/>
      <c r="F15" s="398"/>
      <c r="G15" s="398"/>
      <c r="H15" s="398"/>
      <c r="I15" s="398"/>
      <c r="J15" s="398"/>
      <c r="K15" s="398"/>
      <c r="L15" s="398"/>
      <c r="M15" s="399"/>
      <c r="N15" s="2"/>
      <c r="O15" s="2"/>
      <c r="P15" s="2"/>
      <c r="Q15" s="2"/>
      <c r="R15" s="2"/>
      <c r="S15" s="2"/>
      <c r="T15" s="2"/>
      <c r="U15" s="2"/>
      <c r="V15" s="2"/>
      <c r="W15" s="2"/>
      <c r="X15" s="2"/>
      <c r="Y15" s="2"/>
      <c r="Z15" s="2"/>
      <c r="AA15" s="2"/>
    </row>
    <row r="16" spans="1:27" s="195" customFormat="1" ht="15" customHeight="1" x14ac:dyDescent="0.2">
      <c r="A16" s="2"/>
      <c r="B16" s="396"/>
      <c r="C16" s="13" t="s">
        <v>907</v>
      </c>
      <c r="D16" s="398" t="s">
        <v>1187</v>
      </c>
      <c r="E16" s="398"/>
      <c r="F16" s="398"/>
      <c r="G16" s="398"/>
      <c r="H16" s="398"/>
      <c r="I16" s="398"/>
      <c r="J16" s="398"/>
      <c r="K16" s="398"/>
      <c r="L16" s="398"/>
      <c r="M16" s="399"/>
      <c r="N16" s="2"/>
      <c r="O16" s="2"/>
      <c r="P16" s="2"/>
      <c r="Q16" s="2"/>
      <c r="R16" s="2"/>
      <c r="S16" s="2"/>
      <c r="T16" s="2"/>
      <c r="U16" s="2"/>
      <c r="V16" s="2"/>
      <c r="W16" s="2"/>
      <c r="X16" s="2"/>
      <c r="Y16" s="2"/>
      <c r="Z16" s="2"/>
      <c r="AA16" s="2"/>
    </row>
    <row r="17" spans="1:27" s="195" customFormat="1" ht="15" customHeight="1" x14ac:dyDescent="0.2">
      <c r="A17" s="2"/>
      <c r="B17" s="396"/>
      <c r="C17" s="13" t="s">
        <v>2239</v>
      </c>
      <c r="D17" s="398" t="s">
        <v>2240</v>
      </c>
      <c r="E17" s="398"/>
      <c r="F17" s="398"/>
      <c r="G17" s="398"/>
      <c r="H17" s="398"/>
      <c r="I17" s="398"/>
      <c r="J17" s="398"/>
      <c r="K17" s="398"/>
      <c r="L17" s="398"/>
      <c r="M17" s="399"/>
      <c r="N17" s="2"/>
      <c r="O17" s="2"/>
      <c r="P17" s="2"/>
      <c r="Q17" s="2"/>
      <c r="R17" s="2"/>
      <c r="S17" s="2"/>
      <c r="T17" s="2"/>
      <c r="U17" s="2"/>
      <c r="V17" s="2"/>
      <c r="W17" s="2"/>
      <c r="X17" s="2"/>
      <c r="Y17" s="2"/>
      <c r="Z17" s="2"/>
      <c r="AA17" s="2"/>
    </row>
    <row r="18" spans="1:27" s="195" customFormat="1" ht="15" customHeight="1" x14ac:dyDescent="0.2">
      <c r="A18" s="2"/>
      <c r="B18" s="396"/>
      <c r="C18" s="13" t="s">
        <v>2241</v>
      </c>
      <c r="D18" s="398" t="s">
        <v>2242</v>
      </c>
      <c r="E18" s="398"/>
      <c r="F18" s="398"/>
      <c r="G18" s="398"/>
      <c r="H18" s="398"/>
      <c r="I18" s="398"/>
      <c r="J18" s="398"/>
      <c r="K18" s="398"/>
      <c r="L18" s="398"/>
      <c r="M18" s="399"/>
      <c r="N18" s="2"/>
      <c r="O18" s="2"/>
      <c r="P18" s="2"/>
      <c r="Q18" s="2"/>
      <c r="R18" s="2"/>
      <c r="S18" s="2"/>
      <c r="T18" s="2"/>
      <c r="U18" s="2"/>
      <c r="V18" s="2"/>
      <c r="W18" s="2"/>
      <c r="X18" s="2"/>
      <c r="Y18" s="2"/>
      <c r="Z18" s="2"/>
      <c r="AA18" s="2"/>
    </row>
    <row r="19" spans="1:27" ht="15" customHeight="1" x14ac:dyDescent="0.2">
      <c r="B19" s="396"/>
      <c r="C19" s="13" t="s">
        <v>19</v>
      </c>
      <c r="D19" s="398" t="s">
        <v>20</v>
      </c>
      <c r="E19" s="398"/>
      <c r="F19" s="398"/>
      <c r="G19" s="398"/>
      <c r="H19" s="398"/>
      <c r="I19" s="398"/>
      <c r="J19" s="398"/>
      <c r="K19" s="398"/>
      <c r="L19" s="398"/>
      <c r="M19" s="399"/>
      <c r="N19" s="2"/>
      <c r="O19" s="2"/>
    </row>
    <row r="20" spans="1:27" ht="15" customHeight="1" x14ac:dyDescent="0.2">
      <c r="B20" s="396"/>
      <c r="C20" s="14" t="s">
        <v>21</v>
      </c>
      <c r="D20" s="398" t="s">
        <v>21</v>
      </c>
      <c r="E20" s="398"/>
      <c r="F20" s="398"/>
      <c r="G20" s="398"/>
      <c r="H20" s="398"/>
      <c r="I20" s="398"/>
      <c r="J20" s="398"/>
      <c r="K20" s="398"/>
      <c r="L20" s="398"/>
      <c r="M20" s="399"/>
      <c r="N20" s="2"/>
      <c r="O20" s="2"/>
    </row>
    <row r="21" spans="1:27" s="195" customFormat="1" ht="15" customHeight="1" x14ac:dyDescent="0.2">
      <c r="A21" s="2"/>
      <c r="B21" s="396"/>
      <c r="C21" s="14" t="s">
        <v>455</v>
      </c>
      <c r="D21" s="398" t="s">
        <v>456</v>
      </c>
      <c r="E21" s="398"/>
      <c r="F21" s="398"/>
      <c r="G21" s="398"/>
      <c r="H21" s="398"/>
      <c r="I21" s="398"/>
      <c r="J21" s="398"/>
      <c r="K21" s="398"/>
      <c r="L21" s="398"/>
      <c r="M21" s="201"/>
      <c r="N21" s="2"/>
      <c r="O21" s="2"/>
      <c r="P21" s="2"/>
      <c r="Q21" s="2"/>
      <c r="R21" s="2"/>
      <c r="S21" s="2"/>
      <c r="T21" s="2"/>
      <c r="U21" s="2"/>
      <c r="V21" s="2"/>
      <c r="W21" s="2"/>
      <c r="X21" s="2"/>
      <c r="Y21" s="2"/>
      <c r="Z21" s="2"/>
      <c r="AA21" s="2"/>
    </row>
    <row r="22" spans="1:27" ht="15" customHeight="1" thickBot="1" x14ac:dyDescent="0.25">
      <c r="B22" s="397"/>
      <c r="C22" s="15"/>
      <c r="D22" s="400"/>
      <c r="E22" s="400"/>
      <c r="F22" s="400"/>
      <c r="G22" s="400"/>
      <c r="H22" s="400"/>
      <c r="I22" s="400"/>
      <c r="J22" s="400"/>
      <c r="K22" s="400"/>
      <c r="L22" s="400"/>
      <c r="M22" s="401"/>
      <c r="N22" s="2"/>
      <c r="O22" s="2"/>
    </row>
    <row r="23" spans="1:27" x14ac:dyDescent="0.2">
      <c r="B23" s="9"/>
      <c r="C23" s="9"/>
      <c r="D23" s="9"/>
      <c r="E23" s="9"/>
      <c r="F23" s="9"/>
      <c r="G23" s="9"/>
      <c r="H23" s="9"/>
      <c r="I23" s="9"/>
      <c r="J23" s="9"/>
      <c r="K23" s="9"/>
      <c r="L23" s="9"/>
      <c r="M23" s="9"/>
      <c r="N23" s="2"/>
      <c r="O23" s="2"/>
    </row>
    <row r="24" spans="1:27" x14ac:dyDescent="0.2">
      <c r="B24" s="9" t="s">
        <v>22</v>
      </c>
      <c r="C24" s="9"/>
      <c r="D24" s="9"/>
      <c r="E24" s="9"/>
      <c r="F24" s="9"/>
      <c r="G24" s="9"/>
      <c r="H24" s="9"/>
      <c r="I24" s="9"/>
      <c r="J24" s="9"/>
      <c r="K24" s="9"/>
      <c r="L24" s="9"/>
      <c r="M24" s="9"/>
      <c r="N24" s="2"/>
      <c r="O24" s="2"/>
    </row>
    <row r="25" spans="1:27" x14ac:dyDescent="0.2">
      <c r="B25" s="9"/>
      <c r="C25" s="16">
        <v>41710</v>
      </c>
      <c r="D25" s="9"/>
      <c r="E25" s="9"/>
      <c r="F25" s="9"/>
      <c r="G25" s="9"/>
      <c r="H25" s="9"/>
      <c r="I25" s="9"/>
      <c r="J25" s="9"/>
      <c r="K25" s="9"/>
      <c r="L25" s="9"/>
      <c r="M25" s="9"/>
      <c r="N25" s="2"/>
      <c r="O25" s="2"/>
    </row>
    <row r="26" spans="1:27" x14ac:dyDescent="0.2">
      <c r="B26" s="9" t="s">
        <v>23</v>
      </c>
      <c r="C26" s="9"/>
      <c r="D26" s="9"/>
      <c r="E26" s="9"/>
      <c r="F26" s="9"/>
      <c r="G26" s="9"/>
      <c r="H26" s="9"/>
      <c r="I26" s="9"/>
      <c r="J26" s="9"/>
      <c r="K26" s="9"/>
      <c r="L26" s="9"/>
      <c r="M26" s="9"/>
      <c r="N26" s="2"/>
      <c r="O26" s="2"/>
    </row>
    <row r="27" spans="1:27" x14ac:dyDescent="0.2">
      <c r="B27" s="9"/>
      <c r="C27" s="17" t="s">
        <v>24</v>
      </c>
      <c r="D27" s="9"/>
      <c r="E27" s="9"/>
      <c r="F27" s="9"/>
      <c r="G27" s="9"/>
      <c r="H27" s="9"/>
      <c r="I27" s="9"/>
      <c r="J27" s="9"/>
      <c r="K27" s="9"/>
      <c r="L27" s="9"/>
      <c r="M27" s="9"/>
      <c r="N27" s="2"/>
      <c r="O27" s="2"/>
    </row>
    <row r="28" spans="1:27" x14ac:dyDescent="0.2">
      <c r="B28" s="9" t="s">
        <v>25</v>
      </c>
      <c r="C28" s="17"/>
      <c r="D28" s="9"/>
      <c r="E28" s="9"/>
      <c r="F28" s="9"/>
      <c r="G28" s="9"/>
      <c r="H28" s="9"/>
      <c r="I28" s="9"/>
      <c r="J28" s="9"/>
      <c r="K28" s="9"/>
      <c r="L28" s="9"/>
      <c r="M28" s="9"/>
      <c r="N28" s="2"/>
      <c r="O28" s="2"/>
    </row>
    <row r="29" spans="1:27" x14ac:dyDescent="0.2">
      <c r="B29" s="9"/>
      <c r="C29" s="17" t="s">
        <v>26</v>
      </c>
      <c r="D29" s="9"/>
      <c r="E29" s="9"/>
      <c r="F29" s="9"/>
      <c r="G29" s="9"/>
      <c r="H29" s="9"/>
      <c r="I29" s="9"/>
      <c r="J29" s="9"/>
      <c r="K29" s="9"/>
      <c r="L29" s="9"/>
      <c r="M29" s="9"/>
      <c r="N29" s="2"/>
      <c r="O29" s="2"/>
    </row>
    <row r="30" spans="1:27" x14ac:dyDescent="0.2">
      <c r="B30" s="9" t="s">
        <v>27</v>
      </c>
      <c r="C30" s="9"/>
      <c r="D30" s="9"/>
      <c r="E30" s="9"/>
      <c r="F30" s="9"/>
      <c r="G30" s="9"/>
      <c r="H30" s="9"/>
      <c r="I30" s="9"/>
      <c r="J30" s="9"/>
      <c r="K30" s="9"/>
      <c r="L30" s="9"/>
      <c r="M30" s="9"/>
      <c r="N30" s="2"/>
      <c r="O30" s="2"/>
    </row>
    <row r="31" spans="1:27" ht="38.25" customHeight="1" x14ac:dyDescent="0.2">
      <c r="B31" s="9"/>
      <c r="C31" s="394" t="str">
        <f>"This document should be cited as: NETL (2014). NETL Life Cycle Inventory Data – Unit Process: "&amp;D3&amp;". U.S. Department of Energy, National Energy Technology Laboratory. Retrieved [DATE] from www.netl.doe.gov/LCA"</f>
        <v>This document should be cited as: NETL (2014). NETL Life Cycle Inventory Data – Unit Process: Petroleum Refinery Emissions. U.S. Department of Energy, National Energy Technology Laboratory. Retrieved [DATE] from www.netl.doe.gov/LCA</v>
      </c>
      <c r="D31" s="394"/>
      <c r="E31" s="394"/>
      <c r="F31" s="394"/>
      <c r="G31" s="394"/>
      <c r="H31" s="394"/>
      <c r="I31" s="394"/>
      <c r="J31" s="394"/>
      <c r="K31" s="394"/>
      <c r="L31" s="394"/>
      <c r="M31" s="394"/>
      <c r="N31" s="2"/>
      <c r="O31" s="2"/>
    </row>
    <row r="32" spans="1:27" x14ac:dyDescent="0.2">
      <c r="B32" s="9" t="s">
        <v>28</v>
      </c>
      <c r="C32" s="9"/>
      <c r="D32" s="9"/>
      <c r="E32" s="9"/>
      <c r="F32" s="9"/>
      <c r="G32" s="17"/>
      <c r="H32" s="17"/>
      <c r="I32" s="17"/>
      <c r="J32" s="17"/>
      <c r="K32" s="17"/>
      <c r="L32" s="17"/>
      <c r="M32" s="17"/>
      <c r="N32" s="2"/>
      <c r="O32" s="2"/>
    </row>
    <row r="33" spans="2:16" x14ac:dyDescent="0.2">
      <c r="B33" s="17"/>
      <c r="C33" s="17" t="s">
        <v>29</v>
      </c>
      <c r="D33" s="17"/>
      <c r="E33" s="18" t="s">
        <v>30</v>
      </c>
      <c r="F33" s="19"/>
      <c r="G33" s="17" t="s">
        <v>31</v>
      </c>
      <c r="H33" s="17"/>
      <c r="I33" s="17"/>
      <c r="J33" s="17"/>
      <c r="K33" s="17"/>
      <c r="L33" s="17"/>
      <c r="M33" s="17"/>
      <c r="N33" s="2"/>
      <c r="O33" s="2"/>
      <c r="P33" s="17"/>
    </row>
    <row r="34" spans="2:16" x14ac:dyDescent="0.2">
      <c r="B34" s="17"/>
      <c r="C34" s="17" t="s">
        <v>32</v>
      </c>
      <c r="D34" s="17"/>
      <c r="E34" s="17"/>
      <c r="F34" s="17"/>
      <c r="G34" s="17"/>
      <c r="H34" s="17"/>
      <c r="I34" s="17"/>
      <c r="J34" s="17"/>
      <c r="K34" s="17"/>
      <c r="L34" s="17"/>
      <c r="M34" s="17"/>
      <c r="N34" s="2"/>
      <c r="O34" s="2"/>
      <c r="P34" s="17"/>
    </row>
    <row r="35" spans="2:16" x14ac:dyDescent="0.2">
      <c r="B35" s="17"/>
      <c r="C35" s="17" t="s">
        <v>33</v>
      </c>
      <c r="D35" s="17"/>
      <c r="E35" s="17"/>
      <c r="F35" s="17"/>
      <c r="G35" s="17"/>
      <c r="H35" s="17"/>
      <c r="I35" s="17"/>
      <c r="J35" s="17"/>
      <c r="K35" s="17"/>
      <c r="L35" s="17"/>
      <c r="M35" s="17"/>
      <c r="N35" s="17"/>
      <c r="O35" s="17"/>
      <c r="P35" s="17"/>
    </row>
    <row r="36" spans="2:16" x14ac:dyDescent="0.2">
      <c r="B36" s="17"/>
      <c r="C36" s="395" t="s">
        <v>34</v>
      </c>
      <c r="D36" s="395"/>
      <c r="E36" s="395"/>
      <c r="F36" s="395"/>
      <c r="G36" s="395"/>
      <c r="H36" s="395"/>
      <c r="I36" s="395"/>
      <c r="J36" s="395"/>
      <c r="K36" s="395"/>
      <c r="L36" s="395"/>
      <c r="M36" s="395"/>
      <c r="N36" s="17"/>
      <c r="O36" s="17"/>
      <c r="P36" s="17"/>
    </row>
    <row r="37" spans="2:16" x14ac:dyDescent="0.2">
      <c r="B37" s="17"/>
      <c r="C37" s="17"/>
      <c r="D37" s="17"/>
      <c r="E37" s="17"/>
      <c r="F37" s="17"/>
      <c r="G37" s="17"/>
      <c r="H37" s="17"/>
      <c r="I37" s="17"/>
      <c r="J37" s="17"/>
      <c r="K37" s="17"/>
      <c r="L37" s="17"/>
      <c r="M37" s="17"/>
      <c r="N37" s="17"/>
      <c r="O37" s="17"/>
    </row>
    <row r="38" spans="2:16" x14ac:dyDescent="0.2">
      <c r="B38" s="9" t="s">
        <v>35</v>
      </c>
      <c r="C38" s="17"/>
      <c r="D38" s="17"/>
      <c r="E38" s="17"/>
      <c r="F38" s="17"/>
      <c r="G38" s="17"/>
      <c r="H38" s="17"/>
      <c r="I38" s="17"/>
      <c r="J38" s="17"/>
      <c r="K38" s="17"/>
      <c r="L38" s="17"/>
      <c r="M38" s="17"/>
      <c r="N38" s="17"/>
      <c r="O38" s="17"/>
    </row>
    <row r="39" spans="2:16" x14ac:dyDescent="0.2">
      <c r="B39" s="17"/>
      <c r="C39" s="17"/>
      <c r="D39" s="17"/>
      <c r="E39" s="17"/>
      <c r="F39" s="17"/>
      <c r="G39" s="17"/>
      <c r="H39" s="17"/>
      <c r="I39" s="17"/>
      <c r="J39" s="17"/>
      <c r="K39" s="17"/>
      <c r="L39" s="17"/>
      <c r="M39" s="17"/>
      <c r="N39" s="17"/>
      <c r="O39" s="17"/>
    </row>
    <row r="40" spans="2:16" x14ac:dyDescent="0.2">
      <c r="B40" s="17"/>
      <c r="C40" s="17"/>
      <c r="D40" s="17"/>
      <c r="E40" s="17"/>
      <c r="F40" s="17"/>
      <c r="G40" s="17"/>
      <c r="H40" s="17"/>
      <c r="I40" s="17"/>
      <c r="J40" s="17"/>
      <c r="K40" s="17"/>
      <c r="L40" s="17"/>
      <c r="M40" s="17"/>
      <c r="N40" s="17"/>
      <c r="O40" s="17"/>
    </row>
    <row r="41" spans="2:16" x14ac:dyDescent="0.2">
      <c r="B41" s="17"/>
      <c r="C41" s="17"/>
      <c r="D41" s="17"/>
      <c r="E41" s="17"/>
      <c r="F41" s="17"/>
      <c r="G41" s="17"/>
      <c r="H41" s="17"/>
      <c r="I41" s="17"/>
      <c r="J41" s="17"/>
      <c r="K41" s="17"/>
      <c r="L41" s="17"/>
      <c r="M41" s="17"/>
      <c r="N41" s="17"/>
      <c r="O41" s="17"/>
    </row>
    <row r="42" spans="2:16" x14ac:dyDescent="0.2">
      <c r="B42" s="17"/>
      <c r="C42" s="17"/>
      <c r="D42" s="17"/>
      <c r="E42" s="17"/>
      <c r="F42" s="17"/>
      <c r="G42" s="17"/>
      <c r="H42" s="17"/>
      <c r="I42" s="17"/>
      <c r="J42" s="17"/>
      <c r="K42" s="17"/>
      <c r="L42" s="17"/>
      <c r="M42" s="17"/>
      <c r="N42" s="17"/>
      <c r="O42" s="17"/>
    </row>
    <row r="43" spans="2:16" x14ac:dyDescent="0.2">
      <c r="B43" s="17"/>
      <c r="C43" s="17"/>
      <c r="D43" s="17"/>
      <c r="E43" s="17"/>
      <c r="F43" s="17"/>
      <c r="G43" s="17"/>
      <c r="H43" s="17"/>
      <c r="I43" s="17"/>
      <c r="J43" s="17"/>
      <c r="K43" s="17"/>
      <c r="L43" s="17"/>
      <c r="M43" s="17"/>
      <c r="N43" s="17"/>
      <c r="O43" s="17"/>
    </row>
    <row r="44" spans="2:16" x14ac:dyDescent="0.2">
      <c r="B44" s="17"/>
      <c r="C44" s="17"/>
      <c r="D44" s="17"/>
      <c r="E44" s="17"/>
      <c r="F44" s="17"/>
      <c r="G44" s="17"/>
      <c r="H44" s="17"/>
      <c r="I44" s="17"/>
      <c r="J44" s="17"/>
      <c r="K44" s="17"/>
      <c r="L44" s="17"/>
      <c r="M44" s="17"/>
      <c r="N44" s="17"/>
      <c r="O44" s="17"/>
    </row>
    <row r="45" spans="2:16" x14ac:dyDescent="0.2">
      <c r="B45" s="17"/>
      <c r="C45" s="17"/>
      <c r="D45" s="17"/>
      <c r="E45" s="17"/>
      <c r="F45" s="17"/>
      <c r="G45" s="17"/>
      <c r="H45" s="17"/>
      <c r="I45" s="17"/>
      <c r="J45" s="17"/>
      <c r="K45" s="17"/>
      <c r="L45" s="17"/>
      <c r="M45" s="17"/>
      <c r="N45" s="17"/>
      <c r="O45" s="17"/>
    </row>
    <row r="46" spans="2:16" x14ac:dyDescent="0.2">
      <c r="B46" s="17"/>
      <c r="C46" s="17"/>
      <c r="D46" s="17"/>
      <c r="E46" s="17"/>
      <c r="F46" s="17"/>
      <c r="G46" s="17"/>
      <c r="H46" s="17"/>
      <c r="I46" s="17"/>
      <c r="J46" s="17"/>
      <c r="K46" s="17"/>
      <c r="L46" s="17"/>
      <c r="M46" s="17"/>
      <c r="N46" s="17"/>
      <c r="O46" s="17"/>
    </row>
    <row r="47" spans="2:16" x14ac:dyDescent="0.2">
      <c r="B47" s="17"/>
      <c r="C47" s="17"/>
      <c r="D47" s="17"/>
      <c r="E47" s="17"/>
      <c r="F47" s="17"/>
      <c r="G47" s="17"/>
      <c r="H47" s="17"/>
      <c r="I47" s="17"/>
      <c r="J47" s="17"/>
      <c r="K47" s="17"/>
      <c r="L47" s="17"/>
      <c r="M47" s="17"/>
      <c r="N47" s="17"/>
      <c r="O47" s="17"/>
    </row>
    <row r="48" spans="2:16" x14ac:dyDescent="0.2">
      <c r="B48" s="17"/>
      <c r="C48" s="17"/>
      <c r="D48" s="17"/>
      <c r="E48" s="17"/>
      <c r="F48" s="17"/>
      <c r="G48" s="17"/>
      <c r="H48" s="17"/>
      <c r="I48" s="17"/>
      <c r="J48" s="17"/>
      <c r="K48" s="17"/>
      <c r="L48" s="17"/>
      <c r="M48" s="17"/>
      <c r="N48" s="17"/>
      <c r="O48" s="17"/>
    </row>
    <row r="49" spans="2:15" x14ac:dyDescent="0.2">
      <c r="B49" s="17"/>
      <c r="C49" s="17"/>
      <c r="D49" s="17"/>
      <c r="E49" s="17"/>
      <c r="F49" s="17"/>
      <c r="G49" s="17"/>
      <c r="H49" s="17"/>
      <c r="I49" s="17"/>
      <c r="J49" s="17"/>
      <c r="K49" s="17"/>
      <c r="L49" s="17"/>
      <c r="M49" s="17"/>
      <c r="N49" s="17"/>
      <c r="O49" s="17"/>
    </row>
    <row r="50" spans="2:15" x14ac:dyDescent="0.2">
      <c r="B50" s="17"/>
      <c r="C50" s="17"/>
      <c r="D50" s="17"/>
      <c r="E50" s="17"/>
      <c r="F50" s="17"/>
      <c r="G50" s="17"/>
      <c r="H50" s="17"/>
      <c r="I50" s="17"/>
      <c r="J50" s="17"/>
      <c r="K50" s="17"/>
      <c r="L50" s="17"/>
      <c r="M50" s="17"/>
      <c r="N50" s="17"/>
      <c r="O50" s="17"/>
    </row>
    <row r="51" spans="2:15" x14ac:dyDescent="0.2">
      <c r="B51" s="17"/>
      <c r="C51" s="17"/>
      <c r="D51" s="17"/>
      <c r="E51" s="17"/>
      <c r="F51" s="17"/>
      <c r="G51" s="17"/>
      <c r="H51" s="17"/>
      <c r="I51" s="17"/>
      <c r="J51" s="17"/>
      <c r="K51" s="17"/>
      <c r="L51" s="17"/>
      <c r="M51" s="17"/>
      <c r="N51" s="17"/>
      <c r="O51" s="17"/>
    </row>
    <row r="52" spans="2:15" x14ac:dyDescent="0.2">
      <c r="B52" s="17"/>
      <c r="C52" s="17"/>
      <c r="D52" s="17"/>
      <c r="E52" s="17"/>
      <c r="F52" s="17"/>
      <c r="G52" s="17"/>
      <c r="H52" s="17"/>
      <c r="I52" s="17"/>
      <c r="J52" s="17"/>
      <c r="K52" s="17"/>
      <c r="L52" s="17"/>
      <c r="M52" s="17"/>
      <c r="N52" s="17"/>
      <c r="O52" s="17"/>
    </row>
    <row r="53" spans="2:15" x14ac:dyDescent="0.2">
      <c r="B53" s="17"/>
      <c r="C53" s="17"/>
      <c r="D53" s="17"/>
      <c r="E53" s="17"/>
      <c r="F53" s="17"/>
      <c r="G53" s="17"/>
      <c r="H53" s="17"/>
      <c r="I53" s="17"/>
      <c r="J53" s="17"/>
      <c r="K53" s="17"/>
      <c r="L53" s="17"/>
      <c r="M53" s="17"/>
      <c r="N53" s="17"/>
      <c r="O53" s="17"/>
    </row>
    <row r="54" spans="2:15" x14ac:dyDescent="0.2">
      <c r="B54" s="9" t="s">
        <v>36</v>
      </c>
      <c r="C54" s="17"/>
      <c r="D54" s="17"/>
      <c r="E54" s="17"/>
      <c r="F54" s="17"/>
      <c r="G54" s="17"/>
      <c r="H54" s="17"/>
      <c r="I54" s="17"/>
      <c r="J54" s="17"/>
      <c r="K54" s="17"/>
      <c r="L54" s="17"/>
      <c r="M54" s="17"/>
      <c r="N54" s="17"/>
      <c r="O54" s="17"/>
    </row>
    <row r="55" spans="2:15" x14ac:dyDescent="0.2">
      <c r="B55" s="17"/>
      <c r="C55" s="20" t="s">
        <v>37</v>
      </c>
      <c r="D55" s="17"/>
      <c r="E55" s="17"/>
      <c r="F55" s="17"/>
      <c r="G55" s="17"/>
      <c r="H55" s="17"/>
      <c r="I55" s="17"/>
      <c r="J55" s="17"/>
      <c r="K55" s="17"/>
      <c r="L55" s="17"/>
      <c r="M55" s="17"/>
      <c r="N55" s="17"/>
      <c r="O55" s="17"/>
    </row>
    <row r="56" spans="2:15" x14ac:dyDescent="0.2">
      <c r="B56" s="17"/>
      <c r="C56" s="17"/>
      <c r="D56" s="17"/>
      <c r="E56" s="17"/>
      <c r="F56" s="17"/>
      <c r="G56" s="17"/>
      <c r="H56" s="17"/>
      <c r="I56" s="17"/>
      <c r="J56" s="17"/>
      <c r="K56" s="17"/>
      <c r="L56" s="17"/>
      <c r="M56" s="17"/>
      <c r="N56" s="17"/>
      <c r="O56" s="17"/>
    </row>
    <row r="57" spans="2:15" x14ac:dyDescent="0.2">
      <c r="B57" s="17"/>
      <c r="C57" s="17"/>
      <c r="D57" s="17"/>
      <c r="E57" s="17"/>
      <c r="F57" s="17"/>
      <c r="G57" s="17"/>
      <c r="H57" s="17"/>
      <c r="I57" s="17"/>
      <c r="J57" s="17"/>
      <c r="K57" s="17"/>
      <c r="L57" s="17"/>
      <c r="M57" s="17"/>
      <c r="N57" s="17"/>
      <c r="O57" s="17"/>
    </row>
    <row r="58" spans="2:15" x14ac:dyDescent="0.2">
      <c r="B58" s="17"/>
      <c r="C58" s="17"/>
      <c r="D58" s="17"/>
      <c r="E58" s="17"/>
      <c r="F58" s="17"/>
      <c r="G58" s="17"/>
      <c r="H58" s="17"/>
      <c r="I58" s="17"/>
      <c r="J58" s="17"/>
      <c r="K58" s="17"/>
      <c r="L58" s="17"/>
      <c r="M58" s="17"/>
      <c r="N58" s="17"/>
      <c r="O58" s="17"/>
    </row>
    <row r="59" spans="2:15" x14ac:dyDescent="0.2">
      <c r="B59" s="17"/>
      <c r="C59" s="17"/>
      <c r="D59" s="17"/>
      <c r="E59" s="17"/>
      <c r="F59" s="17"/>
      <c r="G59" s="17"/>
      <c r="H59" s="17"/>
      <c r="I59" s="17"/>
      <c r="J59" s="17"/>
      <c r="K59" s="17"/>
      <c r="L59" s="17"/>
      <c r="M59" s="17"/>
      <c r="N59" s="17"/>
      <c r="O59" s="17"/>
    </row>
    <row r="60" spans="2:15" x14ac:dyDescent="0.2">
      <c r="B60" s="17"/>
      <c r="C60" s="17"/>
      <c r="D60" s="17"/>
      <c r="E60" s="17"/>
      <c r="F60" s="17"/>
      <c r="G60" s="17"/>
      <c r="H60" s="17"/>
      <c r="I60" s="17"/>
      <c r="J60" s="17"/>
      <c r="K60" s="17"/>
      <c r="L60" s="17"/>
      <c r="M60" s="17"/>
      <c r="N60" s="17"/>
      <c r="O60" s="17"/>
    </row>
    <row r="61" spans="2:15" x14ac:dyDescent="0.2">
      <c r="B61" s="17"/>
      <c r="C61" s="17"/>
      <c r="D61" s="17"/>
      <c r="E61" s="17"/>
      <c r="F61" s="17"/>
      <c r="G61" s="17"/>
      <c r="H61" s="17"/>
      <c r="I61" s="17"/>
      <c r="J61" s="17"/>
      <c r="K61" s="17"/>
      <c r="L61" s="17"/>
      <c r="M61" s="17"/>
      <c r="N61" s="17"/>
      <c r="O61" s="17"/>
    </row>
    <row r="62" spans="2:15" x14ac:dyDescent="0.2">
      <c r="B62" s="17"/>
      <c r="C62" s="17"/>
      <c r="D62" s="17"/>
      <c r="E62" s="17"/>
      <c r="F62" s="17"/>
      <c r="G62" s="17"/>
      <c r="H62" s="17"/>
      <c r="I62" s="17"/>
      <c r="J62" s="17"/>
      <c r="K62" s="17"/>
      <c r="L62" s="17"/>
      <c r="M62" s="17"/>
      <c r="N62" s="17"/>
      <c r="O62" s="17"/>
    </row>
    <row r="63" spans="2:15" x14ac:dyDescent="0.2">
      <c r="B63" s="17"/>
      <c r="C63" s="17"/>
      <c r="D63" s="17"/>
      <c r="E63" s="17"/>
      <c r="F63" s="17"/>
      <c r="G63" s="17"/>
      <c r="H63" s="17"/>
      <c r="I63" s="17"/>
      <c r="J63" s="17"/>
      <c r="K63" s="17"/>
      <c r="L63" s="17"/>
      <c r="M63" s="17"/>
      <c r="N63" s="17"/>
      <c r="O63" s="17"/>
    </row>
    <row r="64" spans="2:15" x14ac:dyDescent="0.2">
      <c r="B64" s="17"/>
      <c r="C64" s="17"/>
      <c r="D64" s="17"/>
      <c r="E64" s="17"/>
      <c r="F64" s="17"/>
      <c r="G64" s="17"/>
      <c r="H64" s="17"/>
      <c r="I64" s="17"/>
      <c r="J64" s="17"/>
      <c r="K64" s="17"/>
      <c r="L64" s="17"/>
      <c r="M64" s="17"/>
      <c r="N64" s="17"/>
      <c r="O64" s="17"/>
    </row>
    <row r="65" spans="2:15" x14ac:dyDescent="0.2">
      <c r="B65" s="17"/>
      <c r="C65" s="17"/>
      <c r="D65" s="17"/>
      <c r="E65" s="17"/>
      <c r="F65" s="17"/>
      <c r="G65" s="17"/>
      <c r="H65" s="17"/>
      <c r="I65" s="17"/>
      <c r="J65" s="17"/>
      <c r="K65" s="17"/>
      <c r="L65" s="17"/>
      <c r="M65" s="17"/>
      <c r="N65" s="17"/>
      <c r="O65" s="17"/>
    </row>
    <row r="66" spans="2:15" x14ac:dyDescent="0.2">
      <c r="B66" s="17"/>
      <c r="C66" s="17"/>
      <c r="D66" s="17"/>
      <c r="E66" s="17"/>
      <c r="F66" s="17"/>
      <c r="G66" s="17"/>
      <c r="H66" s="17"/>
      <c r="I66" s="17"/>
      <c r="J66" s="17"/>
      <c r="K66" s="17"/>
      <c r="L66" s="17"/>
      <c r="M66" s="17"/>
      <c r="N66" s="17"/>
      <c r="O66" s="17"/>
    </row>
    <row r="67" spans="2:15" x14ac:dyDescent="0.2">
      <c r="B67" s="17"/>
      <c r="C67" s="17"/>
      <c r="D67" s="17"/>
      <c r="E67" s="17"/>
      <c r="F67" s="17"/>
      <c r="G67" s="17"/>
      <c r="H67" s="17"/>
      <c r="I67" s="17"/>
      <c r="J67" s="17"/>
      <c r="K67" s="17"/>
      <c r="L67" s="17"/>
      <c r="M67" s="17"/>
      <c r="N67" s="17"/>
      <c r="O67" s="17"/>
    </row>
    <row r="68" spans="2:15" x14ac:dyDescent="0.2">
      <c r="B68" s="17"/>
      <c r="C68" s="17"/>
      <c r="D68" s="17"/>
      <c r="E68" s="17"/>
      <c r="F68" s="17"/>
      <c r="G68" s="17"/>
      <c r="H68" s="17"/>
      <c r="I68" s="17"/>
      <c r="J68" s="17"/>
      <c r="K68" s="17"/>
      <c r="L68" s="17"/>
      <c r="M68" s="17"/>
      <c r="N68" s="17"/>
      <c r="O68" s="17"/>
    </row>
    <row r="69" spans="2:15" x14ac:dyDescent="0.2">
      <c r="B69" s="17"/>
      <c r="C69" s="17"/>
      <c r="D69" s="17"/>
      <c r="E69" s="17"/>
      <c r="F69" s="17"/>
      <c r="G69" s="17"/>
      <c r="H69" s="17"/>
      <c r="I69" s="17"/>
      <c r="J69" s="17"/>
      <c r="K69" s="17"/>
      <c r="L69" s="17"/>
      <c r="M69" s="17"/>
      <c r="N69" s="17"/>
      <c r="O69" s="17"/>
    </row>
    <row r="70" spans="2:15" x14ac:dyDescent="0.2">
      <c r="B70" s="17"/>
      <c r="C70" s="17"/>
      <c r="D70" s="17"/>
      <c r="E70" s="17"/>
      <c r="F70" s="17"/>
      <c r="G70" s="17"/>
      <c r="H70" s="17"/>
      <c r="I70" s="17"/>
      <c r="J70" s="17"/>
      <c r="K70" s="17"/>
      <c r="L70" s="17"/>
      <c r="M70" s="17"/>
      <c r="N70" s="17"/>
      <c r="O70" s="17"/>
    </row>
    <row r="71" spans="2:15" x14ac:dyDescent="0.2">
      <c r="B71" s="17"/>
      <c r="C71" s="17"/>
      <c r="D71" s="17"/>
      <c r="E71" s="17"/>
      <c r="F71" s="17"/>
      <c r="G71" s="17"/>
      <c r="H71" s="17"/>
      <c r="I71" s="17"/>
      <c r="J71" s="17"/>
      <c r="K71" s="17"/>
      <c r="L71" s="17"/>
      <c r="M71" s="17"/>
      <c r="N71" s="17"/>
      <c r="O71" s="17"/>
    </row>
    <row r="72" spans="2:15" x14ac:dyDescent="0.2">
      <c r="B72" s="17"/>
      <c r="C72" s="17"/>
      <c r="D72" s="17"/>
      <c r="E72" s="17"/>
      <c r="F72" s="17"/>
      <c r="G72" s="17"/>
      <c r="H72" s="17"/>
      <c r="I72" s="17"/>
      <c r="J72" s="17"/>
      <c r="K72" s="17"/>
      <c r="L72" s="17"/>
      <c r="M72" s="17"/>
      <c r="N72" s="17"/>
      <c r="O72" s="17"/>
    </row>
    <row r="73" spans="2:15" x14ac:dyDescent="0.2">
      <c r="B73" s="17"/>
      <c r="C73" s="17"/>
      <c r="D73" s="17"/>
      <c r="E73" s="17"/>
      <c r="F73" s="17"/>
      <c r="G73" s="17"/>
      <c r="H73" s="17"/>
      <c r="I73" s="17"/>
      <c r="J73" s="17"/>
      <c r="K73" s="17"/>
      <c r="L73" s="17"/>
      <c r="M73" s="17"/>
      <c r="N73" s="17"/>
      <c r="O73" s="17"/>
    </row>
    <row r="74" spans="2:15" x14ac:dyDescent="0.2">
      <c r="B74" s="17"/>
      <c r="C74" s="17"/>
      <c r="D74" s="17"/>
      <c r="E74" s="17"/>
      <c r="F74" s="17"/>
      <c r="G74" s="17"/>
      <c r="H74" s="17"/>
      <c r="I74" s="17"/>
      <c r="J74" s="17"/>
      <c r="K74" s="17"/>
      <c r="L74" s="17"/>
      <c r="M74" s="17"/>
      <c r="N74" s="17"/>
      <c r="O74" s="17"/>
    </row>
    <row r="75" spans="2:15" x14ac:dyDescent="0.2">
      <c r="B75" s="17"/>
      <c r="C75" s="17"/>
      <c r="D75" s="17"/>
      <c r="E75" s="17"/>
      <c r="F75" s="17"/>
      <c r="G75" s="17"/>
      <c r="H75" s="17"/>
      <c r="I75" s="17"/>
      <c r="J75" s="17"/>
      <c r="K75" s="17"/>
      <c r="L75" s="17"/>
      <c r="M75" s="17"/>
      <c r="N75" s="17"/>
      <c r="O75" s="17"/>
    </row>
    <row r="76" spans="2:15" x14ac:dyDescent="0.2">
      <c r="B76" s="17"/>
      <c r="C76" s="17"/>
      <c r="D76" s="17"/>
      <c r="E76" s="17"/>
      <c r="F76" s="17"/>
      <c r="G76" s="17"/>
      <c r="H76" s="17"/>
      <c r="I76" s="17"/>
      <c r="J76" s="17"/>
      <c r="K76" s="17"/>
      <c r="L76" s="17"/>
      <c r="M76" s="17"/>
      <c r="N76" s="17"/>
      <c r="O76" s="17"/>
    </row>
    <row r="77" spans="2:15" x14ac:dyDescent="0.2">
      <c r="B77" s="17"/>
      <c r="C77" s="17"/>
      <c r="D77" s="17"/>
      <c r="E77" s="17"/>
      <c r="F77" s="17"/>
      <c r="G77" s="17"/>
      <c r="H77" s="17"/>
      <c r="I77" s="17"/>
      <c r="J77" s="17"/>
      <c r="K77" s="17"/>
      <c r="L77" s="17"/>
      <c r="M77" s="17"/>
      <c r="N77" s="17"/>
      <c r="O77" s="17"/>
    </row>
    <row r="78" spans="2:15" x14ac:dyDescent="0.2">
      <c r="B78" s="17"/>
      <c r="C78" s="17"/>
      <c r="D78" s="17"/>
      <c r="E78" s="17"/>
      <c r="F78" s="17"/>
      <c r="G78" s="17"/>
      <c r="H78" s="17"/>
      <c r="I78" s="17"/>
      <c r="J78" s="17"/>
      <c r="K78" s="17"/>
      <c r="L78" s="17"/>
      <c r="M78" s="17"/>
      <c r="N78" s="17"/>
      <c r="O78" s="17"/>
    </row>
    <row r="79" spans="2:15" x14ac:dyDescent="0.2">
      <c r="B79" s="17"/>
      <c r="C79" s="17"/>
      <c r="D79" s="17"/>
      <c r="E79" s="17"/>
      <c r="F79" s="17"/>
      <c r="G79" s="17"/>
      <c r="H79" s="17"/>
      <c r="I79" s="17"/>
      <c r="J79" s="17"/>
      <c r="K79" s="17"/>
      <c r="L79" s="17"/>
      <c r="M79" s="17"/>
      <c r="N79" s="17"/>
      <c r="O79" s="17"/>
    </row>
    <row r="80" spans="2:15" x14ac:dyDescent="0.2">
      <c r="B80" s="17"/>
      <c r="C80" s="17"/>
      <c r="D80" s="17"/>
      <c r="E80" s="17"/>
      <c r="F80" s="17"/>
      <c r="G80" s="17"/>
      <c r="H80" s="17"/>
      <c r="I80" s="17"/>
      <c r="J80" s="17"/>
      <c r="K80" s="17"/>
      <c r="L80" s="17"/>
      <c r="M80" s="17"/>
      <c r="N80" s="17"/>
      <c r="O80" s="17"/>
    </row>
    <row r="81" spans="2:15" x14ac:dyDescent="0.2">
      <c r="B81" s="17"/>
      <c r="C81" s="17"/>
      <c r="D81" s="17"/>
      <c r="E81" s="17"/>
      <c r="F81" s="17"/>
      <c r="G81" s="17"/>
      <c r="H81" s="17"/>
      <c r="I81" s="17"/>
      <c r="J81" s="17"/>
      <c r="K81" s="17"/>
      <c r="L81" s="17"/>
      <c r="M81" s="17"/>
      <c r="N81" s="17"/>
      <c r="O81" s="17"/>
    </row>
    <row r="82" spans="2:15" x14ac:dyDescent="0.2">
      <c r="B82" s="17"/>
      <c r="C82" s="17"/>
      <c r="D82" s="17"/>
      <c r="E82" s="17"/>
      <c r="F82" s="17"/>
      <c r="G82" s="17"/>
      <c r="H82" s="17"/>
      <c r="I82" s="17"/>
      <c r="J82" s="17"/>
      <c r="K82" s="17"/>
      <c r="L82" s="17"/>
      <c r="M82" s="17"/>
      <c r="N82" s="17"/>
      <c r="O82" s="17"/>
    </row>
    <row r="83" spans="2:15" x14ac:dyDescent="0.2">
      <c r="B83" s="17"/>
      <c r="C83" s="17"/>
      <c r="D83" s="17"/>
      <c r="E83" s="17"/>
      <c r="F83" s="17"/>
      <c r="G83" s="17"/>
      <c r="H83" s="17"/>
      <c r="I83" s="17"/>
      <c r="J83" s="17"/>
      <c r="K83" s="17"/>
      <c r="L83" s="17"/>
      <c r="M83" s="17"/>
      <c r="N83" s="17"/>
      <c r="O83" s="17"/>
    </row>
    <row r="84" spans="2:15" x14ac:dyDescent="0.2">
      <c r="B84" s="17"/>
      <c r="C84" s="17"/>
      <c r="D84" s="17"/>
      <c r="E84" s="17"/>
      <c r="F84" s="17"/>
      <c r="G84" s="17"/>
      <c r="H84" s="17"/>
      <c r="I84" s="17"/>
      <c r="J84" s="17"/>
      <c r="K84" s="17"/>
      <c r="L84" s="17"/>
      <c r="M84" s="17"/>
      <c r="N84" s="17"/>
      <c r="O84" s="17"/>
    </row>
    <row r="85" spans="2:15" x14ac:dyDescent="0.2">
      <c r="B85" s="17"/>
      <c r="C85" s="17"/>
      <c r="D85" s="17"/>
      <c r="E85" s="17"/>
      <c r="F85" s="17"/>
      <c r="G85" s="17"/>
      <c r="H85" s="17"/>
      <c r="I85" s="17"/>
      <c r="J85" s="17"/>
      <c r="K85" s="17"/>
      <c r="L85" s="17"/>
      <c r="M85" s="17"/>
      <c r="N85" s="17"/>
      <c r="O85" s="17"/>
    </row>
    <row r="86" spans="2:15" x14ac:dyDescent="0.2">
      <c r="B86" s="17"/>
      <c r="C86" s="17"/>
      <c r="D86" s="17"/>
      <c r="E86" s="17"/>
      <c r="F86" s="17"/>
      <c r="G86" s="17"/>
      <c r="H86" s="17"/>
      <c r="I86" s="17"/>
      <c r="J86" s="17"/>
      <c r="K86" s="17"/>
      <c r="L86" s="17"/>
      <c r="M86" s="17"/>
      <c r="N86" s="17"/>
      <c r="O86" s="17"/>
    </row>
    <row r="87" spans="2:15" x14ac:dyDescent="0.2">
      <c r="B87" s="17"/>
      <c r="C87" s="17"/>
      <c r="D87" s="17"/>
      <c r="E87" s="17"/>
      <c r="F87" s="17"/>
      <c r="G87" s="17"/>
      <c r="H87" s="17"/>
      <c r="I87" s="17"/>
      <c r="J87" s="17"/>
      <c r="K87" s="17"/>
      <c r="L87" s="17"/>
      <c r="M87" s="17"/>
      <c r="N87" s="17"/>
      <c r="O87" s="17"/>
    </row>
    <row r="88" spans="2:15" x14ac:dyDescent="0.2">
      <c r="B88" s="17"/>
      <c r="C88" s="17"/>
      <c r="D88" s="17"/>
      <c r="E88" s="17"/>
      <c r="F88" s="17"/>
      <c r="G88" s="17"/>
      <c r="H88" s="17"/>
      <c r="I88" s="17"/>
      <c r="J88" s="17"/>
      <c r="K88" s="17"/>
      <c r="L88" s="17"/>
      <c r="M88" s="17"/>
      <c r="N88" s="17"/>
      <c r="O88" s="17"/>
    </row>
    <row r="89" spans="2:15" x14ac:dyDescent="0.2">
      <c r="B89" s="17"/>
      <c r="C89" s="17"/>
      <c r="D89" s="17"/>
      <c r="E89" s="17"/>
      <c r="F89" s="17"/>
      <c r="G89" s="17"/>
      <c r="H89" s="17"/>
      <c r="I89" s="17"/>
      <c r="J89" s="17"/>
      <c r="K89" s="17"/>
      <c r="L89" s="17"/>
      <c r="M89" s="17"/>
      <c r="N89" s="17"/>
      <c r="O89" s="17"/>
    </row>
    <row r="90" spans="2:15" x14ac:dyDescent="0.2">
      <c r="B90" s="17"/>
      <c r="C90" s="17"/>
      <c r="D90" s="17"/>
      <c r="E90" s="17"/>
      <c r="F90" s="17"/>
      <c r="G90" s="17"/>
      <c r="H90" s="17"/>
      <c r="I90" s="17"/>
      <c r="J90" s="17"/>
      <c r="K90" s="17"/>
      <c r="L90" s="17"/>
      <c r="M90" s="17"/>
      <c r="N90" s="17"/>
      <c r="O90" s="17"/>
    </row>
    <row r="91" spans="2:15" x14ac:dyDescent="0.2">
      <c r="B91" s="17"/>
      <c r="C91" s="17"/>
      <c r="D91" s="17"/>
      <c r="E91" s="17"/>
      <c r="F91" s="17"/>
      <c r="G91" s="17"/>
      <c r="H91" s="17"/>
      <c r="I91" s="17"/>
      <c r="J91" s="17"/>
      <c r="K91" s="17"/>
      <c r="L91" s="17"/>
      <c r="M91" s="17"/>
      <c r="N91" s="17"/>
      <c r="O91" s="17"/>
    </row>
    <row r="92" spans="2:15" x14ac:dyDescent="0.2">
      <c r="B92" s="17"/>
      <c r="C92" s="17"/>
      <c r="D92" s="17"/>
      <c r="E92" s="17"/>
      <c r="F92" s="17"/>
      <c r="G92" s="17"/>
      <c r="H92" s="17"/>
      <c r="I92" s="17"/>
      <c r="J92" s="17"/>
      <c r="K92" s="17"/>
      <c r="L92" s="17"/>
      <c r="M92" s="17"/>
      <c r="N92" s="17"/>
      <c r="O92" s="17"/>
    </row>
    <row r="93" spans="2:15" x14ac:dyDescent="0.2">
      <c r="B93" s="17"/>
      <c r="C93" s="17"/>
      <c r="D93" s="17"/>
      <c r="E93" s="17"/>
      <c r="F93" s="17"/>
      <c r="G93" s="17"/>
      <c r="H93" s="17"/>
      <c r="I93" s="17"/>
      <c r="J93" s="17"/>
      <c r="K93" s="17"/>
      <c r="L93" s="17"/>
      <c r="M93" s="17"/>
      <c r="N93" s="17"/>
      <c r="O93" s="17"/>
    </row>
    <row r="94" spans="2:15" x14ac:dyDescent="0.2">
      <c r="B94" s="17"/>
      <c r="C94" s="17"/>
      <c r="D94" s="17"/>
      <c r="E94" s="17"/>
      <c r="F94" s="17"/>
      <c r="G94" s="17"/>
      <c r="H94" s="17"/>
      <c r="I94" s="17"/>
      <c r="J94" s="17"/>
      <c r="K94" s="17"/>
      <c r="L94" s="17"/>
      <c r="M94" s="17"/>
      <c r="N94" s="17"/>
      <c r="O94" s="17"/>
    </row>
    <row r="95" spans="2:15" x14ac:dyDescent="0.2">
      <c r="B95" s="17"/>
      <c r="C95" s="17"/>
      <c r="D95" s="17"/>
      <c r="E95" s="17"/>
      <c r="F95" s="17"/>
      <c r="G95" s="17"/>
      <c r="H95" s="17"/>
      <c r="I95" s="17"/>
      <c r="J95" s="17"/>
      <c r="K95" s="17"/>
      <c r="L95" s="17"/>
      <c r="M95" s="17"/>
      <c r="N95" s="17"/>
      <c r="O95" s="17"/>
    </row>
    <row r="96" spans="2:15" x14ac:dyDescent="0.2">
      <c r="B96" s="17"/>
      <c r="C96" s="17"/>
      <c r="D96" s="17"/>
      <c r="E96" s="17"/>
      <c r="F96" s="17"/>
      <c r="G96" s="17"/>
      <c r="H96" s="17"/>
      <c r="I96" s="17"/>
      <c r="J96" s="17"/>
      <c r="K96" s="17"/>
      <c r="L96" s="17"/>
      <c r="M96" s="17"/>
      <c r="N96" s="17"/>
      <c r="O96" s="17"/>
    </row>
    <row r="97" spans="2:15" x14ac:dyDescent="0.2">
      <c r="B97" s="17"/>
      <c r="C97" s="17"/>
      <c r="D97" s="17"/>
      <c r="E97" s="17"/>
      <c r="F97" s="17"/>
      <c r="G97" s="17"/>
      <c r="H97" s="17"/>
      <c r="I97" s="17"/>
      <c r="J97" s="17"/>
      <c r="K97" s="17"/>
      <c r="L97" s="17"/>
      <c r="M97" s="17"/>
      <c r="N97" s="17"/>
      <c r="O97" s="17"/>
    </row>
    <row r="98" spans="2:15" x14ac:dyDescent="0.2">
      <c r="B98" s="17"/>
      <c r="C98" s="17"/>
      <c r="D98" s="17"/>
      <c r="E98" s="17"/>
      <c r="F98" s="17"/>
      <c r="G98" s="17"/>
      <c r="H98" s="17"/>
      <c r="I98" s="17"/>
      <c r="J98" s="17"/>
      <c r="K98" s="17"/>
      <c r="L98" s="17"/>
      <c r="M98" s="17"/>
      <c r="N98" s="17"/>
      <c r="O98" s="17"/>
    </row>
    <row r="99" spans="2:15" x14ac:dyDescent="0.2">
      <c r="B99" s="17"/>
      <c r="C99" s="17"/>
      <c r="D99" s="17"/>
      <c r="E99" s="17"/>
      <c r="F99" s="17"/>
      <c r="G99" s="17"/>
      <c r="H99" s="17"/>
      <c r="I99" s="17"/>
      <c r="J99" s="17"/>
      <c r="K99" s="17"/>
      <c r="L99" s="17"/>
      <c r="M99" s="17"/>
      <c r="N99" s="17"/>
      <c r="O99" s="17"/>
    </row>
    <row r="100" spans="2:15" x14ac:dyDescent="0.2">
      <c r="B100" s="17"/>
      <c r="C100" s="17"/>
      <c r="D100" s="17"/>
      <c r="E100" s="17"/>
      <c r="F100" s="17"/>
      <c r="G100" s="17"/>
      <c r="H100" s="17"/>
      <c r="I100" s="17"/>
      <c r="J100" s="17"/>
      <c r="K100" s="17"/>
      <c r="L100" s="17"/>
      <c r="M100" s="17"/>
      <c r="N100" s="17"/>
      <c r="O100" s="17"/>
    </row>
    <row r="101" spans="2:15" x14ac:dyDescent="0.2">
      <c r="B101" s="17"/>
      <c r="C101" s="17"/>
      <c r="D101" s="17"/>
      <c r="E101" s="17"/>
      <c r="F101" s="17"/>
      <c r="G101" s="17"/>
      <c r="H101" s="17"/>
      <c r="I101" s="17"/>
      <c r="J101" s="17"/>
      <c r="K101" s="17"/>
      <c r="L101" s="17"/>
      <c r="M101" s="17"/>
      <c r="N101" s="17"/>
      <c r="O101" s="17"/>
    </row>
    <row r="102" spans="2:15" x14ac:dyDescent="0.2">
      <c r="B102" s="17"/>
      <c r="C102" s="17"/>
      <c r="D102" s="17"/>
      <c r="E102" s="17"/>
      <c r="F102" s="17"/>
      <c r="G102" s="17"/>
      <c r="H102" s="17"/>
      <c r="I102" s="17"/>
      <c r="J102" s="17"/>
      <c r="K102" s="17"/>
      <c r="L102" s="17"/>
      <c r="M102" s="17"/>
      <c r="N102" s="17"/>
      <c r="O102" s="17"/>
    </row>
    <row r="103" spans="2:15" x14ac:dyDescent="0.2">
      <c r="B103" s="17"/>
      <c r="C103" s="17"/>
      <c r="D103" s="17"/>
      <c r="E103" s="17"/>
      <c r="F103" s="17"/>
      <c r="G103" s="17"/>
      <c r="H103" s="17"/>
      <c r="I103" s="17"/>
      <c r="J103" s="17"/>
      <c r="K103" s="17"/>
      <c r="L103" s="17"/>
      <c r="M103" s="17"/>
      <c r="N103" s="17"/>
      <c r="O103" s="17"/>
    </row>
    <row r="104" spans="2:15" x14ac:dyDescent="0.2">
      <c r="B104" s="17"/>
      <c r="C104" s="17"/>
      <c r="D104" s="17"/>
      <c r="E104" s="17"/>
      <c r="F104" s="17"/>
      <c r="G104" s="17"/>
      <c r="H104" s="17"/>
      <c r="I104" s="17"/>
      <c r="J104" s="17"/>
      <c r="K104" s="17"/>
      <c r="L104" s="17"/>
      <c r="M104" s="17"/>
      <c r="N104" s="17"/>
      <c r="O104" s="17"/>
    </row>
    <row r="105" spans="2:15" x14ac:dyDescent="0.2">
      <c r="B105" s="17"/>
      <c r="C105" s="17"/>
      <c r="D105" s="17"/>
      <c r="E105" s="17"/>
      <c r="F105" s="17"/>
      <c r="G105" s="17"/>
      <c r="H105" s="17"/>
      <c r="I105" s="17"/>
      <c r="J105" s="17"/>
      <c r="K105" s="17"/>
      <c r="L105" s="17"/>
      <c r="M105" s="17"/>
      <c r="N105" s="17"/>
      <c r="O105" s="17"/>
    </row>
    <row r="106" spans="2:15" x14ac:dyDescent="0.2">
      <c r="B106" s="17"/>
      <c r="C106" s="17"/>
      <c r="D106" s="17"/>
      <c r="E106" s="17"/>
      <c r="F106" s="17"/>
      <c r="G106" s="17"/>
      <c r="H106" s="17"/>
      <c r="I106" s="17"/>
      <c r="J106" s="17"/>
      <c r="K106" s="17"/>
      <c r="L106" s="17"/>
      <c r="M106" s="17"/>
      <c r="N106" s="17"/>
      <c r="O106" s="17"/>
    </row>
    <row r="107" spans="2:15" x14ac:dyDescent="0.2">
      <c r="B107" s="17"/>
      <c r="C107" s="17"/>
      <c r="D107" s="17"/>
      <c r="E107" s="17"/>
      <c r="F107" s="17"/>
      <c r="G107" s="17"/>
      <c r="H107" s="17"/>
      <c r="I107" s="17"/>
      <c r="J107" s="17"/>
      <c r="K107" s="17"/>
      <c r="L107" s="17"/>
      <c r="M107" s="17"/>
      <c r="N107" s="17"/>
      <c r="O107" s="17"/>
    </row>
    <row r="108" spans="2:15" x14ac:dyDescent="0.2">
      <c r="B108" s="17"/>
      <c r="C108" s="17"/>
      <c r="D108" s="17"/>
      <c r="E108" s="17"/>
      <c r="F108" s="17"/>
      <c r="G108" s="17"/>
      <c r="H108" s="17"/>
      <c r="I108" s="17"/>
      <c r="J108" s="17"/>
      <c r="K108" s="17"/>
      <c r="L108" s="17"/>
      <c r="M108" s="17"/>
      <c r="N108" s="17"/>
      <c r="O108" s="17"/>
    </row>
    <row r="109" spans="2:15" x14ac:dyDescent="0.2">
      <c r="B109" s="17"/>
      <c r="C109" s="17"/>
      <c r="D109" s="17"/>
      <c r="E109" s="17"/>
      <c r="F109" s="17"/>
      <c r="G109" s="17"/>
      <c r="H109" s="17"/>
      <c r="I109" s="17"/>
      <c r="J109" s="17"/>
      <c r="K109" s="17"/>
      <c r="L109" s="17"/>
      <c r="M109" s="17"/>
      <c r="N109" s="17"/>
      <c r="O109" s="17"/>
    </row>
    <row r="110" spans="2:15" x14ac:dyDescent="0.2">
      <c r="B110" s="17"/>
      <c r="C110" s="17"/>
      <c r="D110" s="17"/>
      <c r="E110" s="17"/>
      <c r="F110" s="17"/>
      <c r="G110" s="17"/>
      <c r="H110" s="17"/>
      <c r="I110" s="17"/>
      <c r="J110" s="17"/>
      <c r="K110" s="17"/>
      <c r="L110" s="17"/>
      <c r="M110" s="17"/>
      <c r="N110" s="17"/>
      <c r="O110" s="17"/>
    </row>
    <row r="111" spans="2:15" x14ac:dyDescent="0.2">
      <c r="B111" s="17"/>
      <c r="C111" s="17"/>
      <c r="D111" s="17"/>
      <c r="E111" s="17"/>
      <c r="F111" s="17"/>
      <c r="G111" s="17"/>
      <c r="H111" s="17"/>
      <c r="I111" s="17"/>
      <c r="J111" s="17"/>
      <c r="K111" s="17"/>
      <c r="L111" s="17"/>
      <c r="M111" s="17"/>
      <c r="N111" s="17"/>
      <c r="O111" s="17"/>
    </row>
    <row r="112" spans="2:15" x14ac:dyDescent="0.2">
      <c r="B112" s="17"/>
      <c r="C112" s="17"/>
      <c r="D112" s="17"/>
      <c r="E112" s="17"/>
      <c r="F112" s="17"/>
      <c r="G112" s="17"/>
      <c r="H112" s="17"/>
      <c r="I112" s="17"/>
      <c r="J112" s="17"/>
      <c r="K112" s="17"/>
      <c r="L112" s="17"/>
      <c r="M112" s="17"/>
      <c r="N112" s="17"/>
      <c r="O112" s="17"/>
    </row>
    <row r="113" spans="2:15" x14ac:dyDescent="0.2">
      <c r="B113" s="17"/>
      <c r="C113" s="17"/>
      <c r="D113" s="17"/>
      <c r="E113" s="17"/>
      <c r="F113" s="17"/>
      <c r="G113" s="17"/>
      <c r="H113" s="17"/>
      <c r="I113" s="17"/>
      <c r="J113" s="17"/>
      <c r="K113" s="17"/>
      <c r="L113" s="17"/>
      <c r="M113" s="17"/>
      <c r="N113" s="17"/>
      <c r="O113" s="17"/>
    </row>
    <row r="114" spans="2:15" x14ac:dyDescent="0.2">
      <c r="B114" s="17"/>
      <c r="C114" s="17"/>
      <c r="D114" s="17"/>
      <c r="E114" s="17"/>
      <c r="F114" s="17"/>
      <c r="G114" s="17"/>
      <c r="H114" s="17"/>
      <c r="I114" s="17"/>
      <c r="J114" s="17"/>
      <c r="K114" s="17"/>
      <c r="L114" s="17"/>
      <c r="M114" s="17"/>
      <c r="N114" s="17"/>
      <c r="O114" s="17"/>
    </row>
    <row r="115" spans="2:15" x14ac:dyDescent="0.2">
      <c r="B115" s="17"/>
      <c r="C115" s="17"/>
      <c r="D115" s="17"/>
      <c r="E115" s="17"/>
      <c r="F115" s="17"/>
      <c r="G115" s="17"/>
      <c r="H115" s="17"/>
      <c r="I115" s="17"/>
      <c r="J115" s="17"/>
      <c r="K115" s="17"/>
      <c r="L115" s="17"/>
      <c r="M115" s="17"/>
      <c r="N115" s="17"/>
      <c r="O115" s="17"/>
    </row>
    <row r="116" spans="2:15" x14ac:dyDescent="0.2">
      <c r="B116" s="17"/>
      <c r="C116" s="17"/>
      <c r="D116" s="17"/>
      <c r="E116" s="17"/>
      <c r="F116" s="17"/>
      <c r="G116" s="17"/>
      <c r="H116" s="17"/>
      <c r="I116" s="17"/>
      <c r="J116" s="17"/>
      <c r="K116" s="17"/>
      <c r="L116" s="17"/>
      <c r="M116" s="17"/>
      <c r="N116" s="17"/>
      <c r="O116" s="17"/>
    </row>
    <row r="117" spans="2:15" x14ac:dyDescent="0.2">
      <c r="B117" s="17"/>
      <c r="C117" s="17"/>
      <c r="D117" s="17"/>
      <c r="E117" s="17"/>
      <c r="F117" s="17"/>
      <c r="G117" s="17"/>
      <c r="H117" s="17"/>
      <c r="I117" s="17"/>
      <c r="J117" s="17"/>
      <c r="K117" s="17"/>
      <c r="L117" s="17"/>
      <c r="M117" s="17"/>
      <c r="N117" s="17"/>
      <c r="O117" s="17"/>
    </row>
    <row r="118" spans="2:15" x14ac:dyDescent="0.2">
      <c r="B118" s="17"/>
      <c r="C118" s="17"/>
      <c r="D118" s="17"/>
      <c r="E118" s="17"/>
      <c r="F118" s="17"/>
      <c r="G118" s="17"/>
      <c r="H118" s="17"/>
      <c r="I118" s="17"/>
      <c r="J118" s="17"/>
      <c r="K118" s="17"/>
      <c r="L118" s="17"/>
      <c r="M118" s="17"/>
      <c r="N118" s="17"/>
      <c r="O118" s="17"/>
    </row>
    <row r="119" spans="2:15" x14ac:dyDescent="0.2">
      <c r="B119" s="17"/>
      <c r="C119" s="17"/>
      <c r="D119" s="17"/>
      <c r="E119" s="17"/>
      <c r="F119" s="17"/>
      <c r="G119" s="17"/>
      <c r="H119" s="17"/>
      <c r="I119" s="17"/>
      <c r="J119" s="17"/>
      <c r="K119" s="17"/>
      <c r="L119" s="17"/>
      <c r="M119" s="17"/>
      <c r="N119" s="17"/>
      <c r="O119" s="17"/>
    </row>
    <row r="120" spans="2:15" x14ac:dyDescent="0.2">
      <c r="B120" s="17"/>
      <c r="C120" s="17"/>
      <c r="D120" s="17"/>
      <c r="E120" s="17"/>
      <c r="F120" s="17"/>
      <c r="G120" s="17"/>
      <c r="H120" s="17"/>
      <c r="I120" s="17"/>
      <c r="J120" s="17"/>
      <c r="K120" s="17"/>
      <c r="L120" s="17"/>
      <c r="M120" s="17"/>
      <c r="N120" s="17"/>
      <c r="O120" s="17"/>
    </row>
    <row r="121" spans="2:15" x14ac:dyDescent="0.2">
      <c r="B121" s="17"/>
      <c r="C121" s="17"/>
      <c r="D121" s="17"/>
      <c r="E121" s="17"/>
      <c r="F121" s="17"/>
      <c r="G121" s="17"/>
      <c r="H121" s="17"/>
      <c r="I121" s="17"/>
      <c r="J121" s="17"/>
      <c r="K121" s="17"/>
      <c r="L121" s="17"/>
      <c r="M121" s="17"/>
      <c r="N121" s="17"/>
      <c r="O121" s="17"/>
    </row>
    <row r="122" spans="2:15" x14ac:dyDescent="0.2">
      <c r="B122" s="17"/>
      <c r="C122" s="17"/>
      <c r="D122" s="17"/>
      <c r="E122" s="17"/>
      <c r="F122" s="17"/>
      <c r="G122" s="17"/>
      <c r="H122" s="17"/>
      <c r="I122" s="17"/>
      <c r="J122" s="17"/>
      <c r="K122" s="17"/>
      <c r="L122" s="17"/>
      <c r="M122" s="17"/>
      <c r="N122" s="17"/>
      <c r="O122" s="17"/>
    </row>
    <row r="123" spans="2:15" x14ac:dyDescent="0.2">
      <c r="B123" s="17"/>
      <c r="C123" s="17"/>
      <c r="D123" s="17"/>
      <c r="E123" s="17"/>
      <c r="F123" s="17"/>
      <c r="G123" s="17"/>
      <c r="H123" s="17"/>
      <c r="I123" s="17"/>
      <c r="J123" s="17"/>
      <c r="K123" s="17"/>
      <c r="L123" s="17"/>
      <c r="M123" s="17"/>
      <c r="N123" s="17"/>
      <c r="O123" s="17"/>
    </row>
    <row r="124" spans="2:15" x14ac:dyDescent="0.2">
      <c r="B124" s="17"/>
      <c r="C124" s="17"/>
      <c r="D124" s="17"/>
      <c r="E124" s="17"/>
      <c r="F124" s="17"/>
      <c r="G124" s="17"/>
      <c r="H124" s="17"/>
      <c r="I124" s="17"/>
      <c r="J124" s="17"/>
      <c r="K124" s="17"/>
      <c r="L124" s="17"/>
      <c r="M124" s="17"/>
      <c r="N124" s="17"/>
      <c r="O124" s="17"/>
    </row>
    <row r="125" spans="2:15" x14ac:dyDescent="0.2">
      <c r="B125" s="17"/>
      <c r="C125" s="17"/>
      <c r="D125" s="17"/>
      <c r="E125" s="17"/>
      <c r="F125" s="17"/>
      <c r="G125" s="17"/>
      <c r="H125" s="17"/>
      <c r="I125" s="17"/>
      <c r="J125" s="17"/>
      <c r="K125" s="17"/>
      <c r="L125" s="17"/>
      <c r="M125" s="17"/>
      <c r="N125" s="17"/>
      <c r="O125" s="17"/>
    </row>
    <row r="126" spans="2:15" x14ac:dyDescent="0.2">
      <c r="B126" s="17"/>
      <c r="C126" s="17"/>
      <c r="D126" s="17"/>
      <c r="E126" s="17"/>
      <c r="F126" s="17"/>
      <c r="G126" s="17"/>
      <c r="H126" s="17"/>
      <c r="I126" s="17"/>
      <c r="J126" s="17"/>
      <c r="K126" s="17"/>
      <c r="L126" s="17"/>
      <c r="M126" s="17"/>
      <c r="N126" s="17"/>
      <c r="O126" s="17"/>
    </row>
    <row r="127" spans="2:15" x14ac:dyDescent="0.2">
      <c r="B127" s="17"/>
      <c r="C127" s="17"/>
      <c r="D127" s="17"/>
      <c r="E127" s="17"/>
      <c r="F127" s="17"/>
      <c r="G127" s="17"/>
      <c r="H127" s="17"/>
      <c r="I127" s="17"/>
      <c r="J127" s="17"/>
      <c r="K127" s="17"/>
      <c r="L127" s="17"/>
      <c r="M127" s="17"/>
      <c r="N127" s="17"/>
      <c r="O127" s="17"/>
    </row>
    <row r="128" spans="2:15" x14ac:dyDescent="0.2">
      <c r="B128" s="17"/>
      <c r="C128" s="17"/>
      <c r="D128" s="17"/>
      <c r="E128" s="17"/>
      <c r="F128" s="17"/>
      <c r="G128" s="17"/>
      <c r="H128" s="17"/>
      <c r="I128" s="17"/>
      <c r="J128" s="17"/>
      <c r="K128" s="17"/>
      <c r="L128" s="17"/>
      <c r="M128" s="17"/>
      <c r="N128" s="17"/>
      <c r="O128" s="17"/>
    </row>
    <row r="129" spans="2:15" x14ac:dyDescent="0.2">
      <c r="B129" s="17"/>
      <c r="C129" s="17"/>
      <c r="D129" s="17"/>
      <c r="E129" s="17"/>
      <c r="F129" s="17"/>
      <c r="G129" s="17"/>
      <c r="H129" s="17"/>
      <c r="I129" s="17"/>
      <c r="J129" s="17"/>
      <c r="K129" s="17"/>
      <c r="L129" s="17"/>
      <c r="M129" s="17"/>
      <c r="N129" s="17"/>
      <c r="O129" s="17"/>
    </row>
    <row r="130" spans="2:15" x14ac:dyDescent="0.2">
      <c r="B130" s="17"/>
      <c r="C130" s="17"/>
      <c r="D130" s="17"/>
      <c r="E130" s="17"/>
      <c r="F130" s="17"/>
      <c r="G130" s="17"/>
      <c r="H130" s="17"/>
      <c r="I130" s="17"/>
      <c r="J130" s="17"/>
      <c r="K130" s="17"/>
      <c r="L130" s="17"/>
      <c r="M130" s="17"/>
      <c r="N130" s="17"/>
      <c r="O130" s="17"/>
    </row>
    <row r="131" spans="2:15" x14ac:dyDescent="0.2">
      <c r="B131" s="17"/>
      <c r="C131" s="17"/>
      <c r="D131" s="17"/>
      <c r="E131" s="17"/>
      <c r="F131" s="17"/>
      <c r="G131" s="17"/>
      <c r="H131" s="17"/>
      <c r="I131" s="17"/>
      <c r="J131" s="17"/>
      <c r="K131" s="17"/>
      <c r="L131" s="17"/>
      <c r="M131" s="17"/>
      <c r="N131" s="17"/>
      <c r="O131" s="17"/>
    </row>
    <row r="132" spans="2:15" x14ac:dyDescent="0.2">
      <c r="B132" s="17"/>
      <c r="C132" s="17"/>
      <c r="D132" s="17"/>
      <c r="E132" s="17"/>
      <c r="F132" s="17"/>
      <c r="G132" s="17"/>
      <c r="H132" s="17"/>
      <c r="I132" s="17"/>
      <c r="J132" s="17"/>
      <c r="K132" s="17"/>
      <c r="L132" s="17"/>
      <c r="M132" s="17"/>
      <c r="N132" s="17"/>
      <c r="O132" s="17"/>
    </row>
    <row r="133" spans="2:15" x14ac:dyDescent="0.2">
      <c r="B133" s="17"/>
      <c r="C133" s="17"/>
      <c r="D133" s="17"/>
      <c r="E133" s="17"/>
      <c r="F133" s="17"/>
      <c r="G133" s="17"/>
      <c r="H133" s="17"/>
      <c r="I133" s="17"/>
      <c r="J133" s="17"/>
      <c r="K133" s="17"/>
      <c r="L133" s="17"/>
      <c r="M133" s="17"/>
      <c r="N133" s="17"/>
      <c r="O133" s="17"/>
    </row>
    <row r="134" spans="2:15" x14ac:dyDescent="0.2">
      <c r="B134" s="17"/>
      <c r="C134" s="17"/>
      <c r="D134" s="17"/>
      <c r="E134" s="17"/>
      <c r="F134" s="17"/>
      <c r="G134" s="17"/>
      <c r="H134" s="17"/>
      <c r="I134" s="17"/>
      <c r="J134" s="17"/>
      <c r="K134" s="17"/>
      <c r="L134" s="17"/>
      <c r="M134" s="17"/>
      <c r="N134" s="17"/>
      <c r="O134" s="17"/>
    </row>
    <row r="135" spans="2:15" x14ac:dyDescent="0.2">
      <c r="B135" s="17"/>
      <c r="C135" s="17"/>
      <c r="D135" s="17"/>
      <c r="E135" s="17"/>
      <c r="F135" s="17"/>
      <c r="G135" s="17"/>
      <c r="H135" s="17"/>
      <c r="I135" s="17"/>
      <c r="J135" s="17"/>
      <c r="K135" s="17"/>
      <c r="L135" s="17"/>
      <c r="M135" s="17"/>
      <c r="N135" s="17"/>
      <c r="O135" s="17"/>
    </row>
    <row r="136" spans="2:15" x14ac:dyDescent="0.2">
      <c r="B136" s="17"/>
      <c r="C136" s="17"/>
      <c r="D136" s="17"/>
      <c r="E136" s="17"/>
      <c r="F136" s="17"/>
      <c r="G136" s="17"/>
      <c r="H136" s="17"/>
      <c r="I136" s="17"/>
      <c r="J136" s="17"/>
      <c r="K136" s="17"/>
      <c r="L136" s="17"/>
      <c r="M136" s="17"/>
      <c r="N136" s="17"/>
      <c r="O136" s="17"/>
    </row>
    <row r="137" spans="2:15" x14ac:dyDescent="0.2">
      <c r="B137" s="17"/>
      <c r="C137" s="17"/>
      <c r="D137" s="17"/>
      <c r="E137" s="17"/>
      <c r="F137" s="17"/>
      <c r="G137" s="17"/>
      <c r="H137" s="17"/>
      <c r="I137" s="17"/>
      <c r="J137" s="17"/>
      <c r="K137" s="17"/>
      <c r="L137" s="17"/>
      <c r="M137" s="17"/>
      <c r="N137" s="17"/>
      <c r="O137" s="17"/>
    </row>
    <row r="138" spans="2:15" x14ac:dyDescent="0.2">
      <c r="B138" s="17"/>
      <c r="C138" s="17"/>
      <c r="D138" s="17"/>
      <c r="E138" s="17"/>
      <c r="F138" s="17"/>
      <c r="G138" s="17"/>
      <c r="H138" s="17"/>
      <c r="I138" s="17"/>
      <c r="J138" s="17"/>
      <c r="K138" s="17"/>
      <c r="L138" s="17"/>
      <c r="M138" s="17"/>
      <c r="N138" s="17"/>
      <c r="O138" s="17"/>
    </row>
    <row r="139" spans="2:15" x14ac:dyDescent="0.2">
      <c r="B139" s="17"/>
      <c r="C139" s="17"/>
      <c r="D139" s="17"/>
      <c r="E139" s="17"/>
      <c r="F139" s="17"/>
      <c r="G139" s="17"/>
      <c r="H139" s="17"/>
      <c r="I139" s="17"/>
      <c r="J139" s="17"/>
      <c r="K139" s="17"/>
      <c r="L139" s="17"/>
      <c r="M139" s="17"/>
      <c r="N139" s="17"/>
      <c r="O139" s="17"/>
    </row>
    <row r="140" spans="2:15" x14ac:dyDescent="0.2">
      <c r="B140" s="17"/>
      <c r="C140" s="17"/>
      <c r="D140" s="17"/>
      <c r="E140" s="17"/>
      <c r="F140" s="17"/>
      <c r="G140" s="17"/>
      <c r="H140" s="17"/>
      <c r="I140" s="17"/>
      <c r="J140" s="17"/>
      <c r="K140" s="17"/>
      <c r="L140" s="17"/>
      <c r="M140" s="17"/>
      <c r="N140" s="17"/>
      <c r="O140" s="17"/>
    </row>
    <row r="141" spans="2:15" x14ac:dyDescent="0.2">
      <c r="B141" s="17"/>
      <c r="C141" s="17"/>
      <c r="D141" s="17"/>
      <c r="E141" s="17"/>
      <c r="F141" s="17"/>
      <c r="G141" s="17"/>
      <c r="H141" s="17"/>
      <c r="I141" s="17"/>
      <c r="J141" s="17"/>
      <c r="K141" s="17"/>
      <c r="L141" s="17"/>
      <c r="M141" s="17"/>
      <c r="N141" s="17"/>
      <c r="O141" s="17"/>
    </row>
    <row r="142" spans="2:15" x14ac:dyDescent="0.2">
      <c r="B142" s="17"/>
      <c r="C142" s="17"/>
      <c r="D142" s="17"/>
      <c r="E142" s="17"/>
      <c r="F142" s="17"/>
      <c r="G142" s="17"/>
      <c r="H142" s="17"/>
      <c r="I142" s="17"/>
      <c r="J142" s="17"/>
      <c r="K142" s="17"/>
      <c r="L142" s="17"/>
      <c r="M142" s="17"/>
      <c r="N142" s="17"/>
      <c r="O142" s="17"/>
    </row>
    <row r="143" spans="2:15" x14ac:dyDescent="0.2">
      <c r="B143" s="17"/>
      <c r="C143" s="17"/>
      <c r="D143" s="17"/>
      <c r="E143" s="17"/>
      <c r="F143" s="17"/>
      <c r="G143" s="17"/>
      <c r="H143" s="17"/>
      <c r="I143" s="17"/>
      <c r="J143" s="17"/>
      <c r="K143" s="17"/>
      <c r="L143" s="17"/>
      <c r="M143" s="17"/>
      <c r="N143" s="17"/>
      <c r="O143" s="17"/>
    </row>
    <row r="144" spans="2:15" x14ac:dyDescent="0.2">
      <c r="B144" s="17"/>
      <c r="C144" s="17"/>
      <c r="D144" s="17"/>
      <c r="E144" s="17"/>
      <c r="F144" s="17"/>
      <c r="G144" s="17"/>
      <c r="H144" s="17"/>
      <c r="I144" s="17"/>
      <c r="J144" s="17"/>
      <c r="K144" s="17"/>
      <c r="L144" s="17"/>
      <c r="M144" s="17"/>
      <c r="N144" s="17"/>
      <c r="O144" s="17"/>
    </row>
    <row r="145" spans="2:15" x14ac:dyDescent="0.2">
      <c r="B145" s="17"/>
      <c r="C145" s="17"/>
      <c r="D145" s="17"/>
      <c r="E145" s="17"/>
      <c r="F145" s="17"/>
      <c r="G145" s="17"/>
      <c r="H145" s="17"/>
      <c r="I145" s="17"/>
      <c r="J145" s="17"/>
      <c r="K145" s="17"/>
      <c r="L145" s="17"/>
      <c r="M145" s="17"/>
      <c r="N145" s="17"/>
      <c r="O145" s="17"/>
    </row>
    <row r="146" spans="2:15" x14ac:dyDescent="0.2">
      <c r="B146" s="17"/>
      <c r="C146" s="17"/>
      <c r="D146" s="17"/>
      <c r="E146" s="17"/>
      <c r="F146" s="17"/>
      <c r="G146" s="17"/>
      <c r="H146" s="17"/>
      <c r="I146" s="17"/>
      <c r="J146" s="17"/>
      <c r="K146" s="17"/>
      <c r="L146" s="17"/>
      <c r="M146" s="17"/>
      <c r="N146" s="17"/>
      <c r="O146" s="17"/>
    </row>
    <row r="147" spans="2:15" x14ac:dyDescent="0.2">
      <c r="B147" s="17"/>
      <c r="C147" s="17"/>
      <c r="D147" s="17"/>
      <c r="E147" s="17"/>
      <c r="F147" s="17"/>
      <c r="G147" s="17"/>
      <c r="H147" s="17"/>
      <c r="I147" s="17"/>
      <c r="J147" s="17"/>
      <c r="K147" s="17"/>
      <c r="L147" s="17"/>
      <c r="M147" s="17"/>
      <c r="N147" s="17"/>
      <c r="O147" s="17"/>
    </row>
    <row r="148" spans="2:15" x14ac:dyDescent="0.2">
      <c r="B148" s="17"/>
      <c r="C148" s="17"/>
      <c r="D148" s="17"/>
      <c r="E148" s="17"/>
      <c r="F148" s="17"/>
      <c r="G148" s="17"/>
      <c r="H148" s="17"/>
      <c r="I148" s="17"/>
      <c r="J148" s="17"/>
      <c r="K148" s="17"/>
      <c r="L148" s="17"/>
      <c r="M148" s="17"/>
      <c r="N148" s="17"/>
      <c r="O148" s="17"/>
    </row>
    <row r="149" spans="2:15" x14ac:dyDescent="0.2">
      <c r="B149" s="17"/>
      <c r="C149" s="17"/>
      <c r="D149" s="17"/>
      <c r="E149" s="17"/>
      <c r="F149" s="17"/>
      <c r="G149" s="17"/>
      <c r="H149" s="17"/>
      <c r="I149" s="17"/>
      <c r="J149" s="17"/>
      <c r="K149" s="17"/>
      <c r="L149" s="17"/>
      <c r="M149" s="17"/>
      <c r="N149" s="17"/>
      <c r="O149" s="17"/>
    </row>
    <row r="150" spans="2:15" x14ac:dyDescent="0.2">
      <c r="B150" s="17"/>
      <c r="C150" s="17"/>
      <c r="D150" s="17"/>
      <c r="E150" s="17"/>
      <c r="F150" s="17"/>
      <c r="G150" s="17"/>
      <c r="H150" s="17"/>
      <c r="I150" s="17"/>
      <c r="J150" s="17"/>
      <c r="K150" s="17"/>
      <c r="L150" s="17"/>
      <c r="M150" s="17"/>
      <c r="N150" s="17"/>
      <c r="O150" s="17"/>
    </row>
    <row r="151" spans="2:15" x14ac:dyDescent="0.2">
      <c r="B151" s="17"/>
      <c r="C151" s="17"/>
      <c r="D151" s="17"/>
      <c r="E151" s="17"/>
      <c r="F151" s="17"/>
      <c r="G151" s="17"/>
      <c r="H151" s="17"/>
      <c r="I151" s="17"/>
      <c r="J151" s="17"/>
      <c r="K151" s="17"/>
      <c r="L151" s="17"/>
      <c r="M151" s="17"/>
      <c r="N151" s="17"/>
      <c r="O151" s="17"/>
    </row>
    <row r="152" spans="2:15" x14ac:dyDescent="0.2">
      <c r="B152" s="17"/>
      <c r="C152" s="17"/>
      <c r="D152" s="17"/>
      <c r="E152" s="17"/>
      <c r="F152" s="17"/>
      <c r="G152" s="17"/>
      <c r="H152" s="17"/>
      <c r="I152" s="17"/>
      <c r="J152" s="17"/>
      <c r="K152" s="17"/>
      <c r="L152" s="17"/>
      <c r="M152" s="17"/>
      <c r="N152" s="17"/>
      <c r="O152" s="17"/>
    </row>
    <row r="153" spans="2:15" x14ac:dyDescent="0.2">
      <c r="B153" s="17"/>
      <c r="C153" s="17"/>
      <c r="D153" s="17"/>
      <c r="E153" s="17"/>
      <c r="F153" s="17"/>
      <c r="G153" s="17"/>
      <c r="H153" s="17"/>
      <c r="I153" s="17"/>
      <c r="J153" s="17"/>
      <c r="K153" s="17"/>
      <c r="L153" s="17"/>
      <c r="M153" s="17"/>
      <c r="N153" s="17"/>
      <c r="O153" s="17"/>
    </row>
    <row r="154" spans="2:15" x14ac:dyDescent="0.2">
      <c r="B154" s="17"/>
      <c r="C154" s="17"/>
      <c r="D154" s="17"/>
      <c r="E154" s="17"/>
      <c r="F154" s="17"/>
      <c r="G154" s="17"/>
      <c r="H154" s="17"/>
      <c r="I154" s="17"/>
      <c r="J154" s="17"/>
      <c r="K154" s="17"/>
      <c r="L154" s="17"/>
      <c r="M154" s="17"/>
      <c r="N154" s="17"/>
      <c r="O154" s="17"/>
    </row>
    <row r="155" spans="2:15" x14ac:dyDescent="0.2">
      <c r="B155" s="17"/>
      <c r="C155" s="17"/>
      <c r="D155" s="17"/>
      <c r="E155" s="17"/>
      <c r="F155" s="17"/>
      <c r="G155" s="17"/>
      <c r="H155" s="17"/>
      <c r="I155" s="17"/>
      <c r="J155" s="17"/>
      <c r="K155" s="17"/>
      <c r="L155" s="17"/>
      <c r="M155" s="17"/>
      <c r="N155" s="17"/>
      <c r="O155" s="17"/>
    </row>
    <row r="156" spans="2:15" x14ac:dyDescent="0.2">
      <c r="B156" s="17"/>
      <c r="C156" s="17"/>
      <c r="D156" s="17"/>
      <c r="E156" s="17"/>
      <c r="F156" s="17"/>
      <c r="G156" s="17"/>
      <c r="H156" s="17"/>
      <c r="I156" s="17"/>
      <c r="J156" s="17"/>
      <c r="K156" s="17"/>
      <c r="L156" s="17"/>
      <c r="M156" s="17"/>
      <c r="N156" s="17"/>
      <c r="O156" s="17"/>
    </row>
    <row r="157" spans="2:15" x14ac:dyDescent="0.2">
      <c r="B157" s="17"/>
      <c r="C157" s="17"/>
      <c r="D157" s="17"/>
      <c r="E157" s="17"/>
      <c r="F157" s="17"/>
      <c r="G157" s="17"/>
      <c r="H157" s="17"/>
      <c r="I157" s="17"/>
      <c r="J157" s="17"/>
      <c r="K157" s="17"/>
      <c r="L157" s="17"/>
      <c r="M157" s="17"/>
      <c r="N157" s="17"/>
      <c r="O157" s="17"/>
    </row>
    <row r="158" spans="2:15" x14ac:dyDescent="0.2">
      <c r="B158" s="17"/>
      <c r="C158" s="17"/>
      <c r="D158" s="17"/>
      <c r="E158" s="17"/>
      <c r="F158" s="17"/>
      <c r="G158" s="17"/>
      <c r="H158" s="17"/>
      <c r="I158" s="17"/>
      <c r="J158" s="17"/>
      <c r="K158" s="17"/>
      <c r="L158" s="17"/>
      <c r="M158" s="17"/>
      <c r="N158" s="17"/>
      <c r="O158" s="17"/>
    </row>
    <row r="159" spans="2:15" x14ac:dyDescent="0.2">
      <c r="B159" s="17"/>
      <c r="C159" s="17"/>
      <c r="D159" s="17"/>
      <c r="E159" s="17"/>
      <c r="F159" s="17"/>
      <c r="G159" s="17"/>
      <c r="H159" s="17"/>
      <c r="I159" s="17"/>
      <c r="J159" s="17"/>
      <c r="K159" s="17"/>
      <c r="L159" s="17"/>
      <c r="M159" s="17"/>
      <c r="N159" s="17"/>
      <c r="O159" s="17"/>
    </row>
    <row r="160" spans="2:15" x14ac:dyDescent="0.2">
      <c r="B160" s="17"/>
      <c r="C160" s="17"/>
      <c r="D160" s="17"/>
      <c r="E160" s="17"/>
      <c r="F160" s="17"/>
      <c r="G160" s="17"/>
      <c r="H160" s="17"/>
      <c r="I160" s="17"/>
      <c r="J160" s="17"/>
      <c r="K160" s="17"/>
      <c r="L160" s="17"/>
      <c r="M160" s="17"/>
      <c r="N160" s="17"/>
      <c r="O160" s="17"/>
    </row>
    <row r="161" spans="2:15" x14ac:dyDescent="0.2">
      <c r="B161" s="17"/>
      <c r="C161" s="17"/>
      <c r="D161" s="17"/>
      <c r="E161" s="17"/>
      <c r="F161" s="17"/>
      <c r="G161" s="17"/>
      <c r="H161" s="17"/>
      <c r="I161" s="17"/>
      <c r="J161" s="17"/>
      <c r="K161" s="17"/>
      <c r="L161" s="17"/>
      <c r="M161" s="17"/>
      <c r="N161" s="17"/>
      <c r="O161" s="17"/>
    </row>
    <row r="162" spans="2:15" x14ac:dyDescent="0.2">
      <c r="B162" s="17"/>
      <c r="C162" s="17"/>
      <c r="D162" s="17"/>
      <c r="E162" s="17"/>
      <c r="F162" s="17"/>
      <c r="G162" s="17"/>
      <c r="H162" s="17"/>
      <c r="I162" s="17"/>
      <c r="J162" s="17"/>
      <c r="K162" s="17"/>
      <c r="L162" s="17"/>
      <c r="M162" s="17"/>
      <c r="N162" s="17"/>
      <c r="O162" s="17"/>
    </row>
    <row r="163" spans="2:15" x14ac:dyDescent="0.2">
      <c r="B163" s="17"/>
      <c r="C163" s="17"/>
      <c r="D163" s="17"/>
      <c r="E163" s="17"/>
      <c r="F163" s="17"/>
      <c r="G163" s="17"/>
      <c r="H163" s="17"/>
      <c r="I163" s="17"/>
      <c r="J163" s="17"/>
      <c r="K163" s="17"/>
      <c r="L163" s="17"/>
      <c r="M163" s="17"/>
      <c r="N163" s="17"/>
      <c r="O163" s="17"/>
    </row>
    <row r="164" spans="2:15" x14ac:dyDescent="0.2">
      <c r="B164" s="17"/>
      <c r="C164" s="17"/>
      <c r="D164" s="17"/>
      <c r="E164" s="17"/>
      <c r="F164" s="17"/>
      <c r="G164" s="17"/>
      <c r="H164" s="17"/>
      <c r="I164" s="17"/>
      <c r="J164" s="17"/>
      <c r="K164" s="17"/>
      <c r="L164" s="17"/>
      <c r="M164" s="17"/>
      <c r="N164" s="17"/>
      <c r="O164" s="17"/>
    </row>
    <row r="165" spans="2:15" x14ac:dyDescent="0.2">
      <c r="B165" s="17"/>
      <c r="C165" s="17"/>
      <c r="D165" s="17"/>
      <c r="E165" s="17"/>
      <c r="F165" s="17"/>
      <c r="G165" s="17"/>
      <c r="H165" s="17"/>
      <c r="I165" s="17"/>
      <c r="J165" s="17"/>
      <c r="K165" s="17"/>
      <c r="L165" s="17"/>
      <c r="M165" s="17"/>
      <c r="N165" s="17"/>
      <c r="O165" s="17"/>
    </row>
    <row r="166" spans="2:15" x14ac:dyDescent="0.2">
      <c r="B166" s="17"/>
      <c r="C166" s="17"/>
      <c r="D166" s="17"/>
      <c r="E166" s="17"/>
      <c r="F166" s="17"/>
      <c r="G166" s="17"/>
      <c r="H166" s="17"/>
      <c r="I166" s="17"/>
      <c r="J166" s="17"/>
      <c r="K166" s="17"/>
      <c r="L166" s="17"/>
      <c r="M166" s="17"/>
      <c r="N166" s="17"/>
      <c r="O166" s="17"/>
    </row>
    <row r="167" spans="2:15" x14ac:dyDescent="0.2">
      <c r="B167" s="17"/>
      <c r="C167" s="17"/>
      <c r="D167" s="17"/>
      <c r="E167" s="17"/>
      <c r="F167" s="17"/>
      <c r="G167" s="17"/>
      <c r="H167" s="17"/>
      <c r="I167" s="17"/>
      <c r="J167" s="17"/>
      <c r="K167" s="17"/>
      <c r="L167" s="17"/>
      <c r="M167" s="17"/>
      <c r="N167" s="17"/>
      <c r="O167" s="17"/>
    </row>
    <row r="168" spans="2:15" x14ac:dyDescent="0.2">
      <c r="B168" s="17"/>
      <c r="C168" s="17"/>
      <c r="D168" s="17"/>
      <c r="E168" s="17"/>
      <c r="F168" s="17"/>
      <c r="G168" s="17"/>
      <c r="H168" s="17"/>
      <c r="I168" s="17"/>
      <c r="J168" s="17"/>
      <c r="K168" s="17"/>
      <c r="L168" s="17"/>
      <c r="M168" s="17"/>
      <c r="N168" s="17"/>
      <c r="O168" s="17"/>
    </row>
    <row r="169" spans="2:15" x14ac:dyDescent="0.2">
      <c r="B169" s="17"/>
      <c r="C169" s="17"/>
      <c r="D169" s="17"/>
      <c r="E169" s="17"/>
      <c r="F169" s="17"/>
      <c r="G169" s="17"/>
      <c r="H169" s="17"/>
      <c r="I169" s="17"/>
      <c r="J169" s="17"/>
      <c r="K169" s="17"/>
      <c r="L169" s="17"/>
      <c r="M169" s="17"/>
      <c r="N169" s="17"/>
      <c r="O169" s="17"/>
    </row>
    <row r="170" spans="2:15" x14ac:dyDescent="0.2">
      <c r="B170" s="17"/>
      <c r="C170" s="17"/>
      <c r="D170" s="17"/>
      <c r="E170" s="17"/>
      <c r="F170" s="17"/>
      <c r="G170" s="17"/>
      <c r="H170" s="17"/>
      <c r="I170" s="17"/>
      <c r="J170" s="17"/>
      <c r="K170" s="17"/>
      <c r="L170" s="17"/>
      <c r="M170" s="17"/>
      <c r="N170" s="17"/>
      <c r="O170" s="17"/>
    </row>
    <row r="171" spans="2:15" x14ac:dyDescent="0.2">
      <c r="B171" s="17"/>
      <c r="C171" s="17"/>
      <c r="D171" s="17"/>
      <c r="E171" s="17"/>
      <c r="F171" s="17"/>
      <c r="G171" s="17"/>
      <c r="H171" s="17"/>
      <c r="I171" s="17"/>
      <c r="J171" s="17"/>
      <c r="K171" s="17"/>
      <c r="L171" s="17"/>
      <c r="M171" s="17"/>
      <c r="N171" s="17"/>
      <c r="O171" s="17"/>
    </row>
    <row r="172" spans="2:15" x14ac:dyDescent="0.2">
      <c r="B172" s="17"/>
      <c r="C172" s="17"/>
      <c r="D172" s="17"/>
      <c r="E172" s="17"/>
      <c r="F172" s="17"/>
      <c r="G172" s="17"/>
      <c r="H172" s="17"/>
      <c r="I172" s="17"/>
      <c r="J172" s="17"/>
      <c r="K172" s="17"/>
      <c r="L172" s="17"/>
      <c r="M172" s="17"/>
      <c r="N172" s="17"/>
      <c r="O172" s="17"/>
    </row>
    <row r="173" spans="2:15" x14ac:dyDescent="0.2">
      <c r="B173" s="17"/>
      <c r="C173" s="17"/>
      <c r="D173" s="17"/>
      <c r="E173" s="17"/>
      <c r="F173" s="17"/>
      <c r="G173" s="17"/>
      <c r="H173" s="17"/>
      <c r="I173" s="17"/>
      <c r="J173" s="17"/>
      <c r="K173" s="17"/>
      <c r="L173" s="17"/>
      <c r="M173" s="17"/>
      <c r="N173" s="17"/>
      <c r="O173" s="17"/>
    </row>
    <row r="174" spans="2:15" x14ac:dyDescent="0.2">
      <c r="B174" s="17"/>
      <c r="C174" s="17"/>
      <c r="D174" s="17"/>
      <c r="E174" s="17"/>
      <c r="F174" s="17"/>
      <c r="G174" s="17"/>
      <c r="H174" s="17"/>
      <c r="I174" s="17"/>
      <c r="J174" s="17"/>
      <c r="K174" s="17"/>
      <c r="L174" s="17"/>
      <c r="M174" s="17"/>
      <c r="N174" s="17"/>
      <c r="O174" s="17"/>
    </row>
    <row r="175" spans="2:15" x14ac:dyDescent="0.2">
      <c r="B175" s="17"/>
      <c r="C175" s="17"/>
      <c r="D175" s="17"/>
      <c r="E175" s="17"/>
      <c r="F175" s="17"/>
      <c r="G175" s="17"/>
      <c r="H175" s="17"/>
      <c r="I175" s="17"/>
      <c r="J175" s="17"/>
      <c r="K175" s="17"/>
      <c r="L175" s="17"/>
      <c r="M175" s="17"/>
      <c r="N175" s="17"/>
      <c r="O175" s="17"/>
    </row>
    <row r="176" spans="2:15" x14ac:dyDescent="0.2">
      <c r="B176" s="17"/>
      <c r="C176" s="17"/>
      <c r="D176" s="17"/>
      <c r="E176" s="17"/>
      <c r="F176" s="17"/>
      <c r="G176" s="17"/>
      <c r="H176" s="17"/>
      <c r="I176" s="17"/>
      <c r="J176" s="17"/>
      <c r="K176" s="17"/>
      <c r="L176" s="17"/>
      <c r="M176" s="17"/>
      <c r="N176" s="17"/>
      <c r="O176" s="17"/>
    </row>
    <row r="177" spans="2:15" x14ac:dyDescent="0.2">
      <c r="B177" s="17"/>
      <c r="C177" s="17"/>
      <c r="D177" s="17"/>
      <c r="E177" s="17"/>
      <c r="F177" s="17"/>
      <c r="G177" s="17"/>
      <c r="H177" s="17"/>
      <c r="I177" s="17"/>
      <c r="J177" s="17"/>
      <c r="K177" s="17"/>
      <c r="L177" s="17"/>
      <c r="M177" s="17"/>
      <c r="N177" s="17"/>
      <c r="O177" s="17"/>
    </row>
    <row r="178" spans="2:15" x14ac:dyDescent="0.2">
      <c r="B178" s="17"/>
      <c r="C178" s="17"/>
      <c r="D178" s="17"/>
      <c r="E178" s="17"/>
      <c r="F178" s="17"/>
      <c r="G178" s="17"/>
      <c r="H178" s="17"/>
      <c r="I178" s="17"/>
      <c r="J178" s="17"/>
      <c r="K178" s="17"/>
      <c r="L178" s="17"/>
      <c r="M178" s="17"/>
      <c r="N178" s="17"/>
      <c r="O178" s="17"/>
    </row>
    <row r="179" spans="2:15" x14ac:dyDescent="0.2">
      <c r="B179" s="17"/>
      <c r="C179" s="17"/>
      <c r="D179" s="17"/>
      <c r="E179" s="17"/>
      <c r="F179" s="17"/>
      <c r="G179" s="17"/>
      <c r="H179" s="17"/>
      <c r="I179" s="17"/>
      <c r="J179" s="17"/>
      <c r="K179" s="17"/>
      <c r="L179" s="17"/>
      <c r="M179" s="17"/>
      <c r="N179" s="17"/>
      <c r="O179" s="17"/>
    </row>
    <row r="180" spans="2:15" x14ac:dyDescent="0.2">
      <c r="B180" s="17"/>
      <c r="C180" s="17"/>
      <c r="D180" s="17"/>
      <c r="E180" s="17"/>
      <c r="F180" s="17"/>
      <c r="G180" s="17"/>
      <c r="H180" s="17"/>
      <c r="I180" s="17"/>
      <c r="J180" s="17"/>
      <c r="K180" s="17"/>
      <c r="L180" s="17"/>
      <c r="M180" s="17"/>
      <c r="N180" s="17"/>
      <c r="O180" s="17"/>
    </row>
    <row r="181" spans="2:15" x14ac:dyDescent="0.2">
      <c r="B181" s="17"/>
      <c r="C181" s="17"/>
      <c r="D181" s="17"/>
      <c r="E181" s="17"/>
      <c r="F181" s="17"/>
      <c r="G181" s="17"/>
      <c r="H181" s="17"/>
      <c r="I181" s="17"/>
      <c r="J181" s="17"/>
      <c r="K181" s="17"/>
      <c r="L181" s="17"/>
      <c r="M181" s="17"/>
      <c r="N181" s="17"/>
      <c r="O181" s="17"/>
    </row>
    <row r="182" spans="2:15" x14ac:dyDescent="0.2">
      <c r="B182" s="17"/>
      <c r="C182" s="17"/>
      <c r="D182" s="17"/>
      <c r="E182" s="17"/>
      <c r="F182" s="17"/>
      <c r="G182" s="17"/>
      <c r="H182" s="17"/>
      <c r="I182" s="17"/>
      <c r="J182" s="17"/>
      <c r="K182" s="17"/>
      <c r="L182" s="17"/>
      <c r="M182" s="17"/>
      <c r="N182" s="17"/>
      <c r="O182" s="17"/>
    </row>
    <row r="183" spans="2:15" x14ac:dyDescent="0.2">
      <c r="B183" s="17"/>
      <c r="C183" s="17"/>
      <c r="D183" s="17"/>
      <c r="E183" s="17"/>
      <c r="F183" s="17"/>
      <c r="G183" s="17"/>
      <c r="H183" s="17"/>
      <c r="I183" s="17"/>
      <c r="J183" s="17"/>
      <c r="K183" s="17"/>
      <c r="L183" s="17"/>
      <c r="M183" s="17"/>
      <c r="N183" s="17"/>
      <c r="O183" s="17"/>
    </row>
    <row r="184" spans="2:15" x14ac:dyDescent="0.2">
      <c r="B184" s="17"/>
      <c r="C184" s="17"/>
      <c r="D184" s="17"/>
      <c r="E184" s="17"/>
      <c r="F184" s="17"/>
      <c r="G184" s="17"/>
      <c r="H184" s="17"/>
      <c r="I184" s="17"/>
      <c r="J184" s="17"/>
      <c r="K184" s="17"/>
      <c r="L184" s="17"/>
      <c r="M184" s="17"/>
      <c r="N184" s="17"/>
      <c r="O184" s="17"/>
    </row>
    <row r="185" spans="2:15" x14ac:dyDescent="0.2">
      <c r="B185" s="17"/>
      <c r="C185" s="17"/>
      <c r="D185" s="17"/>
      <c r="E185" s="17"/>
      <c r="F185" s="17"/>
      <c r="G185" s="17"/>
      <c r="H185" s="17"/>
      <c r="I185" s="17"/>
      <c r="J185" s="17"/>
      <c r="K185" s="17"/>
      <c r="L185" s="17"/>
      <c r="M185" s="17"/>
      <c r="N185" s="17"/>
      <c r="O185" s="17"/>
    </row>
    <row r="186" spans="2:15" x14ac:dyDescent="0.2">
      <c r="B186" s="17"/>
      <c r="C186" s="17"/>
      <c r="D186" s="17"/>
      <c r="E186" s="17"/>
      <c r="F186" s="17"/>
      <c r="G186" s="17"/>
      <c r="H186" s="17"/>
      <c r="I186" s="17"/>
      <c r="J186" s="17"/>
      <c r="K186" s="17"/>
      <c r="L186" s="17"/>
      <c r="M186" s="17"/>
      <c r="N186" s="17"/>
      <c r="O186" s="17"/>
    </row>
    <row r="187" spans="2:15" x14ac:dyDescent="0.2">
      <c r="B187" s="17"/>
      <c r="C187" s="17"/>
      <c r="D187" s="17"/>
      <c r="E187" s="17"/>
      <c r="F187" s="17"/>
      <c r="G187" s="17"/>
      <c r="H187" s="17"/>
      <c r="I187" s="17"/>
      <c r="J187" s="17"/>
      <c r="K187" s="17"/>
      <c r="L187" s="17"/>
      <c r="M187" s="17"/>
      <c r="N187" s="17"/>
      <c r="O187" s="17"/>
    </row>
    <row r="188" spans="2:15" x14ac:dyDescent="0.2">
      <c r="B188" s="17"/>
      <c r="C188" s="17"/>
      <c r="D188" s="17"/>
      <c r="E188" s="17"/>
      <c r="F188" s="17"/>
      <c r="G188" s="17"/>
      <c r="H188" s="17"/>
      <c r="I188" s="17"/>
      <c r="J188" s="17"/>
      <c r="K188" s="17"/>
      <c r="L188" s="17"/>
      <c r="M188" s="17"/>
      <c r="N188" s="17"/>
      <c r="O188" s="17"/>
    </row>
    <row r="189" spans="2:15" x14ac:dyDescent="0.2">
      <c r="B189" s="17"/>
      <c r="C189" s="17"/>
      <c r="D189" s="17"/>
      <c r="E189" s="17"/>
      <c r="F189" s="17"/>
      <c r="G189" s="17"/>
      <c r="H189" s="17"/>
      <c r="I189" s="17"/>
      <c r="J189" s="17"/>
      <c r="K189" s="17"/>
      <c r="L189" s="17"/>
      <c r="M189" s="17"/>
      <c r="N189" s="17"/>
      <c r="O189" s="17"/>
    </row>
    <row r="190" spans="2:15" x14ac:dyDescent="0.2">
      <c r="B190" s="17"/>
      <c r="C190" s="17"/>
      <c r="D190" s="17"/>
      <c r="E190" s="17"/>
      <c r="F190" s="17"/>
      <c r="G190" s="17"/>
      <c r="H190" s="17"/>
      <c r="I190" s="17"/>
      <c r="J190" s="17"/>
      <c r="K190" s="17"/>
      <c r="L190" s="17"/>
      <c r="M190" s="17"/>
      <c r="N190" s="17"/>
      <c r="O190" s="17"/>
    </row>
    <row r="191" spans="2:15" x14ac:dyDescent="0.2">
      <c r="B191" s="17"/>
      <c r="C191" s="17"/>
      <c r="D191" s="17"/>
      <c r="E191" s="17"/>
      <c r="F191" s="17"/>
      <c r="G191" s="17"/>
      <c r="H191" s="17"/>
      <c r="I191" s="17"/>
      <c r="J191" s="17"/>
      <c r="K191" s="17"/>
      <c r="L191" s="17"/>
      <c r="M191" s="17"/>
      <c r="N191" s="17"/>
      <c r="O191" s="17"/>
    </row>
    <row r="192" spans="2:15" x14ac:dyDescent="0.2">
      <c r="B192" s="17"/>
      <c r="C192" s="17"/>
      <c r="D192" s="17"/>
      <c r="E192" s="17"/>
      <c r="F192" s="17"/>
      <c r="G192" s="17"/>
      <c r="H192" s="17"/>
      <c r="I192" s="17"/>
      <c r="J192" s="17"/>
      <c r="K192" s="17"/>
      <c r="L192" s="17"/>
      <c r="M192" s="17"/>
      <c r="N192" s="17"/>
      <c r="O192" s="17"/>
    </row>
    <row r="193" spans="2:15" x14ac:dyDescent="0.2">
      <c r="B193" s="17"/>
      <c r="C193" s="17"/>
      <c r="D193" s="17"/>
      <c r="E193" s="17"/>
      <c r="F193" s="17"/>
      <c r="G193" s="17"/>
      <c r="H193" s="17"/>
      <c r="I193" s="17"/>
      <c r="J193" s="17"/>
      <c r="K193" s="17"/>
      <c r="L193" s="17"/>
      <c r="M193" s="17"/>
      <c r="N193" s="17"/>
      <c r="O193" s="17"/>
    </row>
    <row r="194" spans="2:15" x14ac:dyDescent="0.2">
      <c r="B194" s="17"/>
      <c r="C194" s="17"/>
      <c r="D194" s="17"/>
      <c r="E194" s="17"/>
      <c r="F194" s="17"/>
      <c r="G194" s="17"/>
      <c r="H194" s="17"/>
      <c r="I194" s="17"/>
      <c r="J194" s="17"/>
      <c r="K194" s="17"/>
      <c r="L194" s="17"/>
      <c r="M194" s="17"/>
      <c r="N194" s="17"/>
      <c r="O194" s="17"/>
    </row>
    <row r="195" spans="2:15" x14ac:dyDescent="0.2">
      <c r="B195" s="17"/>
      <c r="C195" s="17"/>
      <c r="D195" s="17"/>
      <c r="E195" s="17"/>
      <c r="F195" s="17"/>
      <c r="G195" s="17"/>
      <c r="H195" s="17"/>
      <c r="I195" s="17"/>
      <c r="J195" s="17"/>
      <c r="K195" s="17"/>
      <c r="L195" s="17"/>
      <c r="M195" s="17"/>
      <c r="N195" s="17"/>
      <c r="O195" s="17"/>
    </row>
    <row r="196" spans="2:15" x14ac:dyDescent="0.2">
      <c r="B196" s="17"/>
      <c r="C196" s="17"/>
      <c r="D196" s="17"/>
      <c r="E196" s="17"/>
      <c r="F196" s="17"/>
      <c r="G196" s="17"/>
      <c r="H196" s="17"/>
      <c r="I196" s="17"/>
      <c r="J196" s="17"/>
      <c r="K196" s="17"/>
      <c r="L196" s="17"/>
      <c r="M196" s="17"/>
      <c r="N196" s="17"/>
      <c r="O196" s="17"/>
    </row>
    <row r="197" spans="2:15" x14ac:dyDescent="0.2">
      <c r="B197" s="17"/>
      <c r="C197" s="17"/>
      <c r="D197" s="17"/>
      <c r="E197" s="17"/>
      <c r="F197" s="17"/>
      <c r="G197" s="17"/>
      <c r="H197" s="17"/>
      <c r="I197" s="17"/>
      <c r="J197" s="17"/>
      <c r="K197" s="17"/>
      <c r="L197" s="17"/>
      <c r="M197" s="17"/>
      <c r="N197" s="17"/>
      <c r="O197" s="17"/>
    </row>
    <row r="198" spans="2:15" x14ac:dyDescent="0.2">
      <c r="B198" s="17"/>
      <c r="C198" s="17"/>
      <c r="D198" s="17"/>
      <c r="E198" s="17"/>
      <c r="F198" s="17"/>
      <c r="G198" s="17"/>
      <c r="H198" s="17"/>
      <c r="I198" s="17"/>
      <c r="J198" s="17"/>
      <c r="K198" s="17"/>
      <c r="L198" s="17"/>
      <c r="M198" s="17"/>
      <c r="N198" s="17"/>
      <c r="O198" s="17"/>
    </row>
    <row r="199" spans="2:15" x14ac:dyDescent="0.2">
      <c r="B199" s="17"/>
      <c r="C199" s="17"/>
      <c r="D199" s="17"/>
      <c r="E199" s="17"/>
      <c r="F199" s="17"/>
      <c r="G199" s="17"/>
      <c r="H199" s="17"/>
      <c r="I199" s="17"/>
      <c r="J199" s="17"/>
      <c r="K199" s="17"/>
      <c r="L199" s="17"/>
      <c r="M199" s="17"/>
      <c r="N199" s="17"/>
      <c r="O199" s="17"/>
    </row>
    <row r="200" spans="2:15" x14ac:dyDescent="0.2">
      <c r="B200" s="17"/>
      <c r="C200" s="17"/>
      <c r="D200" s="17"/>
      <c r="E200" s="17"/>
      <c r="F200" s="17"/>
      <c r="G200" s="17"/>
      <c r="H200" s="17"/>
      <c r="I200" s="17"/>
      <c r="J200" s="17"/>
      <c r="K200" s="17"/>
      <c r="L200" s="17"/>
      <c r="M200" s="17"/>
      <c r="N200" s="17"/>
      <c r="O200" s="17"/>
    </row>
    <row r="201" spans="2:15" x14ac:dyDescent="0.2">
      <c r="B201" s="17"/>
      <c r="C201" s="17"/>
      <c r="D201" s="17"/>
      <c r="E201" s="17"/>
      <c r="F201" s="17"/>
      <c r="G201" s="17"/>
      <c r="H201" s="17"/>
      <c r="I201" s="17"/>
      <c r="J201" s="17"/>
      <c r="K201" s="17"/>
      <c r="L201" s="17"/>
      <c r="M201" s="17"/>
      <c r="N201" s="17"/>
      <c r="O201" s="17"/>
    </row>
    <row r="202" spans="2:15" x14ac:dyDescent="0.2">
      <c r="B202" s="17"/>
      <c r="C202" s="17"/>
      <c r="D202" s="17"/>
      <c r="E202" s="17"/>
      <c r="F202" s="17"/>
      <c r="G202" s="17"/>
      <c r="H202" s="17"/>
      <c r="I202" s="17"/>
      <c r="J202" s="17"/>
      <c r="K202" s="17"/>
      <c r="L202" s="17"/>
      <c r="M202" s="17"/>
      <c r="N202" s="17"/>
      <c r="O202" s="17"/>
    </row>
    <row r="203" spans="2:15" x14ac:dyDescent="0.2">
      <c r="B203" s="17"/>
      <c r="C203" s="17"/>
      <c r="D203" s="17"/>
      <c r="E203" s="17"/>
      <c r="F203" s="17"/>
      <c r="G203" s="17"/>
      <c r="H203" s="17"/>
      <c r="I203" s="17"/>
      <c r="J203" s="17"/>
      <c r="K203" s="17"/>
      <c r="L203" s="17"/>
      <c r="M203" s="17"/>
      <c r="N203" s="17"/>
      <c r="O203" s="17"/>
    </row>
    <row r="204" spans="2:15" x14ac:dyDescent="0.2">
      <c r="B204" s="17"/>
      <c r="C204" s="17"/>
      <c r="D204" s="17"/>
      <c r="E204" s="17"/>
      <c r="F204" s="17"/>
      <c r="G204" s="17"/>
      <c r="H204" s="17"/>
      <c r="I204" s="17"/>
      <c r="J204" s="17"/>
      <c r="K204" s="17"/>
      <c r="L204" s="17"/>
      <c r="M204" s="17"/>
      <c r="N204" s="17"/>
      <c r="O204" s="17"/>
    </row>
    <row r="205" spans="2:15" x14ac:dyDescent="0.2">
      <c r="B205" s="17"/>
      <c r="C205" s="17"/>
      <c r="D205" s="17"/>
      <c r="E205" s="17"/>
      <c r="F205" s="17"/>
      <c r="G205" s="17"/>
      <c r="H205" s="17"/>
      <c r="I205" s="17"/>
      <c r="J205" s="17"/>
      <c r="K205" s="17"/>
      <c r="L205" s="17"/>
      <c r="M205" s="17"/>
      <c r="N205" s="17"/>
      <c r="O205" s="17"/>
    </row>
    <row r="206" spans="2:15" x14ac:dyDescent="0.2">
      <c r="B206" s="17"/>
      <c r="C206" s="17"/>
      <c r="D206" s="17"/>
      <c r="E206" s="17"/>
      <c r="F206" s="17"/>
      <c r="G206" s="17"/>
      <c r="H206" s="17"/>
      <c r="I206" s="17"/>
      <c r="J206" s="17"/>
      <c r="K206" s="17"/>
      <c r="L206" s="17"/>
      <c r="M206" s="17"/>
      <c r="N206" s="17"/>
      <c r="O206" s="17"/>
    </row>
    <row r="207" spans="2:15" x14ac:dyDescent="0.2">
      <c r="B207" s="17"/>
      <c r="C207" s="17"/>
      <c r="D207" s="17"/>
      <c r="E207" s="17"/>
      <c r="F207" s="17"/>
      <c r="G207" s="17"/>
      <c r="H207" s="17"/>
      <c r="I207" s="17"/>
      <c r="J207" s="17"/>
      <c r="K207" s="17"/>
      <c r="L207" s="17"/>
      <c r="M207" s="17"/>
      <c r="N207" s="17"/>
      <c r="O207" s="17"/>
    </row>
    <row r="208" spans="2:15" x14ac:dyDescent="0.2">
      <c r="B208" s="17"/>
      <c r="C208" s="17"/>
      <c r="D208" s="17"/>
      <c r="E208" s="17"/>
      <c r="F208" s="17"/>
      <c r="G208" s="17"/>
      <c r="H208" s="17"/>
      <c r="I208" s="17"/>
      <c r="J208" s="17"/>
      <c r="K208" s="17"/>
      <c r="L208" s="17"/>
      <c r="M208" s="17"/>
      <c r="N208" s="17"/>
      <c r="O208" s="17"/>
    </row>
    <row r="209" spans="2:15" x14ac:dyDescent="0.2">
      <c r="B209" s="17"/>
      <c r="C209" s="17"/>
      <c r="D209" s="17"/>
      <c r="E209" s="17"/>
      <c r="F209" s="17"/>
      <c r="G209" s="17"/>
      <c r="H209" s="17"/>
      <c r="I209" s="17"/>
      <c r="J209" s="17"/>
      <c r="K209" s="17"/>
      <c r="L209" s="17"/>
      <c r="M209" s="17"/>
      <c r="N209" s="17"/>
      <c r="O209" s="17"/>
    </row>
    <row r="210" spans="2:15" x14ac:dyDescent="0.2">
      <c r="B210" s="17"/>
      <c r="C210" s="17"/>
      <c r="D210" s="17"/>
      <c r="E210" s="17"/>
      <c r="F210" s="17"/>
      <c r="G210" s="17"/>
      <c r="H210" s="17"/>
      <c r="I210" s="17"/>
      <c r="J210" s="17"/>
      <c r="K210" s="17"/>
      <c r="L210" s="17"/>
      <c r="M210" s="17"/>
      <c r="N210" s="17"/>
      <c r="O210" s="17"/>
    </row>
    <row r="211" spans="2:15" x14ac:dyDescent="0.2">
      <c r="B211" s="17"/>
      <c r="C211" s="17"/>
      <c r="D211" s="17"/>
      <c r="E211" s="17"/>
      <c r="F211" s="17"/>
      <c r="G211" s="17"/>
      <c r="H211" s="17"/>
      <c r="I211" s="17"/>
      <c r="J211" s="17"/>
      <c r="K211" s="17"/>
      <c r="L211" s="17"/>
      <c r="M211" s="17"/>
      <c r="N211" s="17"/>
      <c r="O211" s="17"/>
    </row>
    <row r="212" spans="2:15" x14ac:dyDescent="0.2">
      <c r="B212" s="17"/>
      <c r="C212" s="17"/>
      <c r="D212" s="17"/>
      <c r="E212" s="17"/>
      <c r="F212" s="17"/>
      <c r="G212" s="17"/>
      <c r="H212" s="17"/>
      <c r="I212" s="17"/>
      <c r="J212" s="17"/>
      <c r="K212" s="17"/>
      <c r="L212" s="17"/>
      <c r="M212" s="17"/>
      <c r="N212" s="17"/>
      <c r="O212" s="17"/>
    </row>
    <row r="213" spans="2:15" x14ac:dyDescent="0.2">
      <c r="B213" s="17"/>
      <c r="C213" s="17"/>
      <c r="D213" s="17"/>
      <c r="E213" s="17"/>
      <c r="F213" s="17"/>
      <c r="G213" s="17"/>
      <c r="H213" s="17"/>
      <c r="I213" s="17"/>
      <c r="J213" s="17"/>
      <c r="K213" s="17"/>
      <c r="L213" s="17"/>
      <c r="M213" s="17"/>
      <c r="N213" s="17"/>
      <c r="O213" s="17"/>
    </row>
    <row r="214" spans="2:15" x14ac:dyDescent="0.2">
      <c r="B214" s="17"/>
      <c r="C214" s="17"/>
      <c r="D214" s="17"/>
      <c r="E214" s="17"/>
      <c r="F214" s="17"/>
      <c r="G214" s="17"/>
      <c r="H214" s="17"/>
      <c r="I214" s="17"/>
      <c r="J214" s="17"/>
      <c r="K214" s="17"/>
      <c r="L214" s="17"/>
      <c r="M214" s="17"/>
      <c r="N214" s="17"/>
      <c r="O214" s="17"/>
    </row>
    <row r="215" spans="2:15" x14ac:dyDescent="0.2">
      <c r="B215" s="17"/>
      <c r="C215" s="17"/>
      <c r="D215" s="17"/>
      <c r="E215" s="17"/>
      <c r="F215" s="17"/>
      <c r="G215" s="17"/>
      <c r="H215" s="17"/>
      <c r="I215" s="17"/>
      <c r="J215" s="17"/>
      <c r="K215" s="17"/>
      <c r="L215" s="17"/>
      <c r="M215" s="17"/>
      <c r="N215" s="17"/>
      <c r="O215" s="17"/>
    </row>
    <row r="216" spans="2:15" x14ac:dyDescent="0.2">
      <c r="B216" s="17"/>
      <c r="C216" s="17"/>
      <c r="D216" s="17"/>
      <c r="E216" s="17"/>
      <c r="F216" s="17"/>
      <c r="G216" s="17"/>
      <c r="H216" s="17"/>
      <c r="I216" s="17"/>
      <c r="J216" s="17"/>
      <c r="K216" s="17"/>
      <c r="L216" s="17"/>
      <c r="M216" s="17"/>
      <c r="N216" s="17"/>
      <c r="O216" s="17"/>
    </row>
    <row r="217" spans="2:15" x14ac:dyDescent="0.2">
      <c r="B217" s="17"/>
      <c r="C217" s="17"/>
      <c r="D217" s="17"/>
      <c r="E217" s="17"/>
      <c r="F217" s="17"/>
      <c r="G217" s="17"/>
      <c r="H217" s="17"/>
      <c r="I217" s="17"/>
      <c r="J217" s="17"/>
      <c r="K217" s="17"/>
      <c r="L217" s="17"/>
      <c r="M217" s="17"/>
      <c r="N217" s="17"/>
      <c r="O217" s="17"/>
    </row>
    <row r="218" spans="2:15" x14ac:dyDescent="0.2">
      <c r="B218" s="17"/>
      <c r="C218" s="17"/>
      <c r="D218" s="17"/>
      <c r="E218" s="17"/>
      <c r="F218" s="17"/>
      <c r="G218" s="17"/>
      <c r="H218" s="17"/>
      <c r="I218" s="17"/>
      <c r="J218" s="17"/>
      <c r="K218" s="17"/>
      <c r="L218" s="17"/>
      <c r="M218" s="17"/>
      <c r="N218" s="17"/>
      <c r="O218" s="17"/>
    </row>
    <row r="219" spans="2:15" x14ac:dyDescent="0.2">
      <c r="B219" s="17"/>
      <c r="C219" s="17"/>
      <c r="D219" s="17"/>
      <c r="E219" s="17"/>
      <c r="F219" s="17"/>
      <c r="G219" s="17"/>
      <c r="H219" s="17"/>
      <c r="I219" s="17"/>
      <c r="J219" s="17"/>
      <c r="K219" s="17"/>
      <c r="L219" s="17"/>
      <c r="M219" s="17"/>
      <c r="N219" s="17"/>
      <c r="O219" s="17"/>
    </row>
    <row r="220" spans="2:15" x14ac:dyDescent="0.2">
      <c r="B220" s="17"/>
      <c r="C220" s="17"/>
      <c r="D220" s="17"/>
      <c r="E220" s="17"/>
      <c r="F220" s="17"/>
      <c r="G220" s="17"/>
      <c r="H220" s="17"/>
      <c r="I220" s="17"/>
      <c r="J220" s="17"/>
      <c r="K220" s="17"/>
      <c r="L220" s="17"/>
      <c r="M220" s="17"/>
      <c r="N220" s="17"/>
      <c r="O220" s="17"/>
    </row>
    <row r="221" spans="2:15" x14ac:dyDescent="0.2">
      <c r="B221" s="17"/>
      <c r="C221" s="17"/>
      <c r="D221" s="17"/>
      <c r="E221" s="17"/>
      <c r="F221" s="17"/>
      <c r="G221" s="17"/>
      <c r="H221" s="17"/>
      <c r="I221" s="17"/>
      <c r="J221" s="17"/>
      <c r="K221" s="17"/>
      <c r="L221" s="17"/>
      <c r="M221" s="17"/>
      <c r="N221" s="17"/>
      <c r="O221" s="17"/>
    </row>
    <row r="222" spans="2:15" x14ac:dyDescent="0.2">
      <c r="B222" s="17"/>
      <c r="C222" s="17"/>
      <c r="D222" s="17"/>
      <c r="E222" s="17"/>
      <c r="F222" s="17"/>
      <c r="G222" s="17"/>
      <c r="H222" s="17"/>
      <c r="I222" s="17"/>
      <c r="J222" s="17"/>
      <c r="K222" s="17"/>
      <c r="L222" s="17"/>
      <c r="M222" s="17"/>
      <c r="N222" s="17"/>
      <c r="O222" s="17"/>
    </row>
    <row r="223" spans="2:15" x14ac:dyDescent="0.2">
      <c r="B223" s="17"/>
      <c r="C223" s="17"/>
      <c r="D223" s="17"/>
      <c r="E223" s="17"/>
      <c r="F223" s="17"/>
      <c r="G223" s="17"/>
      <c r="H223" s="17"/>
      <c r="I223" s="17"/>
      <c r="J223" s="17"/>
      <c r="K223" s="17"/>
      <c r="L223" s="17"/>
      <c r="M223" s="17"/>
      <c r="N223" s="17"/>
      <c r="O223" s="17"/>
    </row>
    <row r="224" spans="2:15" x14ac:dyDescent="0.2">
      <c r="B224" s="17"/>
      <c r="C224" s="17"/>
      <c r="D224" s="17"/>
      <c r="E224" s="17"/>
      <c r="F224" s="17"/>
      <c r="G224" s="17"/>
      <c r="H224" s="17"/>
      <c r="I224" s="17"/>
      <c r="J224" s="17"/>
      <c r="K224" s="17"/>
      <c r="L224" s="17"/>
      <c r="M224" s="17"/>
      <c r="N224" s="17"/>
      <c r="O224" s="17"/>
    </row>
    <row r="225" spans="2:15" x14ac:dyDescent="0.2">
      <c r="B225" s="17"/>
      <c r="C225" s="17"/>
      <c r="D225" s="17"/>
      <c r="E225" s="17"/>
      <c r="F225" s="17"/>
      <c r="G225" s="17"/>
      <c r="H225" s="17"/>
      <c r="I225" s="17"/>
      <c r="J225" s="17"/>
      <c r="K225" s="17"/>
      <c r="L225" s="17"/>
      <c r="M225" s="17"/>
      <c r="N225" s="17"/>
      <c r="O225" s="17"/>
    </row>
    <row r="226" spans="2:15" x14ac:dyDescent="0.2">
      <c r="B226" s="17"/>
      <c r="C226" s="17"/>
      <c r="D226" s="17"/>
      <c r="E226" s="17"/>
      <c r="F226" s="17"/>
      <c r="G226" s="17"/>
      <c r="H226" s="17"/>
      <c r="I226" s="17"/>
      <c r="J226" s="17"/>
      <c r="K226" s="17"/>
      <c r="L226" s="17"/>
      <c r="M226" s="17"/>
      <c r="N226" s="17"/>
      <c r="O226" s="17"/>
    </row>
    <row r="227" spans="2:15" x14ac:dyDescent="0.2">
      <c r="B227" s="17"/>
      <c r="C227" s="17"/>
      <c r="D227" s="17"/>
      <c r="E227" s="17"/>
      <c r="F227" s="17"/>
      <c r="G227" s="17"/>
      <c r="H227" s="17"/>
      <c r="I227" s="17"/>
      <c r="J227" s="17"/>
      <c r="K227" s="17"/>
      <c r="L227" s="17"/>
      <c r="M227" s="17"/>
      <c r="N227" s="17"/>
      <c r="O227" s="17"/>
    </row>
    <row r="228" spans="2:15" x14ac:dyDescent="0.2">
      <c r="B228" s="17"/>
      <c r="C228" s="17"/>
      <c r="D228" s="17"/>
      <c r="E228" s="17"/>
      <c r="F228" s="17"/>
      <c r="G228" s="17"/>
      <c r="H228" s="17"/>
      <c r="I228" s="17"/>
      <c r="J228" s="17"/>
      <c r="K228" s="17"/>
      <c r="L228" s="17"/>
      <c r="M228" s="17"/>
      <c r="N228" s="17"/>
      <c r="O228" s="17"/>
    </row>
    <row r="229" spans="2:15" x14ac:dyDescent="0.2">
      <c r="B229" s="17"/>
      <c r="C229" s="17"/>
      <c r="D229" s="17"/>
      <c r="E229" s="17"/>
      <c r="F229" s="17"/>
      <c r="G229" s="17"/>
      <c r="H229" s="17"/>
      <c r="I229" s="17"/>
      <c r="J229" s="17"/>
      <c r="K229" s="17"/>
      <c r="L229" s="17"/>
      <c r="M229" s="17"/>
      <c r="N229" s="17"/>
      <c r="O229" s="17"/>
    </row>
    <row r="230" spans="2:15" x14ac:dyDescent="0.2">
      <c r="B230" s="17"/>
      <c r="C230" s="17"/>
      <c r="D230" s="17"/>
      <c r="E230" s="17"/>
      <c r="F230" s="17"/>
      <c r="G230" s="17"/>
      <c r="H230" s="17"/>
      <c r="I230" s="17"/>
      <c r="J230" s="17"/>
      <c r="K230" s="17"/>
      <c r="L230" s="17"/>
      <c r="M230" s="17"/>
      <c r="N230" s="17"/>
      <c r="O230" s="17"/>
    </row>
    <row r="231" spans="2:15" x14ac:dyDescent="0.2">
      <c r="B231" s="17"/>
      <c r="C231" s="17"/>
      <c r="D231" s="17"/>
      <c r="E231" s="17"/>
      <c r="F231" s="17"/>
      <c r="G231" s="17"/>
      <c r="H231" s="17"/>
      <c r="I231" s="17"/>
      <c r="J231" s="17"/>
      <c r="K231" s="17"/>
      <c r="L231" s="17"/>
      <c r="M231" s="17"/>
      <c r="N231" s="17"/>
      <c r="O231" s="17"/>
    </row>
    <row r="232" spans="2:15" x14ac:dyDescent="0.2">
      <c r="B232" s="17"/>
      <c r="C232" s="17"/>
      <c r="D232" s="17"/>
      <c r="E232" s="17"/>
      <c r="F232" s="17"/>
      <c r="G232" s="17"/>
      <c r="H232" s="17"/>
      <c r="I232" s="17"/>
      <c r="J232" s="17"/>
      <c r="K232" s="17"/>
      <c r="L232" s="17"/>
      <c r="M232" s="17"/>
      <c r="N232" s="17"/>
      <c r="O232" s="17"/>
    </row>
    <row r="233" spans="2:15" x14ac:dyDescent="0.2">
      <c r="B233" s="17"/>
      <c r="C233" s="17"/>
      <c r="D233" s="17"/>
      <c r="E233" s="17"/>
      <c r="F233" s="17"/>
      <c r="G233" s="17"/>
      <c r="H233" s="17"/>
      <c r="I233" s="17"/>
      <c r="J233" s="17"/>
      <c r="K233" s="17"/>
      <c r="L233" s="17"/>
      <c r="M233" s="17"/>
      <c r="N233" s="17"/>
      <c r="O233" s="17"/>
    </row>
    <row r="234" spans="2:15" x14ac:dyDescent="0.2">
      <c r="B234" s="17"/>
      <c r="C234" s="17"/>
      <c r="D234" s="17"/>
      <c r="E234" s="17"/>
      <c r="F234" s="17"/>
      <c r="G234" s="17"/>
      <c r="H234" s="17"/>
      <c r="I234" s="17"/>
      <c r="J234" s="17"/>
      <c r="K234" s="17"/>
      <c r="L234" s="17"/>
      <c r="M234" s="17"/>
      <c r="N234" s="17"/>
      <c r="O234" s="17"/>
    </row>
    <row r="235" spans="2:15" x14ac:dyDescent="0.2">
      <c r="B235" s="17"/>
      <c r="C235" s="17"/>
      <c r="D235" s="17"/>
      <c r="E235" s="17"/>
      <c r="F235" s="17"/>
      <c r="G235" s="17"/>
      <c r="H235" s="17"/>
      <c r="I235" s="17"/>
      <c r="J235" s="17"/>
      <c r="K235" s="17"/>
      <c r="L235" s="17"/>
      <c r="M235" s="17"/>
      <c r="N235" s="17"/>
      <c r="O235" s="17"/>
    </row>
    <row r="236" spans="2:15" x14ac:dyDescent="0.2">
      <c r="B236" s="17"/>
      <c r="C236" s="17"/>
      <c r="D236" s="17"/>
      <c r="E236" s="17"/>
      <c r="F236" s="17"/>
      <c r="G236" s="17"/>
      <c r="H236" s="17"/>
      <c r="I236" s="17"/>
      <c r="J236" s="17"/>
      <c r="K236" s="17"/>
      <c r="L236" s="17"/>
      <c r="M236" s="17"/>
      <c r="N236" s="17"/>
      <c r="O236" s="17"/>
    </row>
    <row r="237" spans="2:15" x14ac:dyDescent="0.2">
      <c r="B237" s="17"/>
      <c r="C237" s="17"/>
      <c r="D237" s="17"/>
      <c r="E237" s="17"/>
      <c r="F237" s="17"/>
      <c r="G237" s="17"/>
      <c r="H237" s="17"/>
      <c r="I237" s="17"/>
      <c r="J237" s="17"/>
      <c r="K237" s="17"/>
      <c r="L237" s="17"/>
      <c r="M237" s="17"/>
      <c r="N237" s="17"/>
      <c r="O237" s="17"/>
    </row>
    <row r="238" spans="2:15" x14ac:dyDescent="0.2">
      <c r="B238" s="17"/>
      <c r="C238" s="17"/>
      <c r="D238" s="17"/>
      <c r="E238" s="17"/>
      <c r="F238" s="17"/>
      <c r="G238" s="17"/>
      <c r="H238" s="17"/>
      <c r="I238" s="17"/>
      <c r="J238" s="17"/>
      <c r="K238" s="17"/>
      <c r="L238" s="17"/>
      <c r="M238" s="17"/>
      <c r="N238" s="17"/>
      <c r="O238" s="17"/>
    </row>
    <row r="239" spans="2:15" x14ac:dyDescent="0.2">
      <c r="B239" s="17"/>
      <c r="C239" s="17"/>
      <c r="D239" s="17"/>
      <c r="E239" s="17"/>
      <c r="F239" s="17"/>
      <c r="G239" s="17"/>
      <c r="H239" s="17"/>
      <c r="I239" s="17"/>
      <c r="J239" s="17"/>
      <c r="K239" s="17"/>
      <c r="L239" s="17"/>
      <c r="M239" s="17"/>
      <c r="N239" s="17"/>
      <c r="O239" s="17"/>
    </row>
    <row r="240" spans="2:15" x14ac:dyDescent="0.2">
      <c r="B240" s="17"/>
      <c r="C240" s="17"/>
      <c r="D240" s="17"/>
      <c r="E240" s="17"/>
      <c r="F240" s="17"/>
      <c r="G240" s="17"/>
      <c r="H240" s="17"/>
      <c r="I240" s="17"/>
      <c r="J240" s="17"/>
      <c r="K240" s="17"/>
      <c r="L240" s="17"/>
      <c r="M240" s="17"/>
      <c r="N240" s="17"/>
      <c r="O240" s="17"/>
    </row>
    <row r="241" spans="2:15" x14ac:dyDescent="0.2">
      <c r="B241" s="17"/>
      <c r="C241" s="17"/>
      <c r="D241" s="17"/>
      <c r="E241" s="17"/>
      <c r="F241" s="17"/>
      <c r="G241" s="17"/>
      <c r="H241" s="17"/>
      <c r="I241" s="17"/>
      <c r="J241" s="17"/>
      <c r="K241" s="17"/>
      <c r="L241" s="17"/>
      <c r="M241" s="17"/>
      <c r="N241" s="17"/>
      <c r="O241" s="17"/>
    </row>
    <row r="242" spans="2:15" x14ac:dyDescent="0.2">
      <c r="B242" s="17"/>
      <c r="C242" s="17"/>
      <c r="D242" s="17"/>
      <c r="E242" s="17"/>
      <c r="F242" s="17"/>
      <c r="G242" s="17"/>
      <c r="H242" s="17"/>
      <c r="I242" s="17"/>
      <c r="J242" s="17"/>
      <c r="K242" s="17"/>
      <c r="L242" s="17"/>
      <c r="M242" s="17"/>
      <c r="N242" s="17"/>
      <c r="O242" s="17"/>
    </row>
    <row r="243" spans="2:15" x14ac:dyDescent="0.2">
      <c r="B243" s="17"/>
      <c r="C243" s="17"/>
      <c r="D243" s="17"/>
      <c r="E243" s="17"/>
      <c r="F243" s="17"/>
      <c r="G243" s="17"/>
      <c r="H243" s="17"/>
      <c r="I243" s="17"/>
      <c r="J243" s="17"/>
      <c r="K243" s="17"/>
      <c r="L243" s="17"/>
      <c r="M243" s="17"/>
      <c r="N243" s="17"/>
      <c r="O243" s="17"/>
    </row>
    <row r="244" spans="2:15" x14ac:dyDescent="0.2">
      <c r="B244" s="17"/>
      <c r="C244" s="17"/>
      <c r="D244" s="17"/>
      <c r="E244" s="17"/>
      <c r="F244" s="17"/>
      <c r="G244" s="17"/>
      <c r="H244" s="17"/>
      <c r="I244" s="17"/>
      <c r="J244" s="17"/>
      <c r="K244" s="17"/>
      <c r="L244" s="17"/>
      <c r="M244" s="17"/>
      <c r="N244" s="17"/>
      <c r="O244" s="17"/>
    </row>
    <row r="245" spans="2:15" x14ac:dyDescent="0.2">
      <c r="B245" s="17"/>
      <c r="C245" s="17"/>
      <c r="D245" s="17"/>
      <c r="E245" s="17"/>
      <c r="F245" s="17"/>
      <c r="G245" s="17"/>
      <c r="H245" s="17"/>
      <c r="I245" s="17"/>
      <c r="J245" s="17"/>
      <c r="K245" s="17"/>
      <c r="L245" s="17"/>
      <c r="M245" s="17"/>
      <c r="N245" s="17"/>
      <c r="O245" s="17"/>
    </row>
    <row r="246" spans="2:15" x14ac:dyDescent="0.2">
      <c r="B246" s="17"/>
      <c r="C246" s="17"/>
      <c r="D246" s="17"/>
      <c r="E246" s="17"/>
      <c r="F246" s="17"/>
      <c r="G246" s="17"/>
      <c r="H246" s="17"/>
      <c r="I246" s="17"/>
      <c r="J246" s="17"/>
      <c r="K246" s="17"/>
      <c r="L246" s="17"/>
      <c r="M246" s="17"/>
      <c r="N246" s="17"/>
      <c r="O246" s="17"/>
    </row>
    <row r="247" spans="2:15" x14ac:dyDescent="0.2">
      <c r="B247" s="17"/>
      <c r="C247" s="17"/>
      <c r="D247" s="17"/>
      <c r="E247" s="17"/>
      <c r="F247" s="17"/>
      <c r="G247" s="17"/>
      <c r="H247" s="17"/>
      <c r="I247" s="17"/>
      <c r="J247" s="17"/>
      <c r="K247" s="17"/>
      <c r="L247" s="17"/>
      <c r="M247" s="17"/>
      <c r="N247" s="17"/>
      <c r="O247" s="17"/>
    </row>
    <row r="248" spans="2:15" x14ac:dyDescent="0.2">
      <c r="B248" s="17"/>
      <c r="C248" s="17"/>
      <c r="D248" s="17"/>
      <c r="E248" s="17"/>
      <c r="F248" s="17"/>
      <c r="G248" s="17"/>
      <c r="H248" s="17"/>
      <c r="I248" s="17"/>
      <c r="J248" s="17"/>
      <c r="K248" s="17"/>
      <c r="L248" s="17"/>
      <c r="M248" s="17"/>
      <c r="N248" s="17"/>
      <c r="O248" s="17"/>
    </row>
    <row r="249" spans="2:15" x14ac:dyDescent="0.2">
      <c r="B249" s="17"/>
      <c r="C249" s="17"/>
      <c r="D249" s="17"/>
      <c r="E249" s="17"/>
      <c r="F249" s="17"/>
      <c r="G249" s="17"/>
      <c r="H249" s="17"/>
      <c r="I249" s="17"/>
      <c r="J249" s="17"/>
      <c r="K249" s="17"/>
      <c r="L249" s="17"/>
      <c r="M249" s="17"/>
      <c r="N249" s="17"/>
      <c r="O249" s="17"/>
    </row>
    <row r="250" spans="2:15" x14ac:dyDescent="0.2">
      <c r="B250" s="17"/>
      <c r="C250" s="17"/>
      <c r="D250" s="17"/>
      <c r="E250" s="17"/>
      <c r="F250" s="17"/>
      <c r="G250" s="17"/>
      <c r="H250" s="17"/>
      <c r="I250" s="17"/>
      <c r="J250" s="17"/>
      <c r="K250" s="17"/>
      <c r="L250" s="17"/>
      <c r="M250" s="17"/>
      <c r="N250" s="17"/>
      <c r="O250" s="17"/>
    </row>
    <row r="251" spans="2:15" x14ac:dyDescent="0.2">
      <c r="B251" s="17"/>
      <c r="C251" s="17"/>
      <c r="D251" s="17"/>
      <c r="E251" s="17"/>
      <c r="F251" s="17"/>
      <c r="G251" s="17"/>
      <c r="H251" s="17"/>
      <c r="I251" s="17"/>
      <c r="J251" s="17"/>
      <c r="K251" s="17"/>
      <c r="L251" s="17"/>
      <c r="M251" s="17"/>
      <c r="N251" s="17"/>
      <c r="O251" s="17"/>
    </row>
    <row r="252" spans="2:15" x14ac:dyDescent="0.2">
      <c r="B252" s="17"/>
      <c r="C252" s="17"/>
      <c r="D252" s="17"/>
      <c r="E252" s="17"/>
      <c r="F252" s="17"/>
      <c r="G252" s="17"/>
      <c r="H252" s="17"/>
      <c r="I252" s="17"/>
      <c r="J252" s="17"/>
      <c r="K252" s="17"/>
      <c r="L252" s="17"/>
      <c r="M252" s="17"/>
      <c r="N252" s="17"/>
      <c r="O252" s="17"/>
    </row>
    <row r="253" spans="2:15" x14ac:dyDescent="0.2">
      <c r="B253" s="17"/>
      <c r="C253" s="17"/>
      <c r="D253" s="17"/>
      <c r="E253" s="17"/>
      <c r="F253" s="17"/>
      <c r="G253" s="17"/>
      <c r="H253" s="17"/>
      <c r="I253" s="17"/>
      <c r="J253" s="17"/>
      <c r="K253" s="17"/>
      <c r="L253" s="17"/>
      <c r="M253" s="17"/>
      <c r="N253" s="17"/>
      <c r="O253" s="17"/>
    </row>
    <row r="254" spans="2:15" x14ac:dyDescent="0.2">
      <c r="B254" s="17"/>
      <c r="C254" s="17"/>
      <c r="D254" s="17"/>
      <c r="E254" s="17"/>
      <c r="F254" s="17"/>
      <c r="G254" s="17"/>
      <c r="H254" s="17"/>
      <c r="I254" s="17"/>
      <c r="J254" s="17"/>
      <c r="K254" s="17"/>
      <c r="L254" s="17"/>
      <c r="M254" s="17"/>
      <c r="N254" s="17"/>
      <c r="O254" s="17"/>
    </row>
    <row r="255" spans="2:15" x14ac:dyDescent="0.2">
      <c r="B255" s="17"/>
      <c r="C255" s="17"/>
      <c r="D255" s="17"/>
      <c r="E255" s="17"/>
      <c r="F255" s="17"/>
      <c r="G255" s="17"/>
      <c r="H255" s="17"/>
      <c r="I255" s="17"/>
      <c r="J255" s="17"/>
      <c r="K255" s="17"/>
      <c r="L255" s="17"/>
      <c r="M255" s="17"/>
      <c r="N255" s="17"/>
      <c r="O255" s="17"/>
    </row>
    <row r="256" spans="2:15" x14ac:dyDescent="0.2">
      <c r="B256" s="17"/>
      <c r="C256" s="17"/>
      <c r="D256" s="17"/>
      <c r="E256" s="17"/>
      <c r="F256" s="17"/>
      <c r="G256" s="17"/>
      <c r="H256" s="17"/>
      <c r="I256" s="17"/>
      <c r="J256" s="17"/>
      <c r="K256" s="17"/>
      <c r="L256" s="17"/>
      <c r="M256" s="17"/>
      <c r="N256" s="17"/>
      <c r="O256" s="17"/>
    </row>
    <row r="257" spans="2:15" x14ac:dyDescent="0.2">
      <c r="B257" s="17"/>
      <c r="C257" s="17"/>
      <c r="D257" s="17"/>
      <c r="E257" s="17"/>
      <c r="F257" s="17"/>
      <c r="G257" s="17"/>
      <c r="H257" s="17"/>
      <c r="I257" s="17"/>
      <c r="J257" s="17"/>
      <c r="K257" s="17"/>
      <c r="L257" s="17"/>
      <c r="M257" s="17"/>
      <c r="N257" s="17"/>
      <c r="O257" s="17"/>
    </row>
    <row r="258" spans="2:15" x14ac:dyDescent="0.2">
      <c r="B258" s="17"/>
      <c r="C258" s="17"/>
      <c r="D258" s="17"/>
      <c r="E258" s="17"/>
      <c r="F258" s="17"/>
      <c r="G258" s="17"/>
      <c r="H258" s="17"/>
      <c r="I258" s="17"/>
      <c r="J258" s="17"/>
      <c r="K258" s="17"/>
      <c r="L258" s="17"/>
      <c r="M258" s="17"/>
      <c r="N258" s="17"/>
      <c r="O258" s="17"/>
    </row>
    <row r="259" spans="2:15" x14ac:dyDescent="0.2">
      <c r="B259" s="17"/>
      <c r="C259" s="17"/>
      <c r="D259" s="17"/>
      <c r="E259" s="17"/>
      <c r="F259" s="17"/>
      <c r="G259" s="17"/>
      <c r="H259" s="17"/>
      <c r="I259" s="17"/>
      <c r="J259" s="17"/>
      <c r="K259" s="17"/>
      <c r="L259" s="17"/>
      <c r="M259" s="17"/>
      <c r="N259" s="17"/>
      <c r="O259" s="17"/>
    </row>
    <row r="260" spans="2:15" x14ac:dyDescent="0.2">
      <c r="B260" s="17"/>
      <c r="C260" s="17"/>
      <c r="D260" s="17"/>
      <c r="E260" s="17"/>
      <c r="F260" s="17"/>
      <c r="G260" s="17"/>
      <c r="H260" s="17"/>
      <c r="I260" s="17"/>
      <c r="J260" s="17"/>
      <c r="K260" s="17"/>
      <c r="L260" s="17"/>
      <c r="M260" s="17"/>
      <c r="N260" s="17"/>
      <c r="O260" s="17"/>
    </row>
    <row r="261" spans="2:15" x14ac:dyDescent="0.2">
      <c r="B261" s="17"/>
      <c r="C261" s="17"/>
      <c r="D261" s="17"/>
      <c r="E261" s="17"/>
      <c r="F261" s="17"/>
      <c r="G261" s="17"/>
      <c r="H261" s="17"/>
      <c r="I261" s="17"/>
      <c r="J261" s="17"/>
      <c r="K261" s="17"/>
      <c r="L261" s="17"/>
      <c r="M261" s="17"/>
      <c r="N261" s="17"/>
      <c r="O261" s="17"/>
    </row>
    <row r="262" spans="2:15" x14ac:dyDescent="0.2">
      <c r="B262" s="17"/>
      <c r="C262" s="17"/>
      <c r="D262" s="17"/>
      <c r="E262" s="17"/>
      <c r="F262" s="17"/>
      <c r="G262" s="17"/>
      <c r="H262" s="17"/>
      <c r="I262" s="17"/>
      <c r="J262" s="17"/>
      <c r="K262" s="17"/>
      <c r="L262" s="17"/>
      <c r="M262" s="17"/>
      <c r="N262" s="17"/>
      <c r="O262" s="17"/>
    </row>
    <row r="263" spans="2:15" x14ac:dyDescent="0.2">
      <c r="B263" s="17"/>
      <c r="C263" s="17"/>
      <c r="D263" s="17"/>
      <c r="E263" s="17"/>
      <c r="F263" s="17"/>
      <c r="G263" s="17"/>
      <c r="H263" s="17"/>
      <c r="I263" s="17"/>
      <c r="J263" s="17"/>
      <c r="K263" s="17"/>
      <c r="L263" s="17"/>
      <c r="M263" s="17"/>
      <c r="N263" s="17"/>
      <c r="O263" s="17"/>
    </row>
    <row r="264" spans="2:15" x14ac:dyDescent="0.2">
      <c r="B264" s="17"/>
      <c r="C264" s="17"/>
      <c r="D264" s="17"/>
      <c r="E264" s="17"/>
      <c r="F264" s="17"/>
      <c r="G264" s="17"/>
      <c r="H264" s="17"/>
      <c r="I264" s="17"/>
      <c r="J264" s="17"/>
      <c r="K264" s="17"/>
      <c r="L264" s="17"/>
      <c r="M264" s="17"/>
      <c r="N264" s="17"/>
      <c r="O264" s="17"/>
    </row>
    <row r="265" spans="2:15" x14ac:dyDescent="0.2">
      <c r="B265" s="17"/>
      <c r="C265" s="17"/>
      <c r="D265" s="17"/>
      <c r="E265" s="17"/>
      <c r="F265" s="17"/>
      <c r="G265" s="17"/>
      <c r="H265" s="17"/>
      <c r="I265" s="17"/>
      <c r="J265" s="17"/>
      <c r="K265" s="17"/>
      <c r="L265" s="17"/>
      <c r="M265" s="17"/>
      <c r="N265" s="17"/>
      <c r="O265" s="17"/>
    </row>
    <row r="266" spans="2:15" x14ac:dyDescent="0.2">
      <c r="B266" s="17"/>
      <c r="C266" s="17"/>
      <c r="D266" s="17"/>
      <c r="E266" s="17"/>
      <c r="F266" s="17"/>
      <c r="G266" s="17"/>
      <c r="H266" s="17"/>
      <c r="I266" s="17"/>
      <c r="J266" s="17"/>
      <c r="K266" s="17"/>
      <c r="L266" s="17"/>
      <c r="M266" s="17"/>
      <c r="N266" s="17"/>
      <c r="O266" s="17"/>
    </row>
    <row r="267" spans="2:15" x14ac:dyDescent="0.2">
      <c r="B267" s="17"/>
      <c r="C267" s="17"/>
      <c r="D267" s="17"/>
      <c r="E267" s="17"/>
      <c r="F267" s="17"/>
      <c r="G267" s="17"/>
      <c r="H267" s="17"/>
      <c r="I267" s="17"/>
      <c r="J267" s="17"/>
      <c r="K267" s="17"/>
      <c r="L267" s="17"/>
      <c r="M267" s="17"/>
      <c r="N267" s="17"/>
      <c r="O267" s="17"/>
    </row>
    <row r="268" spans="2:15" x14ac:dyDescent="0.2">
      <c r="B268" s="17"/>
      <c r="C268" s="17"/>
      <c r="D268" s="17"/>
      <c r="E268" s="17"/>
      <c r="F268" s="17"/>
      <c r="G268" s="17"/>
      <c r="H268" s="17"/>
      <c r="I268" s="17"/>
      <c r="J268" s="17"/>
      <c r="K268" s="17"/>
      <c r="L268" s="17"/>
      <c r="M268" s="17"/>
      <c r="N268" s="17"/>
      <c r="O268" s="17"/>
    </row>
    <row r="269" spans="2:15" x14ac:dyDescent="0.2">
      <c r="B269" s="17"/>
      <c r="C269" s="17"/>
      <c r="D269" s="17"/>
      <c r="E269" s="17"/>
      <c r="F269" s="17"/>
      <c r="G269" s="17"/>
      <c r="H269" s="17"/>
      <c r="I269" s="17"/>
      <c r="J269" s="17"/>
      <c r="K269" s="17"/>
      <c r="L269" s="17"/>
      <c r="M269" s="17"/>
      <c r="N269" s="17"/>
      <c r="O269" s="17"/>
    </row>
    <row r="270" spans="2:15" x14ac:dyDescent="0.2">
      <c r="B270" s="17"/>
      <c r="C270" s="17"/>
      <c r="D270" s="17"/>
      <c r="E270" s="17"/>
      <c r="F270" s="17"/>
      <c r="G270" s="17"/>
      <c r="H270" s="17"/>
      <c r="I270" s="17"/>
      <c r="J270" s="17"/>
      <c r="K270" s="17"/>
      <c r="L270" s="17"/>
      <c r="M270" s="17"/>
      <c r="N270" s="17"/>
      <c r="O270" s="17"/>
    </row>
    <row r="271" spans="2:15" x14ac:dyDescent="0.2">
      <c r="B271" s="17"/>
      <c r="C271" s="17"/>
      <c r="D271" s="17"/>
      <c r="E271" s="17"/>
      <c r="F271" s="17"/>
      <c r="G271" s="17"/>
      <c r="H271" s="17"/>
      <c r="I271" s="17"/>
      <c r="J271" s="17"/>
      <c r="K271" s="17"/>
      <c r="L271" s="17"/>
      <c r="M271" s="17"/>
      <c r="N271" s="17"/>
      <c r="O271" s="17"/>
    </row>
    <row r="272" spans="2:15" x14ac:dyDescent="0.2">
      <c r="B272" s="17"/>
      <c r="C272" s="17"/>
      <c r="D272" s="17"/>
      <c r="E272" s="17"/>
      <c r="F272" s="17"/>
      <c r="G272" s="17"/>
      <c r="H272" s="17"/>
      <c r="I272" s="17"/>
      <c r="J272" s="17"/>
      <c r="K272" s="17"/>
      <c r="L272" s="17"/>
      <c r="M272" s="17"/>
      <c r="N272" s="17"/>
      <c r="O272" s="17"/>
    </row>
    <row r="273" spans="2:15" x14ac:dyDescent="0.2">
      <c r="B273" s="17"/>
      <c r="C273" s="17"/>
      <c r="D273" s="17"/>
      <c r="E273" s="17"/>
      <c r="F273" s="17"/>
      <c r="G273" s="17"/>
      <c r="H273" s="17"/>
      <c r="I273" s="17"/>
      <c r="J273" s="17"/>
      <c r="K273" s="17"/>
      <c r="L273" s="17"/>
      <c r="M273" s="17"/>
      <c r="N273" s="17"/>
      <c r="O273" s="17"/>
    </row>
    <row r="274" spans="2:15" x14ac:dyDescent="0.2">
      <c r="B274" s="17"/>
      <c r="C274" s="17"/>
      <c r="D274" s="17"/>
      <c r="E274" s="17"/>
      <c r="F274" s="17"/>
      <c r="G274" s="17"/>
      <c r="H274" s="17"/>
      <c r="I274" s="17"/>
      <c r="J274" s="17"/>
      <c r="K274" s="17"/>
      <c r="L274" s="17"/>
      <c r="M274" s="17"/>
      <c r="N274" s="17"/>
      <c r="O274" s="17"/>
    </row>
    <row r="275" spans="2:15" x14ac:dyDescent="0.2">
      <c r="B275" s="17"/>
      <c r="C275" s="17"/>
      <c r="D275" s="17"/>
      <c r="E275" s="17"/>
      <c r="F275" s="17"/>
      <c r="G275" s="17"/>
      <c r="H275" s="17"/>
      <c r="I275" s="17"/>
      <c r="J275" s="17"/>
      <c r="K275" s="17"/>
      <c r="L275" s="17"/>
      <c r="M275" s="17"/>
      <c r="N275" s="17"/>
      <c r="O275" s="17"/>
    </row>
    <row r="276" spans="2:15" x14ac:dyDescent="0.2">
      <c r="B276" s="17"/>
      <c r="C276" s="17"/>
      <c r="D276" s="17"/>
      <c r="E276" s="17"/>
      <c r="F276" s="17"/>
      <c r="G276" s="17"/>
      <c r="H276" s="17"/>
      <c r="I276" s="17"/>
      <c r="J276" s="17"/>
      <c r="K276" s="17"/>
      <c r="L276" s="17"/>
      <c r="M276" s="17"/>
      <c r="N276" s="17"/>
      <c r="O276" s="17"/>
    </row>
    <row r="277" spans="2:15" x14ac:dyDescent="0.2">
      <c r="B277" s="17"/>
      <c r="C277" s="17"/>
      <c r="D277" s="17"/>
      <c r="E277" s="17"/>
      <c r="F277" s="17"/>
      <c r="G277" s="17"/>
      <c r="H277" s="17"/>
      <c r="I277" s="17"/>
      <c r="J277" s="17"/>
      <c r="K277" s="17"/>
      <c r="L277" s="17"/>
      <c r="M277" s="17"/>
      <c r="N277" s="17"/>
      <c r="O277" s="17"/>
    </row>
    <row r="278" spans="2:15" x14ac:dyDescent="0.2">
      <c r="B278" s="17"/>
      <c r="C278" s="17"/>
      <c r="D278" s="17"/>
      <c r="E278" s="17"/>
      <c r="F278" s="17"/>
      <c r="G278" s="17"/>
      <c r="H278" s="17"/>
      <c r="I278" s="17"/>
      <c r="J278" s="17"/>
      <c r="K278" s="17"/>
      <c r="L278" s="17"/>
      <c r="M278" s="17"/>
      <c r="N278" s="17"/>
      <c r="O278" s="17"/>
    </row>
    <row r="279" spans="2:15" x14ac:dyDescent="0.2">
      <c r="B279" s="17"/>
      <c r="C279" s="17"/>
      <c r="D279" s="17"/>
      <c r="E279" s="17"/>
      <c r="F279" s="17"/>
      <c r="G279" s="17"/>
      <c r="H279" s="17"/>
      <c r="I279" s="17"/>
      <c r="J279" s="17"/>
      <c r="K279" s="17"/>
      <c r="L279" s="17"/>
      <c r="M279" s="17"/>
      <c r="N279" s="17"/>
      <c r="O279" s="17"/>
    </row>
    <row r="280" spans="2:15" x14ac:dyDescent="0.2">
      <c r="B280" s="17"/>
      <c r="C280" s="17"/>
      <c r="D280" s="17"/>
      <c r="E280" s="17"/>
      <c r="F280" s="17"/>
      <c r="G280" s="17"/>
      <c r="H280" s="17"/>
      <c r="I280" s="17"/>
      <c r="J280" s="17"/>
      <c r="K280" s="17"/>
      <c r="L280" s="17"/>
      <c r="M280" s="17"/>
      <c r="N280" s="17"/>
      <c r="O280" s="17"/>
    </row>
    <row r="281" spans="2:15" x14ac:dyDescent="0.2">
      <c r="B281" s="17"/>
      <c r="C281" s="17"/>
      <c r="D281" s="17"/>
      <c r="E281" s="17"/>
      <c r="F281" s="17"/>
      <c r="G281" s="17"/>
      <c r="H281" s="17"/>
      <c r="I281" s="17"/>
      <c r="J281" s="17"/>
      <c r="K281" s="17"/>
      <c r="L281" s="17"/>
      <c r="M281" s="17"/>
      <c r="N281" s="17"/>
      <c r="O281" s="17"/>
    </row>
    <row r="282" spans="2:15" x14ac:dyDescent="0.2">
      <c r="B282" s="17"/>
      <c r="C282" s="17"/>
      <c r="D282" s="17"/>
      <c r="E282" s="17"/>
      <c r="F282" s="17"/>
      <c r="G282" s="17"/>
      <c r="H282" s="17"/>
      <c r="I282" s="17"/>
      <c r="J282" s="17"/>
      <c r="K282" s="17"/>
      <c r="L282" s="17"/>
      <c r="M282" s="17"/>
      <c r="N282" s="17"/>
      <c r="O282" s="17"/>
    </row>
    <row r="283" spans="2:15" x14ac:dyDescent="0.2">
      <c r="B283" s="17"/>
      <c r="C283" s="17"/>
      <c r="D283" s="17"/>
      <c r="E283" s="17"/>
      <c r="F283" s="17"/>
      <c r="G283" s="17"/>
      <c r="H283" s="17"/>
      <c r="I283" s="17"/>
      <c r="J283" s="17"/>
      <c r="K283" s="17"/>
      <c r="L283" s="17"/>
      <c r="M283" s="17"/>
      <c r="N283" s="17"/>
      <c r="O283" s="17"/>
    </row>
    <row r="284" spans="2:15" x14ac:dyDescent="0.2">
      <c r="B284" s="17"/>
      <c r="C284" s="17"/>
      <c r="D284" s="17"/>
      <c r="E284" s="17"/>
      <c r="F284" s="17"/>
      <c r="G284" s="17"/>
      <c r="H284" s="17"/>
      <c r="I284" s="17"/>
      <c r="J284" s="17"/>
      <c r="K284" s="17"/>
      <c r="L284" s="17"/>
      <c r="M284" s="17"/>
      <c r="N284" s="17"/>
      <c r="O284" s="17"/>
    </row>
    <row r="285" spans="2:15" x14ac:dyDescent="0.2">
      <c r="B285" s="17"/>
      <c r="C285" s="17"/>
      <c r="D285" s="17"/>
      <c r="E285" s="17"/>
      <c r="F285" s="17"/>
      <c r="G285" s="17"/>
      <c r="H285" s="17"/>
      <c r="I285" s="17"/>
      <c r="J285" s="17"/>
      <c r="K285" s="17"/>
      <c r="L285" s="17"/>
      <c r="M285" s="17"/>
      <c r="N285" s="17"/>
      <c r="O285" s="17"/>
    </row>
    <row r="286" spans="2:15" x14ac:dyDescent="0.2">
      <c r="B286" s="17"/>
      <c r="C286" s="17"/>
      <c r="D286" s="17"/>
      <c r="E286" s="17"/>
      <c r="F286" s="17"/>
      <c r="G286" s="17"/>
      <c r="H286" s="17"/>
      <c r="I286" s="17"/>
      <c r="J286" s="17"/>
      <c r="K286" s="17"/>
      <c r="L286" s="17"/>
      <c r="M286" s="17"/>
      <c r="N286" s="17"/>
      <c r="O286" s="17"/>
    </row>
    <row r="287" spans="2:15" x14ac:dyDescent="0.2">
      <c r="B287" s="17"/>
      <c r="C287" s="17"/>
      <c r="D287" s="17"/>
      <c r="E287" s="17"/>
      <c r="F287" s="17"/>
      <c r="G287" s="17"/>
      <c r="H287" s="17"/>
      <c r="I287" s="17"/>
      <c r="J287" s="17"/>
      <c r="K287" s="17"/>
      <c r="L287" s="17"/>
      <c r="M287" s="17"/>
      <c r="N287" s="17"/>
      <c r="O287" s="17"/>
    </row>
    <row r="288" spans="2:15" x14ac:dyDescent="0.2">
      <c r="B288" s="17"/>
      <c r="C288" s="17"/>
      <c r="D288" s="17"/>
      <c r="E288" s="17"/>
      <c r="F288" s="17"/>
      <c r="G288" s="17"/>
      <c r="H288" s="17"/>
      <c r="I288" s="17"/>
      <c r="J288" s="17"/>
      <c r="K288" s="17"/>
      <c r="L288" s="17"/>
      <c r="M288" s="17"/>
      <c r="N288" s="17"/>
      <c r="O288" s="17"/>
    </row>
    <row r="289" spans="2:15" x14ac:dyDescent="0.2">
      <c r="B289" s="17"/>
      <c r="C289" s="17"/>
      <c r="D289" s="17"/>
      <c r="E289" s="17"/>
      <c r="F289" s="17"/>
      <c r="G289" s="17"/>
      <c r="H289" s="17"/>
      <c r="I289" s="17"/>
      <c r="J289" s="17"/>
      <c r="K289" s="17"/>
      <c r="L289" s="17"/>
      <c r="M289" s="17"/>
      <c r="N289" s="17"/>
      <c r="O289" s="17"/>
    </row>
    <row r="290" spans="2:15" x14ac:dyDescent="0.2">
      <c r="B290" s="17"/>
      <c r="C290" s="17"/>
      <c r="D290" s="17"/>
      <c r="E290" s="17"/>
      <c r="F290" s="17"/>
      <c r="G290" s="17"/>
      <c r="H290" s="17"/>
      <c r="I290" s="17"/>
      <c r="J290" s="17"/>
      <c r="K290" s="17"/>
      <c r="L290" s="17"/>
      <c r="M290" s="17"/>
      <c r="N290" s="17"/>
      <c r="O290" s="17"/>
    </row>
    <row r="291" spans="2:15" x14ac:dyDescent="0.2">
      <c r="B291" s="17"/>
      <c r="C291" s="17"/>
      <c r="D291" s="17"/>
      <c r="E291" s="17"/>
      <c r="F291" s="17"/>
      <c r="G291" s="17"/>
      <c r="H291" s="17"/>
      <c r="I291" s="17"/>
      <c r="J291" s="17"/>
      <c r="K291" s="17"/>
      <c r="L291" s="17"/>
      <c r="M291" s="17"/>
      <c r="N291" s="17"/>
      <c r="O291" s="17"/>
    </row>
    <row r="292" spans="2:15" x14ac:dyDescent="0.2">
      <c r="B292" s="17"/>
      <c r="C292" s="17"/>
      <c r="D292" s="17"/>
      <c r="E292" s="17"/>
      <c r="F292" s="17"/>
      <c r="G292" s="17"/>
      <c r="H292" s="17"/>
      <c r="I292" s="17"/>
      <c r="J292" s="17"/>
      <c r="K292" s="17"/>
      <c r="L292" s="17"/>
      <c r="M292" s="17"/>
      <c r="N292" s="17"/>
      <c r="O292" s="17"/>
    </row>
    <row r="293" spans="2:15" x14ac:dyDescent="0.2">
      <c r="B293" s="17"/>
      <c r="C293" s="17"/>
      <c r="D293" s="17"/>
      <c r="E293" s="17"/>
      <c r="F293" s="17"/>
      <c r="G293" s="17"/>
      <c r="H293" s="17"/>
      <c r="I293" s="17"/>
      <c r="J293" s="17"/>
      <c r="K293" s="17"/>
      <c r="L293" s="17"/>
      <c r="M293" s="17"/>
      <c r="N293" s="17"/>
      <c r="O293" s="17"/>
    </row>
    <row r="294" spans="2:15" x14ac:dyDescent="0.2">
      <c r="B294" s="17"/>
      <c r="C294" s="17"/>
      <c r="D294" s="17"/>
      <c r="E294" s="17"/>
      <c r="F294" s="17"/>
      <c r="G294" s="17"/>
      <c r="H294" s="17"/>
      <c r="I294" s="17"/>
      <c r="J294" s="17"/>
      <c r="K294" s="17"/>
      <c r="L294" s="17"/>
      <c r="M294" s="17"/>
      <c r="N294" s="17"/>
      <c r="O294" s="17"/>
    </row>
    <row r="295" spans="2:15" x14ac:dyDescent="0.2">
      <c r="B295" s="17"/>
      <c r="C295" s="17"/>
      <c r="D295" s="17"/>
      <c r="E295" s="17"/>
      <c r="F295" s="17"/>
      <c r="G295" s="17"/>
      <c r="H295" s="17"/>
      <c r="I295" s="17"/>
      <c r="J295" s="17"/>
      <c r="K295" s="17"/>
      <c r="L295" s="17"/>
      <c r="M295" s="17"/>
      <c r="N295" s="17"/>
      <c r="O295" s="17"/>
    </row>
    <row r="296" spans="2:15" x14ac:dyDescent="0.2">
      <c r="B296" s="17"/>
      <c r="C296" s="17"/>
      <c r="D296" s="17"/>
      <c r="E296" s="17"/>
      <c r="F296" s="17"/>
      <c r="G296" s="17"/>
      <c r="H296" s="17"/>
      <c r="I296" s="17"/>
      <c r="J296" s="17"/>
      <c r="K296" s="17"/>
      <c r="L296" s="17"/>
      <c r="M296" s="17"/>
      <c r="N296" s="17"/>
      <c r="O296" s="17"/>
    </row>
    <row r="297" spans="2:15" x14ac:dyDescent="0.2">
      <c r="B297" s="17"/>
      <c r="C297" s="17"/>
      <c r="D297" s="17"/>
      <c r="E297" s="17"/>
      <c r="F297" s="17"/>
      <c r="G297" s="17"/>
      <c r="H297" s="17"/>
      <c r="I297" s="17"/>
      <c r="J297" s="17"/>
      <c r="K297" s="17"/>
      <c r="L297" s="17"/>
      <c r="M297" s="17"/>
      <c r="N297" s="17"/>
      <c r="O297" s="17"/>
    </row>
    <row r="298" spans="2:15" x14ac:dyDescent="0.2">
      <c r="B298" s="17"/>
      <c r="C298" s="17"/>
      <c r="D298" s="17"/>
      <c r="E298" s="17"/>
      <c r="F298" s="17"/>
      <c r="G298" s="17"/>
      <c r="H298" s="17"/>
      <c r="I298" s="17"/>
      <c r="J298" s="17"/>
      <c r="K298" s="17"/>
      <c r="L298" s="17"/>
      <c r="M298" s="17"/>
      <c r="N298" s="17"/>
      <c r="O298" s="17"/>
    </row>
    <row r="299" spans="2:15" x14ac:dyDescent="0.2">
      <c r="B299" s="17"/>
      <c r="C299" s="17"/>
      <c r="D299" s="17"/>
      <c r="E299" s="17"/>
      <c r="F299" s="17"/>
      <c r="G299" s="17"/>
      <c r="H299" s="17"/>
      <c r="I299" s="17"/>
      <c r="J299" s="17"/>
      <c r="K299" s="17"/>
      <c r="L299" s="17"/>
      <c r="M299" s="17"/>
      <c r="N299" s="17"/>
      <c r="O299" s="17"/>
    </row>
    <row r="300" spans="2:15" x14ac:dyDescent="0.2">
      <c r="B300" s="17"/>
      <c r="C300" s="17"/>
      <c r="D300" s="17"/>
      <c r="E300" s="17"/>
      <c r="F300" s="17"/>
      <c r="G300" s="17"/>
      <c r="H300" s="17"/>
      <c r="I300" s="17"/>
      <c r="J300" s="17"/>
      <c r="K300" s="17"/>
      <c r="L300" s="17"/>
      <c r="M300" s="17"/>
      <c r="N300" s="17"/>
      <c r="O300" s="17"/>
    </row>
    <row r="301" spans="2:15" x14ac:dyDescent="0.2">
      <c r="B301" s="17"/>
      <c r="C301" s="17"/>
      <c r="D301" s="17"/>
      <c r="E301" s="17"/>
      <c r="F301" s="17"/>
      <c r="G301" s="17"/>
      <c r="H301" s="17"/>
      <c r="I301" s="17"/>
      <c r="J301" s="17"/>
      <c r="K301" s="17"/>
      <c r="L301" s="17"/>
      <c r="M301" s="17"/>
      <c r="N301" s="17"/>
      <c r="O301" s="17"/>
    </row>
    <row r="302" spans="2:15" x14ac:dyDescent="0.2">
      <c r="B302" s="17"/>
      <c r="C302" s="17"/>
      <c r="D302" s="17"/>
      <c r="E302" s="17"/>
      <c r="F302" s="17"/>
      <c r="G302" s="17"/>
      <c r="H302" s="17"/>
      <c r="I302" s="17"/>
      <c r="J302" s="17"/>
      <c r="K302" s="17"/>
      <c r="L302" s="17"/>
      <c r="M302" s="17"/>
      <c r="N302" s="17"/>
      <c r="O302" s="17"/>
    </row>
    <row r="303" spans="2:15" x14ac:dyDescent="0.2">
      <c r="B303" s="17"/>
      <c r="C303" s="17"/>
      <c r="D303" s="17"/>
      <c r="E303" s="17"/>
      <c r="F303" s="17"/>
      <c r="G303" s="17"/>
      <c r="H303" s="17"/>
      <c r="I303" s="17"/>
      <c r="J303" s="17"/>
      <c r="K303" s="17"/>
      <c r="L303" s="17"/>
      <c r="M303" s="17"/>
      <c r="N303" s="17"/>
      <c r="O303" s="17"/>
    </row>
    <row r="304" spans="2:15" x14ac:dyDescent="0.2">
      <c r="B304" s="17"/>
      <c r="C304" s="17"/>
      <c r="D304" s="17"/>
      <c r="E304" s="17"/>
      <c r="F304" s="17"/>
      <c r="G304" s="17"/>
      <c r="H304" s="17"/>
      <c r="I304" s="17"/>
      <c r="J304" s="17"/>
      <c r="K304" s="17"/>
      <c r="L304" s="17"/>
      <c r="M304" s="17"/>
      <c r="N304" s="17"/>
      <c r="O304" s="17"/>
    </row>
    <row r="305" spans="2:15" x14ac:dyDescent="0.2">
      <c r="B305" s="17"/>
      <c r="C305" s="17"/>
      <c r="D305" s="17"/>
      <c r="E305" s="17"/>
      <c r="F305" s="17"/>
      <c r="G305" s="17"/>
      <c r="H305" s="17"/>
      <c r="I305" s="17"/>
      <c r="J305" s="17"/>
      <c r="K305" s="17"/>
      <c r="L305" s="17"/>
      <c r="M305" s="17"/>
      <c r="N305" s="17"/>
      <c r="O305" s="17"/>
    </row>
    <row r="306" spans="2:15" x14ac:dyDescent="0.2">
      <c r="B306" s="17"/>
      <c r="C306" s="17"/>
      <c r="D306" s="17"/>
      <c r="E306" s="17"/>
      <c r="F306" s="17"/>
      <c r="G306" s="17"/>
      <c r="H306" s="17"/>
      <c r="I306" s="17"/>
      <c r="J306" s="17"/>
      <c r="K306" s="17"/>
      <c r="L306" s="17"/>
      <c r="M306" s="17"/>
      <c r="N306" s="17"/>
      <c r="O306" s="17"/>
    </row>
    <row r="307" spans="2:15" x14ac:dyDescent="0.2">
      <c r="B307" s="17"/>
      <c r="C307" s="17"/>
      <c r="D307" s="17"/>
      <c r="E307" s="17"/>
      <c r="F307" s="17"/>
      <c r="G307" s="17"/>
      <c r="H307" s="17"/>
      <c r="I307" s="17"/>
      <c r="J307" s="17"/>
      <c r="K307" s="17"/>
      <c r="L307" s="17"/>
      <c r="M307" s="17"/>
      <c r="N307" s="17"/>
      <c r="O307" s="17"/>
    </row>
    <row r="308" spans="2:15" x14ac:dyDescent="0.2">
      <c r="B308" s="17"/>
      <c r="C308" s="17"/>
      <c r="D308" s="17"/>
      <c r="E308" s="17"/>
      <c r="F308" s="17"/>
      <c r="G308" s="17"/>
      <c r="H308" s="17"/>
      <c r="I308" s="17"/>
      <c r="J308" s="17"/>
      <c r="K308" s="17"/>
      <c r="L308" s="17"/>
      <c r="M308" s="17"/>
      <c r="N308" s="17"/>
      <c r="O308" s="17"/>
    </row>
    <row r="309" spans="2:15" x14ac:dyDescent="0.2">
      <c r="B309" s="17"/>
      <c r="C309" s="17"/>
      <c r="D309" s="17"/>
      <c r="E309" s="17"/>
      <c r="F309" s="17"/>
      <c r="G309" s="17"/>
      <c r="H309" s="17"/>
      <c r="I309" s="17"/>
      <c r="J309" s="17"/>
      <c r="K309" s="17"/>
      <c r="L309" s="17"/>
      <c r="M309" s="17"/>
      <c r="N309" s="17"/>
      <c r="O309" s="17"/>
    </row>
    <row r="310" spans="2:15" x14ac:dyDescent="0.2">
      <c r="B310" s="17"/>
      <c r="C310" s="17"/>
      <c r="D310" s="17"/>
      <c r="E310" s="17"/>
      <c r="F310" s="17"/>
      <c r="G310" s="17"/>
      <c r="H310" s="17"/>
      <c r="I310" s="17"/>
      <c r="J310" s="17"/>
      <c r="K310" s="17"/>
      <c r="L310" s="17"/>
      <c r="M310" s="17"/>
      <c r="N310" s="17"/>
      <c r="O310" s="17"/>
    </row>
    <row r="311" spans="2:15" x14ac:dyDescent="0.2">
      <c r="B311" s="17"/>
      <c r="C311" s="17"/>
      <c r="D311" s="17"/>
      <c r="E311" s="17"/>
      <c r="F311" s="17"/>
      <c r="G311" s="17"/>
      <c r="H311" s="17"/>
      <c r="I311" s="17"/>
      <c r="J311" s="17"/>
      <c r="K311" s="17"/>
      <c r="L311" s="17"/>
      <c r="M311" s="17"/>
      <c r="N311" s="17"/>
      <c r="O311" s="17"/>
    </row>
    <row r="312" spans="2:15" x14ac:dyDescent="0.2">
      <c r="B312" s="17"/>
      <c r="C312" s="17"/>
      <c r="D312" s="17"/>
      <c r="E312" s="17"/>
      <c r="F312" s="17"/>
      <c r="G312" s="17"/>
      <c r="H312" s="17"/>
      <c r="I312" s="17"/>
      <c r="J312" s="17"/>
      <c r="K312" s="17"/>
      <c r="L312" s="17"/>
      <c r="M312" s="17"/>
      <c r="N312" s="17"/>
      <c r="O312" s="17"/>
    </row>
    <row r="313" spans="2:15" x14ac:dyDescent="0.2">
      <c r="B313" s="17"/>
      <c r="C313" s="17"/>
      <c r="D313" s="17"/>
      <c r="E313" s="17"/>
      <c r="F313" s="17"/>
      <c r="G313" s="17"/>
      <c r="H313" s="17"/>
      <c r="I313" s="17"/>
      <c r="J313" s="17"/>
      <c r="K313" s="17"/>
      <c r="L313" s="17"/>
      <c r="M313" s="17"/>
      <c r="N313" s="17"/>
      <c r="O313" s="17"/>
    </row>
    <row r="314" spans="2:15" x14ac:dyDescent="0.2">
      <c r="B314" s="17"/>
      <c r="C314" s="17"/>
      <c r="D314" s="17"/>
      <c r="E314" s="17"/>
      <c r="F314" s="17"/>
      <c r="G314" s="17"/>
      <c r="H314" s="17"/>
      <c r="I314" s="17"/>
      <c r="J314" s="17"/>
      <c r="K314" s="17"/>
      <c r="L314" s="17"/>
      <c r="M314" s="17"/>
      <c r="N314" s="17"/>
      <c r="O314" s="17"/>
    </row>
    <row r="315" spans="2:15" x14ac:dyDescent="0.2">
      <c r="B315" s="17"/>
      <c r="C315" s="17"/>
      <c r="D315" s="17"/>
      <c r="E315" s="17"/>
      <c r="F315" s="17"/>
      <c r="G315" s="17"/>
      <c r="H315" s="17"/>
      <c r="I315" s="17"/>
      <c r="J315" s="17"/>
      <c r="K315" s="17"/>
      <c r="L315" s="17"/>
      <c r="M315" s="17"/>
      <c r="N315" s="17"/>
      <c r="O315" s="17"/>
    </row>
    <row r="316" spans="2:15" x14ac:dyDescent="0.2">
      <c r="B316" s="17"/>
      <c r="C316" s="17"/>
      <c r="D316" s="17"/>
      <c r="E316" s="17"/>
      <c r="F316" s="17"/>
      <c r="G316" s="17"/>
      <c r="H316" s="17"/>
      <c r="I316" s="17"/>
      <c r="J316" s="17"/>
      <c r="K316" s="17"/>
      <c r="L316" s="17"/>
      <c r="M316" s="17"/>
      <c r="N316" s="17"/>
      <c r="O316" s="17"/>
    </row>
    <row r="317" spans="2:15" x14ac:dyDescent="0.2">
      <c r="B317" s="17"/>
      <c r="C317" s="17"/>
      <c r="D317" s="17"/>
      <c r="E317" s="17"/>
      <c r="F317" s="17"/>
      <c r="G317" s="17"/>
      <c r="H317" s="17"/>
      <c r="I317" s="17"/>
      <c r="J317" s="17"/>
      <c r="K317" s="17"/>
      <c r="L317" s="17"/>
      <c r="M317" s="17"/>
      <c r="N317" s="17"/>
      <c r="O317" s="17"/>
    </row>
    <row r="318" spans="2:15" x14ac:dyDescent="0.2">
      <c r="B318" s="17"/>
      <c r="C318" s="17"/>
      <c r="D318" s="17"/>
      <c r="E318" s="17"/>
      <c r="F318" s="17"/>
      <c r="G318" s="17"/>
      <c r="H318" s="17"/>
      <c r="I318" s="17"/>
      <c r="J318" s="17"/>
      <c r="K318" s="17"/>
      <c r="L318" s="17"/>
      <c r="M318" s="17"/>
      <c r="N318" s="17"/>
      <c r="O318" s="17"/>
    </row>
    <row r="319" spans="2:15" x14ac:dyDescent="0.2">
      <c r="B319" s="17"/>
      <c r="C319" s="17"/>
      <c r="D319" s="17"/>
      <c r="E319" s="17"/>
      <c r="F319" s="17"/>
      <c r="G319" s="17"/>
      <c r="H319" s="17"/>
      <c r="I319" s="17"/>
      <c r="J319" s="17"/>
      <c r="K319" s="17"/>
      <c r="L319" s="17"/>
      <c r="M319" s="17"/>
      <c r="N319" s="17"/>
      <c r="O319" s="17"/>
    </row>
    <row r="320" spans="2:15" x14ac:dyDescent="0.2">
      <c r="B320" s="17"/>
      <c r="C320" s="17"/>
      <c r="D320" s="17"/>
      <c r="E320" s="17"/>
      <c r="F320" s="17"/>
      <c r="G320" s="17"/>
      <c r="H320" s="17"/>
      <c r="I320" s="17"/>
      <c r="J320" s="17"/>
      <c r="K320" s="17"/>
      <c r="L320" s="17"/>
      <c r="M320" s="17"/>
      <c r="N320" s="17"/>
      <c r="O320" s="17"/>
    </row>
    <row r="321" spans="2:15" x14ac:dyDescent="0.2">
      <c r="B321" s="17"/>
      <c r="C321" s="17"/>
      <c r="D321" s="17"/>
      <c r="E321" s="17"/>
      <c r="F321" s="17"/>
      <c r="G321" s="17"/>
      <c r="H321" s="17"/>
      <c r="I321" s="17"/>
      <c r="J321" s="17"/>
      <c r="K321" s="17"/>
      <c r="L321" s="17"/>
      <c r="M321" s="17"/>
      <c r="N321" s="17"/>
      <c r="O321" s="17"/>
    </row>
    <row r="322" spans="2:15" x14ac:dyDescent="0.2">
      <c r="B322" s="17"/>
      <c r="C322" s="17"/>
      <c r="D322" s="17"/>
      <c r="E322" s="17"/>
      <c r="F322" s="17"/>
      <c r="G322" s="17"/>
      <c r="H322" s="17"/>
      <c r="I322" s="17"/>
      <c r="J322" s="17"/>
      <c r="K322" s="17"/>
      <c r="L322" s="17"/>
      <c r="M322" s="17"/>
      <c r="N322" s="17"/>
      <c r="O322" s="17"/>
    </row>
    <row r="323" spans="2:15" x14ac:dyDescent="0.2">
      <c r="B323" s="17"/>
      <c r="C323" s="17"/>
      <c r="D323" s="17"/>
      <c r="E323" s="17"/>
      <c r="F323" s="17"/>
      <c r="G323" s="17"/>
      <c r="H323" s="17"/>
      <c r="I323" s="17"/>
      <c r="J323" s="17"/>
      <c r="K323" s="17"/>
      <c r="L323" s="17"/>
      <c r="M323" s="17"/>
      <c r="N323" s="17"/>
      <c r="O323" s="17"/>
    </row>
    <row r="324" spans="2:15" x14ac:dyDescent="0.2">
      <c r="B324" s="17"/>
      <c r="C324" s="17"/>
      <c r="D324" s="17"/>
      <c r="E324" s="17"/>
      <c r="F324" s="17"/>
      <c r="G324" s="17"/>
      <c r="H324" s="17"/>
      <c r="I324" s="17"/>
      <c r="J324" s="17"/>
      <c r="K324" s="17"/>
      <c r="L324" s="17"/>
      <c r="M324" s="17"/>
      <c r="N324" s="17"/>
      <c r="O324" s="17"/>
    </row>
    <row r="325" spans="2:15" x14ac:dyDescent="0.2">
      <c r="B325" s="17"/>
      <c r="C325" s="17"/>
      <c r="D325" s="17"/>
      <c r="E325" s="17"/>
      <c r="F325" s="17"/>
      <c r="G325" s="17"/>
      <c r="H325" s="17"/>
      <c r="I325" s="17"/>
      <c r="J325" s="17"/>
      <c r="K325" s="17"/>
      <c r="L325" s="17"/>
      <c r="M325" s="17"/>
      <c r="N325" s="17"/>
      <c r="O325" s="17"/>
    </row>
    <row r="326" spans="2:15" x14ac:dyDescent="0.2">
      <c r="B326" s="17"/>
      <c r="C326" s="17"/>
      <c r="D326" s="17"/>
      <c r="E326" s="17"/>
      <c r="F326" s="17"/>
      <c r="G326" s="17"/>
      <c r="H326" s="17"/>
      <c r="I326" s="17"/>
      <c r="J326" s="17"/>
      <c r="K326" s="17"/>
      <c r="L326" s="17"/>
      <c r="M326" s="17"/>
      <c r="N326" s="17"/>
      <c r="O326" s="17"/>
    </row>
    <row r="327" spans="2:15" x14ac:dyDescent="0.2">
      <c r="B327" s="17"/>
      <c r="C327" s="17"/>
      <c r="D327" s="17"/>
      <c r="E327" s="17"/>
      <c r="F327" s="17"/>
      <c r="G327" s="17"/>
      <c r="H327" s="17"/>
      <c r="I327" s="17"/>
      <c r="J327" s="17"/>
      <c r="K327" s="17"/>
      <c r="L327" s="17"/>
      <c r="M327" s="17"/>
      <c r="N327" s="17"/>
      <c r="O327" s="17"/>
    </row>
    <row r="328" spans="2:15" x14ac:dyDescent="0.2">
      <c r="B328" s="17"/>
      <c r="C328" s="17"/>
      <c r="D328" s="17"/>
      <c r="E328" s="17"/>
      <c r="F328" s="17"/>
      <c r="G328" s="17"/>
      <c r="H328" s="17"/>
      <c r="I328" s="17"/>
      <c r="J328" s="17"/>
      <c r="K328" s="17"/>
      <c r="L328" s="17"/>
      <c r="M328" s="17"/>
      <c r="N328" s="17"/>
      <c r="O328" s="17"/>
    </row>
    <row r="329" spans="2:15" x14ac:dyDescent="0.2">
      <c r="B329" s="17"/>
      <c r="C329" s="17"/>
      <c r="D329" s="17"/>
      <c r="E329" s="17"/>
      <c r="F329" s="17"/>
      <c r="G329" s="17"/>
      <c r="H329" s="17"/>
      <c r="I329" s="17"/>
      <c r="J329" s="17"/>
      <c r="K329" s="17"/>
      <c r="L329" s="17"/>
      <c r="M329" s="17"/>
      <c r="N329" s="17"/>
      <c r="O329" s="17"/>
    </row>
    <row r="330" spans="2:15" x14ac:dyDescent="0.2">
      <c r="B330" s="17"/>
      <c r="C330" s="17"/>
      <c r="D330" s="17"/>
      <c r="E330" s="17"/>
      <c r="F330" s="17"/>
      <c r="G330" s="17"/>
      <c r="H330" s="17"/>
      <c r="I330" s="17"/>
      <c r="J330" s="17"/>
      <c r="K330" s="17"/>
      <c r="L330" s="17"/>
      <c r="M330" s="17"/>
      <c r="N330" s="17"/>
      <c r="O330" s="17"/>
    </row>
    <row r="331" spans="2:15" x14ac:dyDescent="0.2">
      <c r="B331" s="17"/>
      <c r="C331" s="17"/>
      <c r="D331" s="17"/>
      <c r="E331" s="17"/>
      <c r="F331" s="17"/>
      <c r="G331" s="17"/>
      <c r="H331" s="17"/>
      <c r="I331" s="17"/>
      <c r="J331" s="17"/>
      <c r="K331" s="17"/>
      <c r="L331" s="17"/>
      <c r="M331" s="17"/>
      <c r="N331" s="17"/>
      <c r="O331" s="17"/>
    </row>
    <row r="332" spans="2:15" x14ac:dyDescent="0.2">
      <c r="B332" s="17"/>
      <c r="C332" s="17"/>
      <c r="D332" s="17"/>
      <c r="E332" s="17"/>
      <c r="F332" s="17"/>
      <c r="G332" s="17"/>
      <c r="H332" s="17"/>
      <c r="I332" s="17"/>
      <c r="J332" s="17"/>
      <c r="K332" s="17"/>
      <c r="L332" s="17"/>
      <c r="M332" s="17"/>
      <c r="N332" s="17"/>
      <c r="O332" s="17"/>
    </row>
    <row r="333" spans="2:15" x14ac:dyDescent="0.2">
      <c r="B333" s="17"/>
      <c r="C333" s="17"/>
      <c r="D333" s="17"/>
      <c r="E333" s="17"/>
      <c r="F333" s="17"/>
      <c r="G333" s="17"/>
      <c r="H333" s="17"/>
      <c r="I333" s="17"/>
      <c r="J333" s="17"/>
      <c r="K333" s="17"/>
      <c r="L333" s="17"/>
      <c r="M333" s="17"/>
      <c r="N333" s="17"/>
      <c r="O333" s="17"/>
    </row>
    <row r="334" spans="2:15" x14ac:dyDescent="0.2">
      <c r="B334" s="17"/>
      <c r="C334" s="17"/>
      <c r="D334" s="17"/>
      <c r="E334" s="17"/>
      <c r="F334" s="17"/>
      <c r="G334" s="17"/>
      <c r="H334" s="17"/>
      <c r="I334" s="17"/>
      <c r="J334" s="17"/>
      <c r="K334" s="17"/>
      <c r="L334" s="17"/>
      <c r="M334" s="17"/>
      <c r="N334" s="17"/>
      <c r="O334" s="17"/>
    </row>
    <row r="335" spans="2:15" x14ac:dyDescent="0.2">
      <c r="B335" s="17"/>
      <c r="C335" s="17"/>
      <c r="D335" s="17"/>
      <c r="E335" s="17"/>
      <c r="F335" s="17"/>
      <c r="G335" s="17"/>
      <c r="H335" s="17"/>
      <c r="I335" s="17"/>
      <c r="J335" s="17"/>
      <c r="K335" s="17"/>
      <c r="L335" s="17"/>
      <c r="M335" s="17"/>
      <c r="N335" s="17"/>
      <c r="O335" s="17"/>
    </row>
    <row r="336" spans="2:15" x14ac:dyDescent="0.2">
      <c r="B336" s="17"/>
      <c r="C336" s="17"/>
      <c r="D336" s="17"/>
      <c r="E336" s="17"/>
      <c r="F336" s="17"/>
      <c r="G336" s="17"/>
      <c r="H336" s="17"/>
      <c r="I336" s="17"/>
      <c r="J336" s="17"/>
      <c r="K336" s="17"/>
      <c r="L336" s="17"/>
      <c r="M336" s="17"/>
      <c r="N336" s="17"/>
      <c r="O336" s="17"/>
    </row>
    <row r="337" spans="2:15" x14ac:dyDescent="0.2">
      <c r="B337" s="17"/>
      <c r="C337" s="17"/>
      <c r="D337" s="17"/>
      <c r="E337" s="17"/>
      <c r="F337" s="17"/>
      <c r="G337" s="17"/>
      <c r="H337" s="17"/>
      <c r="I337" s="17"/>
      <c r="J337" s="17"/>
      <c r="K337" s="17"/>
      <c r="L337" s="17"/>
      <c r="M337" s="17"/>
      <c r="N337" s="17"/>
      <c r="O337" s="17"/>
    </row>
    <row r="338" spans="2:15" x14ac:dyDescent="0.2">
      <c r="B338" s="17"/>
      <c r="C338" s="17"/>
      <c r="D338" s="17"/>
      <c r="E338" s="17"/>
      <c r="F338" s="17"/>
      <c r="G338" s="17"/>
      <c r="H338" s="17"/>
      <c r="I338" s="17"/>
      <c r="J338" s="17"/>
      <c r="K338" s="17"/>
      <c r="L338" s="17"/>
      <c r="M338" s="17"/>
      <c r="N338" s="17"/>
      <c r="O338" s="17"/>
    </row>
    <row r="339" spans="2:15" x14ac:dyDescent="0.2">
      <c r="B339" s="17"/>
      <c r="C339" s="17"/>
      <c r="D339" s="17"/>
      <c r="E339" s="17"/>
      <c r="F339" s="17"/>
      <c r="G339" s="17"/>
      <c r="H339" s="17"/>
      <c r="I339" s="17"/>
      <c r="J339" s="17"/>
      <c r="K339" s="17"/>
      <c r="L339" s="17"/>
      <c r="M339" s="17"/>
      <c r="N339" s="17"/>
      <c r="O339" s="17"/>
    </row>
    <row r="340" spans="2:15" x14ac:dyDescent="0.2">
      <c r="B340" s="17"/>
      <c r="C340" s="17"/>
      <c r="D340" s="17"/>
      <c r="E340" s="17"/>
      <c r="F340" s="17"/>
      <c r="G340" s="17"/>
      <c r="H340" s="17"/>
      <c r="I340" s="17"/>
      <c r="J340" s="17"/>
      <c r="K340" s="17"/>
      <c r="L340" s="17"/>
      <c r="M340" s="17"/>
      <c r="N340" s="17"/>
      <c r="O340" s="17"/>
    </row>
    <row r="341" spans="2:15" x14ac:dyDescent="0.2">
      <c r="B341" s="17"/>
      <c r="C341" s="17"/>
      <c r="D341" s="17"/>
      <c r="E341" s="17"/>
      <c r="F341" s="17"/>
      <c r="G341" s="17"/>
      <c r="H341" s="17"/>
      <c r="I341" s="17"/>
      <c r="J341" s="17"/>
      <c r="K341" s="17"/>
      <c r="L341" s="17"/>
      <c r="M341" s="17"/>
      <c r="N341" s="17"/>
      <c r="O341" s="17"/>
    </row>
    <row r="342" spans="2:15" x14ac:dyDescent="0.2">
      <c r="B342" s="17"/>
      <c r="C342" s="17"/>
      <c r="D342" s="17"/>
      <c r="E342" s="17"/>
      <c r="F342" s="17"/>
      <c r="G342" s="17"/>
      <c r="H342" s="17"/>
      <c r="I342" s="17"/>
      <c r="J342" s="17"/>
      <c r="K342" s="17"/>
      <c r="L342" s="17"/>
      <c r="M342" s="17"/>
      <c r="N342" s="17"/>
      <c r="O342" s="17"/>
    </row>
    <row r="343" spans="2:15" x14ac:dyDescent="0.2">
      <c r="B343" s="17"/>
      <c r="C343" s="17"/>
      <c r="D343" s="17"/>
      <c r="E343" s="17"/>
      <c r="F343" s="17"/>
      <c r="G343" s="17"/>
      <c r="H343" s="17"/>
      <c r="I343" s="17"/>
      <c r="J343" s="17"/>
      <c r="K343" s="17"/>
      <c r="L343" s="17"/>
      <c r="M343" s="17"/>
      <c r="N343" s="17"/>
      <c r="O343" s="17"/>
    </row>
    <row r="344" spans="2:15" x14ac:dyDescent="0.2">
      <c r="B344" s="17"/>
      <c r="C344" s="17"/>
      <c r="D344" s="17"/>
      <c r="E344" s="17"/>
      <c r="F344" s="17"/>
      <c r="G344" s="17"/>
      <c r="H344" s="17"/>
      <c r="I344" s="17"/>
      <c r="J344" s="17"/>
      <c r="K344" s="17"/>
      <c r="L344" s="17"/>
      <c r="M344" s="17"/>
      <c r="N344" s="17"/>
      <c r="O344" s="17"/>
    </row>
    <row r="345" spans="2:15" x14ac:dyDescent="0.2">
      <c r="B345" s="17"/>
      <c r="C345" s="17"/>
      <c r="D345" s="17"/>
      <c r="E345" s="17"/>
      <c r="F345" s="17"/>
      <c r="G345" s="17"/>
      <c r="H345" s="17"/>
      <c r="I345" s="17"/>
      <c r="J345" s="17"/>
      <c r="K345" s="17"/>
      <c r="L345" s="17"/>
      <c r="M345" s="17"/>
      <c r="N345" s="17"/>
      <c r="O345" s="17"/>
    </row>
    <row r="346" spans="2:15" x14ac:dyDescent="0.2">
      <c r="B346" s="17"/>
      <c r="C346" s="17"/>
      <c r="D346" s="17"/>
      <c r="E346" s="17"/>
      <c r="F346" s="17"/>
      <c r="G346" s="17"/>
      <c r="H346" s="17"/>
      <c r="I346" s="17"/>
      <c r="J346" s="17"/>
      <c r="K346" s="17"/>
      <c r="L346" s="17"/>
      <c r="M346" s="17"/>
      <c r="N346" s="17"/>
      <c r="O346" s="17"/>
    </row>
    <row r="347" spans="2:15" x14ac:dyDescent="0.2">
      <c r="B347" s="17"/>
      <c r="C347" s="17"/>
      <c r="D347" s="17"/>
      <c r="E347" s="17"/>
      <c r="F347" s="17"/>
      <c r="G347" s="17"/>
      <c r="H347" s="17"/>
      <c r="I347" s="17"/>
      <c r="J347" s="17"/>
      <c r="K347" s="17"/>
      <c r="L347" s="17"/>
      <c r="M347" s="17"/>
      <c r="N347" s="17"/>
      <c r="O347" s="17"/>
    </row>
    <row r="348" spans="2:15" x14ac:dyDescent="0.2">
      <c r="B348" s="17"/>
      <c r="C348" s="17"/>
      <c r="D348" s="17"/>
      <c r="E348" s="17"/>
      <c r="F348" s="17"/>
      <c r="G348" s="17"/>
      <c r="H348" s="17"/>
      <c r="I348" s="17"/>
      <c r="J348" s="17"/>
      <c r="K348" s="17"/>
      <c r="L348" s="17"/>
      <c r="M348" s="17"/>
      <c r="N348" s="17"/>
      <c r="O348" s="17"/>
    </row>
    <row r="349" spans="2:15" x14ac:dyDescent="0.2">
      <c r="B349" s="17"/>
      <c r="C349" s="17"/>
      <c r="D349" s="17"/>
      <c r="E349" s="17"/>
      <c r="F349" s="17"/>
      <c r="G349" s="17"/>
      <c r="H349" s="17"/>
      <c r="I349" s="17"/>
      <c r="J349" s="17"/>
      <c r="K349" s="17"/>
      <c r="L349" s="17"/>
      <c r="M349" s="17"/>
      <c r="N349" s="17"/>
      <c r="O349" s="17"/>
    </row>
    <row r="350" spans="2:15" x14ac:dyDescent="0.2">
      <c r="B350" s="17"/>
      <c r="C350" s="17"/>
      <c r="D350" s="17"/>
      <c r="E350" s="17"/>
      <c r="F350" s="17"/>
      <c r="G350" s="17"/>
      <c r="H350" s="17"/>
      <c r="I350" s="17"/>
      <c r="J350" s="17"/>
      <c r="K350" s="17"/>
      <c r="L350" s="17"/>
      <c r="M350" s="17"/>
      <c r="N350" s="17"/>
      <c r="O350" s="17"/>
    </row>
    <row r="351" spans="2:15" x14ac:dyDescent="0.2">
      <c r="B351" s="17"/>
      <c r="C351" s="17"/>
      <c r="D351" s="17"/>
      <c r="E351" s="17"/>
      <c r="F351" s="17"/>
      <c r="G351" s="17"/>
      <c r="H351" s="17"/>
      <c r="I351" s="17"/>
      <c r="J351" s="17"/>
      <c r="K351" s="17"/>
      <c r="L351" s="17"/>
      <c r="M351" s="17"/>
      <c r="N351" s="17"/>
      <c r="O351" s="17"/>
    </row>
    <row r="352" spans="2:15" x14ac:dyDescent="0.2">
      <c r="B352" s="17"/>
      <c r="C352" s="17"/>
      <c r="D352" s="17"/>
      <c r="E352" s="17"/>
      <c r="F352" s="17"/>
      <c r="G352" s="17"/>
      <c r="H352" s="17"/>
      <c r="I352" s="17"/>
      <c r="J352" s="17"/>
      <c r="K352" s="17"/>
      <c r="L352" s="17"/>
      <c r="M352" s="17"/>
      <c r="N352" s="17"/>
      <c r="O352" s="17"/>
    </row>
    <row r="353" spans="2:15" x14ac:dyDescent="0.2">
      <c r="B353" s="17"/>
      <c r="C353" s="17"/>
      <c r="D353" s="17"/>
      <c r="E353" s="17"/>
      <c r="F353" s="17"/>
      <c r="G353" s="17"/>
      <c r="H353" s="17"/>
      <c r="I353" s="17"/>
      <c r="J353" s="17"/>
      <c r="K353" s="17"/>
      <c r="L353" s="17"/>
      <c r="M353" s="17"/>
      <c r="N353" s="17"/>
      <c r="O353" s="17"/>
    </row>
    <row r="354" spans="2:15" x14ac:dyDescent="0.2">
      <c r="B354" s="17"/>
      <c r="C354" s="17"/>
      <c r="D354" s="17"/>
      <c r="E354" s="17"/>
      <c r="F354" s="17"/>
      <c r="G354" s="17"/>
      <c r="H354" s="17"/>
      <c r="I354" s="17"/>
      <c r="J354" s="17"/>
      <c r="K354" s="17"/>
      <c r="L354" s="17"/>
      <c r="M354" s="17"/>
      <c r="N354" s="17"/>
      <c r="O354" s="17"/>
    </row>
    <row r="355" spans="2:15" x14ac:dyDescent="0.2">
      <c r="B355" s="17"/>
      <c r="C355" s="17"/>
      <c r="D355" s="17"/>
      <c r="E355" s="17"/>
      <c r="F355" s="17"/>
      <c r="G355" s="17"/>
      <c r="H355" s="17"/>
      <c r="I355" s="17"/>
      <c r="J355" s="17"/>
      <c r="K355" s="17"/>
      <c r="L355" s="17"/>
      <c r="M355" s="17"/>
      <c r="N355" s="17"/>
      <c r="O355" s="17"/>
    </row>
    <row r="356" spans="2:15" x14ac:dyDescent="0.2">
      <c r="B356" s="17"/>
      <c r="C356" s="17"/>
      <c r="D356" s="17"/>
      <c r="E356" s="17"/>
      <c r="F356" s="17"/>
      <c r="G356" s="17"/>
      <c r="H356" s="17"/>
      <c r="I356" s="17"/>
      <c r="J356" s="17"/>
      <c r="K356" s="17"/>
      <c r="L356" s="17"/>
      <c r="M356" s="17"/>
      <c r="N356" s="17"/>
      <c r="O356" s="17"/>
    </row>
    <row r="357" spans="2:15" x14ac:dyDescent="0.2">
      <c r="B357" s="17"/>
      <c r="C357" s="17"/>
      <c r="D357" s="17"/>
      <c r="E357" s="17"/>
      <c r="F357" s="17"/>
      <c r="G357" s="17"/>
      <c r="H357" s="17"/>
      <c r="I357" s="17"/>
      <c r="J357" s="17"/>
      <c r="K357" s="17"/>
      <c r="L357" s="17"/>
      <c r="M357" s="17"/>
      <c r="N357" s="17"/>
      <c r="O357" s="17"/>
    </row>
    <row r="358" spans="2:15" x14ac:dyDescent="0.2">
      <c r="B358" s="17"/>
      <c r="C358" s="17"/>
      <c r="D358" s="17"/>
      <c r="E358" s="17"/>
      <c r="F358" s="17"/>
      <c r="G358" s="17"/>
      <c r="H358" s="17"/>
      <c r="I358" s="17"/>
      <c r="J358" s="17"/>
      <c r="K358" s="17"/>
      <c r="L358" s="17"/>
      <c r="M358" s="17"/>
      <c r="N358" s="17"/>
      <c r="O358" s="17"/>
    </row>
    <row r="359" spans="2:15" x14ac:dyDescent="0.2">
      <c r="B359" s="17"/>
      <c r="C359" s="17"/>
      <c r="D359" s="17"/>
      <c r="E359" s="17"/>
      <c r="F359" s="17"/>
      <c r="G359" s="17"/>
      <c r="H359" s="17"/>
      <c r="I359" s="17"/>
      <c r="J359" s="17"/>
      <c r="K359" s="17"/>
      <c r="L359" s="17"/>
      <c r="M359" s="17"/>
      <c r="N359" s="17"/>
      <c r="O359" s="17"/>
    </row>
    <row r="360" spans="2:15" x14ac:dyDescent="0.2">
      <c r="B360" s="17"/>
      <c r="C360" s="17"/>
      <c r="D360" s="17"/>
      <c r="E360" s="17"/>
      <c r="F360" s="17"/>
      <c r="G360" s="17"/>
      <c r="H360" s="17"/>
      <c r="I360" s="17"/>
      <c r="J360" s="17"/>
      <c r="K360" s="17"/>
      <c r="L360" s="17"/>
      <c r="M360" s="17"/>
      <c r="N360" s="17"/>
      <c r="O360" s="17"/>
    </row>
    <row r="361" spans="2:15" x14ac:dyDescent="0.2">
      <c r="B361" s="17"/>
      <c r="C361" s="17"/>
      <c r="D361" s="17"/>
      <c r="E361" s="17"/>
      <c r="F361" s="17"/>
      <c r="G361" s="17"/>
      <c r="H361" s="17"/>
      <c r="I361" s="17"/>
      <c r="J361" s="17"/>
      <c r="K361" s="17"/>
      <c r="L361" s="17"/>
      <c r="M361" s="17"/>
      <c r="N361" s="17"/>
      <c r="O361" s="17"/>
    </row>
    <row r="362" spans="2:15" x14ac:dyDescent="0.2">
      <c r="B362" s="17"/>
      <c r="C362" s="17"/>
      <c r="D362" s="17"/>
      <c r="E362" s="17"/>
      <c r="F362" s="17"/>
      <c r="G362" s="17"/>
      <c r="H362" s="17"/>
      <c r="I362" s="17"/>
      <c r="J362" s="17"/>
      <c r="K362" s="17"/>
      <c r="L362" s="17"/>
      <c r="M362" s="17"/>
      <c r="N362" s="17"/>
      <c r="O362" s="17"/>
    </row>
    <row r="363" spans="2:15" x14ac:dyDescent="0.2">
      <c r="B363" s="17"/>
      <c r="C363" s="17"/>
      <c r="D363" s="17"/>
      <c r="E363" s="17"/>
      <c r="F363" s="17"/>
      <c r="G363" s="17"/>
      <c r="H363" s="17"/>
      <c r="I363" s="17"/>
      <c r="J363" s="17"/>
      <c r="K363" s="17"/>
      <c r="L363" s="17"/>
      <c r="M363" s="17"/>
      <c r="N363" s="17"/>
      <c r="O363" s="17"/>
    </row>
    <row r="364" spans="2:15" x14ac:dyDescent="0.2">
      <c r="B364" s="17"/>
      <c r="C364" s="17"/>
      <c r="D364" s="17"/>
      <c r="E364" s="17"/>
      <c r="F364" s="17"/>
      <c r="G364" s="17"/>
      <c r="H364" s="17"/>
      <c r="I364" s="17"/>
      <c r="J364" s="17"/>
      <c r="K364" s="17"/>
      <c r="L364" s="17"/>
      <c r="M364" s="17"/>
      <c r="N364" s="17"/>
      <c r="O364" s="17"/>
    </row>
    <row r="365" spans="2:15" x14ac:dyDescent="0.2">
      <c r="B365" s="17"/>
      <c r="C365" s="17"/>
      <c r="D365" s="17"/>
      <c r="E365" s="17"/>
      <c r="F365" s="17"/>
      <c r="G365" s="17"/>
      <c r="H365" s="17"/>
      <c r="I365" s="17"/>
      <c r="J365" s="17"/>
      <c r="K365" s="17"/>
      <c r="L365" s="17"/>
      <c r="M365" s="17"/>
      <c r="N365" s="17"/>
      <c r="O365" s="17"/>
    </row>
    <row r="366" spans="2:15" x14ac:dyDescent="0.2">
      <c r="B366" s="17"/>
      <c r="C366" s="17"/>
      <c r="D366" s="17"/>
      <c r="E366" s="17"/>
      <c r="F366" s="17"/>
      <c r="G366" s="17"/>
      <c r="H366" s="17"/>
      <c r="I366" s="17"/>
      <c r="J366" s="17"/>
      <c r="K366" s="17"/>
      <c r="L366" s="17"/>
      <c r="M366" s="17"/>
      <c r="N366" s="17"/>
      <c r="O366" s="17"/>
    </row>
    <row r="367" spans="2:15" x14ac:dyDescent="0.2">
      <c r="B367" s="17"/>
      <c r="C367" s="17"/>
      <c r="D367" s="17"/>
      <c r="E367" s="17"/>
      <c r="F367" s="17"/>
      <c r="G367" s="17"/>
      <c r="H367" s="17"/>
      <c r="I367" s="17"/>
      <c r="J367" s="17"/>
      <c r="K367" s="17"/>
      <c r="L367" s="17"/>
      <c r="M367" s="17"/>
      <c r="N367" s="17"/>
      <c r="O367" s="17"/>
    </row>
    <row r="368" spans="2:15" x14ac:dyDescent="0.2">
      <c r="B368" s="17"/>
      <c r="C368" s="17"/>
      <c r="D368" s="17"/>
      <c r="E368" s="17"/>
      <c r="F368" s="17"/>
      <c r="G368" s="17"/>
      <c r="H368" s="17"/>
      <c r="I368" s="17"/>
      <c r="J368" s="17"/>
      <c r="K368" s="17"/>
      <c r="L368" s="17"/>
      <c r="M368" s="17"/>
      <c r="N368" s="17"/>
      <c r="O368" s="17"/>
    </row>
    <row r="369" spans="2:15" x14ac:dyDescent="0.2">
      <c r="B369" s="17"/>
      <c r="C369" s="17"/>
      <c r="D369" s="17"/>
      <c r="E369" s="17"/>
      <c r="F369" s="17"/>
      <c r="G369" s="17"/>
      <c r="H369" s="17"/>
      <c r="I369" s="17"/>
      <c r="J369" s="17"/>
      <c r="K369" s="17"/>
      <c r="L369" s="17"/>
      <c r="M369" s="17"/>
      <c r="N369" s="17"/>
      <c r="O369" s="17"/>
    </row>
    <row r="370" spans="2:15" x14ac:dyDescent="0.2">
      <c r="B370" s="17"/>
      <c r="C370" s="17"/>
      <c r="D370" s="17"/>
      <c r="E370" s="17"/>
      <c r="F370" s="17"/>
      <c r="G370" s="17"/>
      <c r="H370" s="17"/>
      <c r="I370" s="17"/>
      <c r="J370" s="17"/>
      <c r="K370" s="17"/>
      <c r="L370" s="17"/>
      <c r="M370" s="17"/>
      <c r="N370" s="17"/>
      <c r="O370" s="17"/>
    </row>
    <row r="371" spans="2:15" x14ac:dyDescent="0.2">
      <c r="B371" s="17"/>
      <c r="C371" s="17"/>
      <c r="D371" s="17"/>
      <c r="E371" s="17"/>
      <c r="F371" s="17"/>
      <c r="G371" s="17"/>
      <c r="H371" s="17"/>
      <c r="I371" s="17"/>
      <c r="J371" s="17"/>
      <c r="K371" s="17"/>
      <c r="L371" s="17"/>
      <c r="M371" s="17"/>
      <c r="N371" s="17"/>
      <c r="O371" s="17"/>
    </row>
    <row r="372" spans="2:15" x14ac:dyDescent="0.2">
      <c r="B372" s="17"/>
      <c r="C372" s="17"/>
      <c r="D372" s="17"/>
      <c r="E372" s="17"/>
      <c r="F372" s="17"/>
      <c r="G372" s="17"/>
      <c r="H372" s="17"/>
      <c r="I372" s="17"/>
      <c r="J372" s="17"/>
      <c r="K372" s="17"/>
      <c r="L372" s="17"/>
      <c r="M372" s="17"/>
      <c r="N372" s="17"/>
      <c r="O372" s="17"/>
    </row>
    <row r="373" spans="2:15" x14ac:dyDescent="0.2">
      <c r="B373" s="17"/>
      <c r="C373" s="17"/>
      <c r="D373" s="17"/>
      <c r="E373" s="17"/>
      <c r="F373" s="17"/>
      <c r="G373" s="17"/>
      <c r="H373" s="17"/>
      <c r="I373" s="17"/>
      <c r="J373" s="17"/>
      <c r="K373" s="17"/>
      <c r="L373" s="17"/>
      <c r="M373" s="17"/>
      <c r="N373" s="17"/>
      <c r="O373" s="17"/>
    </row>
    <row r="374" spans="2:15" x14ac:dyDescent="0.2">
      <c r="B374" s="17"/>
      <c r="C374" s="17"/>
      <c r="D374" s="17"/>
      <c r="E374" s="17"/>
      <c r="F374" s="17"/>
      <c r="G374" s="17"/>
      <c r="H374" s="17"/>
      <c r="I374" s="17"/>
      <c r="J374" s="17"/>
      <c r="K374" s="17"/>
      <c r="L374" s="17"/>
      <c r="M374" s="17"/>
      <c r="N374" s="17"/>
      <c r="O374" s="17"/>
    </row>
    <row r="375" spans="2:15" x14ac:dyDescent="0.2">
      <c r="B375" s="17"/>
      <c r="C375" s="17"/>
      <c r="D375" s="17"/>
      <c r="E375" s="17"/>
      <c r="F375" s="17"/>
      <c r="G375" s="17"/>
      <c r="H375" s="17"/>
      <c r="I375" s="17"/>
      <c r="J375" s="17"/>
      <c r="K375" s="17"/>
      <c r="L375" s="17"/>
      <c r="M375" s="17"/>
      <c r="N375" s="17"/>
      <c r="O375" s="17"/>
    </row>
    <row r="376" spans="2:15" x14ac:dyDescent="0.2">
      <c r="B376" s="17"/>
      <c r="C376" s="17"/>
      <c r="D376" s="17"/>
      <c r="E376" s="17"/>
      <c r="F376" s="17"/>
      <c r="G376" s="17"/>
      <c r="H376" s="17"/>
      <c r="I376" s="17"/>
      <c r="J376" s="17"/>
      <c r="K376" s="17"/>
      <c r="L376" s="17"/>
      <c r="M376" s="17"/>
      <c r="N376" s="17"/>
      <c r="O376" s="17"/>
    </row>
    <row r="377" spans="2:15" x14ac:dyDescent="0.2">
      <c r="B377" s="17"/>
      <c r="C377" s="17"/>
      <c r="D377" s="17"/>
      <c r="E377" s="17"/>
      <c r="F377" s="17"/>
      <c r="G377" s="17"/>
      <c r="H377" s="17"/>
      <c r="I377" s="17"/>
      <c r="J377" s="17"/>
      <c r="K377" s="17"/>
      <c r="L377" s="17"/>
      <c r="M377" s="17"/>
      <c r="N377" s="17"/>
      <c r="O377" s="17"/>
    </row>
    <row r="378" spans="2:15" x14ac:dyDescent="0.2">
      <c r="B378" s="17"/>
      <c r="C378" s="17"/>
      <c r="D378" s="17"/>
      <c r="E378" s="17"/>
      <c r="F378" s="17"/>
      <c r="G378" s="17"/>
      <c r="H378" s="17"/>
      <c r="I378" s="17"/>
      <c r="J378" s="17"/>
      <c r="K378" s="17"/>
      <c r="L378" s="17"/>
      <c r="M378" s="17"/>
      <c r="N378" s="17"/>
      <c r="O378" s="17"/>
    </row>
    <row r="379" spans="2:15" x14ac:dyDescent="0.2">
      <c r="B379" s="17"/>
      <c r="C379" s="17"/>
      <c r="D379" s="17"/>
      <c r="E379" s="17"/>
      <c r="F379" s="17"/>
      <c r="G379" s="17"/>
      <c r="H379" s="17"/>
      <c r="I379" s="17"/>
      <c r="J379" s="17"/>
      <c r="K379" s="17"/>
      <c r="L379" s="17"/>
      <c r="M379" s="17"/>
      <c r="N379" s="17"/>
      <c r="O379" s="17"/>
    </row>
    <row r="380" spans="2:15" x14ac:dyDescent="0.2">
      <c r="B380" s="17"/>
      <c r="C380" s="17"/>
      <c r="D380" s="17"/>
      <c r="E380" s="17"/>
      <c r="F380" s="17"/>
      <c r="G380" s="17"/>
      <c r="H380" s="17"/>
      <c r="I380" s="17"/>
      <c r="J380" s="17"/>
      <c r="K380" s="17"/>
      <c r="L380" s="17"/>
      <c r="M380" s="17"/>
      <c r="N380" s="17"/>
      <c r="O380" s="17"/>
    </row>
    <row r="381" spans="2:15" x14ac:dyDescent="0.2">
      <c r="B381" s="17"/>
      <c r="C381" s="17"/>
      <c r="D381" s="17"/>
      <c r="E381" s="17"/>
      <c r="F381" s="17"/>
      <c r="G381" s="17"/>
      <c r="H381" s="17"/>
      <c r="I381" s="17"/>
      <c r="J381" s="17"/>
      <c r="K381" s="17"/>
      <c r="L381" s="17"/>
      <c r="M381" s="17"/>
      <c r="N381" s="17"/>
      <c r="O381" s="17"/>
    </row>
    <row r="382" spans="2:15" x14ac:dyDescent="0.2">
      <c r="B382" s="17"/>
      <c r="C382" s="17"/>
      <c r="D382" s="17"/>
      <c r="E382" s="17"/>
      <c r="F382" s="17"/>
      <c r="G382" s="17"/>
      <c r="H382" s="17"/>
      <c r="I382" s="17"/>
      <c r="J382" s="17"/>
      <c r="K382" s="17"/>
      <c r="L382" s="17"/>
      <c r="M382" s="17"/>
      <c r="N382" s="17"/>
      <c r="O382" s="17"/>
    </row>
    <row r="383" spans="2:15" x14ac:dyDescent="0.2">
      <c r="B383" s="17"/>
      <c r="C383" s="17"/>
      <c r="D383" s="17"/>
      <c r="E383" s="17"/>
      <c r="F383" s="17"/>
      <c r="G383" s="17"/>
      <c r="H383" s="17"/>
      <c r="I383" s="17"/>
      <c r="J383" s="17"/>
      <c r="K383" s="17"/>
      <c r="L383" s="17"/>
      <c r="M383" s="17"/>
      <c r="N383" s="17"/>
      <c r="O383" s="17"/>
    </row>
    <row r="384" spans="2:15" x14ac:dyDescent="0.2">
      <c r="B384" s="17"/>
      <c r="C384" s="17"/>
      <c r="D384" s="17"/>
      <c r="E384" s="17"/>
      <c r="F384" s="17"/>
      <c r="G384" s="17"/>
      <c r="H384" s="17"/>
      <c r="I384" s="17"/>
      <c r="J384" s="17"/>
      <c r="K384" s="17"/>
      <c r="L384" s="17"/>
      <c r="M384" s="17"/>
      <c r="N384" s="17"/>
      <c r="O384" s="17"/>
    </row>
    <row r="385" spans="2:15" x14ac:dyDescent="0.2">
      <c r="B385" s="17"/>
      <c r="C385" s="17"/>
      <c r="D385" s="17"/>
      <c r="E385" s="17"/>
      <c r="F385" s="17"/>
      <c r="G385" s="17"/>
      <c r="H385" s="17"/>
      <c r="I385" s="17"/>
      <c r="J385" s="17"/>
      <c r="K385" s="17"/>
      <c r="L385" s="17"/>
      <c r="M385" s="17"/>
      <c r="N385" s="17"/>
      <c r="O385" s="17"/>
    </row>
    <row r="386" spans="2:15" x14ac:dyDescent="0.2">
      <c r="B386" s="17"/>
      <c r="C386" s="17"/>
      <c r="D386" s="17"/>
      <c r="E386" s="17"/>
      <c r="F386" s="17"/>
      <c r="G386" s="17"/>
      <c r="H386" s="17"/>
      <c r="I386" s="17"/>
      <c r="J386" s="17"/>
      <c r="K386" s="17"/>
      <c r="L386" s="17"/>
      <c r="M386" s="17"/>
      <c r="N386" s="17"/>
      <c r="O386" s="17"/>
    </row>
    <row r="387" spans="2:15" x14ac:dyDescent="0.2">
      <c r="B387" s="17"/>
      <c r="C387" s="17"/>
      <c r="D387" s="17"/>
      <c r="E387" s="17"/>
      <c r="F387" s="17"/>
      <c r="G387" s="17"/>
      <c r="H387" s="17"/>
      <c r="I387" s="17"/>
      <c r="J387" s="17"/>
      <c r="K387" s="17"/>
      <c r="L387" s="17"/>
      <c r="M387" s="17"/>
      <c r="N387" s="17"/>
      <c r="O387" s="17"/>
    </row>
    <row r="388" spans="2:15" x14ac:dyDescent="0.2">
      <c r="B388" s="17"/>
      <c r="C388" s="17"/>
      <c r="D388" s="17"/>
      <c r="E388" s="17"/>
      <c r="F388" s="17"/>
      <c r="G388" s="17"/>
      <c r="H388" s="17"/>
      <c r="I388" s="17"/>
      <c r="J388" s="17"/>
      <c r="K388" s="17"/>
      <c r="L388" s="17"/>
      <c r="M388" s="17"/>
      <c r="N388" s="17"/>
      <c r="O388" s="17"/>
    </row>
    <row r="389" spans="2:15" x14ac:dyDescent="0.2">
      <c r="B389" s="17"/>
      <c r="C389" s="17"/>
      <c r="D389" s="17"/>
      <c r="E389" s="17"/>
      <c r="F389" s="17"/>
      <c r="G389" s="17"/>
      <c r="H389" s="17"/>
      <c r="I389" s="17"/>
      <c r="J389" s="17"/>
      <c r="K389" s="17"/>
      <c r="L389" s="17"/>
      <c r="M389" s="17"/>
      <c r="N389" s="17"/>
      <c r="O389" s="17"/>
    </row>
    <row r="390" spans="2:15" x14ac:dyDescent="0.2">
      <c r="B390" s="17"/>
      <c r="C390" s="17"/>
      <c r="D390" s="17"/>
      <c r="E390" s="17"/>
      <c r="F390" s="17"/>
      <c r="G390" s="17"/>
      <c r="H390" s="17"/>
      <c r="I390" s="17"/>
      <c r="J390" s="17"/>
      <c r="K390" s="17"/>
      <c r="L390" s="17"/>
      <c r="M390" s="17"/>
      <c r="N390" s="17"/>
      <c r="O390" s="17"/>
    </row>
    <row r="391" spans="2:15" x14ac:dyDescent="0.2">
      <c r="B391" s="17"/>
      <c r="C391" s="17"/>
      <c r="D391" s="17"/>
      <c r="E391" s="17"/>
      <c r="F391" s="17"/>
      <c r="G391" s="17"/>
      <c r="H391" s="17"/>
      <c r="I391" s="17"/>
      <c r="J391" s="17"/>
      <c r="K391" s="17"/>
      <c r="L391" s="17"/>
      <c r="M391" s="17"/>
      <c r="N391" s="17"/>
      <c r="O391" s="17"/>
    </row>
    <row r="392" spans="2:15" x14ac:dyDescent="0.2">
      <c r="B392" s="17"/>
      <c r="C392" s="17"/>
      <c r="D392" s="17"/>
      <c r="E392" s="17"/>
      <c r="F392" s="17"/>
      <c r="G392" s="17"/>
      <c r="H392" s="17"/>
      <c r="I392" s="17"/>
      <c r="J392" s="17"/>
      <c r="K392" s="17"/>
      <c r="L392" s="17"/>
      <c r="M392" s="17"/>
      <c r="N392" s="17"/>
      <c r="O392" s="17"/>
    </row>
    <row r="393" spans="2:15" x14ac:dyDescent="0.2">
      <c r="B393" s="17"/>
      <c r="C393" s="17"/>
      <c r="D393" s="17"/>
      <c r="E393" s="17"/>
      <c r="F393" s="17"/>
      <c r="G393" s="17"/>
      <c r="H393" s="17"/>
      <c r="I393" s="17"/>
      <c r="J393" s="17"/>
      <c r="K393" s="17"/>
      <c r="L393" s="17"/>
      <c r="M393" s="17"/>
      <c r="N393" s="17"/>
      <c r="O393" s="17"/>
    </row>
    <row r="394" spans="2:15" x14ac:dyDescent="0.2">
      <c r="B394" s="17"/>
      <c r="C394" s="17"/>
      <c r="D394" s="17"/>
      <c r="E394" s="17"/>
      <c r="F394" s="17"/>
      <c r="G394" s="17"/>
      <c r="H394" s="17"/>
      <c r="I394" s="17"/>
      <c r="J394" s="17"/>
      <c r="K394" s="17"/>
      <c r="L394" s="17"/>
      <c r="M394" s="17"/>
      <c r="N394" s="17"/>
      <c r="O394" s="17"/>
    </row>
    <row r="395" spans="2:15" x14ac:dyDescent="0.2">
      <c r="B395" s="17"/>
      <c r="C395" s="17"/>
      <c r="D395" s="17"/>
      <c r="E395" s="17"/>
      <c r="F395" s="17"/>
      <c r="G395" s="17"/>
      <c r="H395" s="17"/>
      <c r="I395" s="17"/>
      <c r="J395" s="17"/>
      <c r="K395" s="17"/>
      <c r="L395" s="17"/>
      <c r="M395" s="17"/>
      <c r="N395" s="17"/>
      <c r="O395" s="17"/>
    </row>
    <row r="396" spans="2:15" x14ac:dyDescent="0.2">
      <c r="B396" s="17"/>
      <c r="C396" s="17"/>
      <c r="D396" s="17"/>
      <c r="E396" s="17"/>
      <c r="F396" s="17"/>
      <c r="G396" s="17"/>
      <c r="H396" s="17"/>
      <c r="I396" s="17"/>
      <c r="J396" s="17"/>
      <c r="K396" s="17"/>
      <c r="L396" s="17"/>
      <c r="M396" s="17"/>
      <c r="N396" s="17"/>
      <c r="O396" s="17"/>
    </row>
    <row r="397" spans="2:15" x14ac:dyDescent="0.2">
      <c r="B397" s="17"/>
      <c r="C397" s="17"/>
      <c r="D397" s="17"/>
      <c r="E397" s="17"/>
      <c r="F397" s="17"/>
      <c r="G397" s="17"/>
      <c r="H397" s="17"/>
      <c r="I397" s="17"/>
      <c r="J397" s="17"/>
      <c r="K397" s="17"/>
      <c r="L397" s="17"/>
      <c r="M397" s="17"/>
      <c r="N397" s="17"/>
      <c r="O397" s="17"/>
    </row>
    <row r="398" spans="2:15" x14ac:dyDescent="0.2">
      <c r="B398" s="17"/>
      <c r="C398" s="17"/>
      <c r="D398" s="17"/>
      <c r="E398" s="17"/>
      <c r="F398" s="17"/>
      <c r="G398" s="17"/>
      <c r="H398" s="17"/>
      <c r="I398" s="17"/>
      <c r="J398" s="17"/>
      <c r="K398" s="17"/>
      <c r="L398" s="17"/>
      <c r="M398" s="17"/>
      <c r="N398" s="17"/>
      <c r="O398" s="17"/>
    </row>
    <row r="399" spans="2:15" x14ac:dyDescent="0.2">
      <c r="B399" s="17"/>
      <c r="C399" s="17"/>
      <c r="D399" s="17"/>
      <c r="E399" s="17"/>
      <c r="F399" s="17"/>
      <c r="G399" s="17"/>
      <c r="H399" s="17"/>
      <c r="I399" s="17"/>
      <c r="J399" s="17"/>
      <c r="K399" s="17"/>
      <c r="L399" s="17"/>
      <c r="M399" s="17"/>
      <c r="N399" s="17"/>
      <c r="O399" s="17"/>
    </row>
    <row r="400" spans="2:15" x14ac:dyDescent="0.2">
      <c r="B400" s="17"/>
      <c r="C400" s="17"/>
      <c r="D400" s="17"/>
      <c r="E400" s="17"/>
      <c r="F400" s="17"/>
      <c r="G400" s="17"/>
      <c r="H400" s="17"/>
      <c r="I400" s="17"/>
      <c r="J400" s="17"/>
      <c r="K400" s="17"/>
      <c r="L400" s="17"/>
      <c r="M400" s="17"/>
      <c r="N400" s="17"/>
      <c r="O400" s="17"/>
    </row>
    <row r="401" spans="2:15" x14ac:dyDescent="0.2">
      <c r="B401" s="17"/>
      <c r="C401" s="17"/>
      <c r="D401" s="17"/>
      <c r="E401" s="17"/>
      <c r="F401" s="17"/>
      <c r="G401" s="17"/>
      <c r="H401" s="17"/>
      <c r="I401" s="17"/>
      <c r="J401" s="17"/>
      <c r="K401" s="17"/>
      <c r="L401" s="17"/>
      <c r="M401" s="17"/>
      <c r="N401" s="17"/>
      <c r="O401" s="17"/>
    </row>
    <row r="402" spans="2:15" x14ac:dyDescent="0.2">
      <c r="B402" s="17"/>
      <c r="C402" s="17"/>
      <c r="D402" s="17"/>
      <c r="E402" s="17"/>
      <c r="F402" s="17"/>
      <c r="G402" s="17"/>
      <c r="H402" s="17"/>
      <c r="I402" s="17"/>
      <c r="J402" s="17"/>
      <c r="K402" s="17"/>
      <c r="L402" s="17"/>
      <c r="M402" s="17"/>
      <c r="N402" s="17"/>
      <c r="O402" s="17"/>
    </row>
    <row r="403" spans="2:15" x14ac:dyDescent="0.2">
      <c r="B403" s="17"/>
      <c r="C403" s="17"/>
      <c r="D403" s="17"/>
      <c r="E403" s="17"/>
      <c r="F403" s="17"/>
      <c r="G403" s="17"/>
      <c r="H403" s="17"/>
      <c r="I403" s="17"/>
      <c r="J403" s="17"/>
      <c r="K403" s="17"/>
      <c r="L403" s="17"/>
      <c r="M403" s="17"/>
      <c r="N403" s="17"/>
      <c r="O403" s="17"/>
    </row>
    <row r="404" spans="2:15" x14ac:dyDescent="0.2">
      <c r="B404" s="17"/>
      <c r="C404" s="17"/>
      <c r="D404" s="17"/>
      <c r="E404" s="17"/>
      <c r="F404" s="17"/>
      <c r="G404" s="17"/>
      <c r="H404" s="17"/>
      <c r="I404" s="17"/>
      <c r="J404" s="17"/>
      <c r="K404" s="17"/>
      <c r="L404" s="17"/>
      <c r="M404" s="17"/>
      <c r="N404" s="17"/>
      <c r="O404" s="17"/>
    </row>
    <row r="405" spans="2:15" x14ac:dyDescent="0.2">
      <c r="B405" s="17"/>
      <c r="C405" s="17"/>
      <c r="D405" s="17"/>
      <c r="E405" s="17"/>
      <c r="F405" s="17"/>
      <c r="G405" s="17"/>
      <c r="H405" s="17"/>
      <c r="I405" s="17"/>
      <c r="J405" s="17"/>
      <c r="K405" s="17"/>
      <c r="L405" s="17"/>
      <c r="M405" s="17"/>
      <c r="N405" s="17"/>
      <c r="O405" s="17"/>
    </row>
    <row r="406" spans="2:15" x14ac:dyDescent="0.2">
      <c r="B406" s="17"/>
      <c r="C406" s="17"/>
      <c r="D406" s="17"/>
      <c r="E406" s="17"/>
      <c r="F406" s="17"/>
      <c r="G406" s="17"/>
      <c r="H406" s="17"/>
      <c r="I406" s="17"/>
      <c r="J406" s="17"/>
      <c r="K406" s="17"/>
      <c r="L406" s="17"/>
      <c r="M406" s="17"/>
      <c r="N406" s="17"/>
      <c r="O406" s="17"/>
    </row>
    <row r="407" spans="2:15" x14ac:dyDescent="0.2">
      <c r="B407" s="17"/>
      <c r="C407" s="17"/>
      <c r="D407" s="17"/>
      <c r="E407" s="17"/>
      <c r="F407" s="17"/>
      <c r="G407" s="17"/>
      <c r="H407" s="17"/>
      <c r="I407" s="17"/>
      <c r="J407" s="17"/>
      <c r="K407" s="17"/>
      <c r="L407" s="17"/>
      <c r="M407" s="17"/>
      <c r="N407" s="17"/>
      <c r="O407" s="17"/>
    </row>
    <row r="408" spans="2:15" x14ac:dyDescent="0.2">
      <c r="B408" s="17"/>
      <c r="C408" s="17"/>
      <c r="D408" s="17"/>
      <c r="E408" s="17"/>
      <c r="F408" s="17"/>
      <c r="G408" s="17"/>
      <c r="H408" s="17"/>
      <c r="I408" s="17"/>
      <c r="J408" s="17"/>
      <c r="K408" s="17"/>
      <c r="L408" s="17"/>
      <c r="M408" s="17"/>
      <c r="N408" s="17"/>
      <c r="O408" s="17"/>
    </row>
    <row r="409" spans="2:15" x14ac:dyDescent="0.2">
      <c r="B409" s="17"/>
      <c r="C409" s="17"/>
      <c r="D409" s="17"/>
      <c r="E409" s="17"/>
      <c r="F409" s="17"/>
      <c r="G409" s="17"/>
      <c r="H409" s="17"/>
      <c r="I409" s="17"/>
      <c r="J409" s="17"/>
      <c r="K409" s="17"/>
      <c r="L409" s="17"/>
      <c r="M409" s="17"/>
      <c r="N409" s="17"/>
      <c r="O409" s="17"/>
    </row>
    <row r="410" spans="2:15" x14ac:dyDescent="0.2">
      <c r="B410" s="17"/>
      <c r="C410" s="17"/>
      <c r="D410" s="17"/>
      <c r="E410" s="17"/>
      <c r="F410" s="17"/>
      <c r="G410" s="17"/>
      <c r="H410" s="17"/>
      <c r="I410" s="17"/>
      <c r="J410" s="17"/>
      <c r="K410" s="17"/>
      <c r="L410" s="17"/>
      <c r="M410" s="17"/>
      <c r="N410" s="17"/>
      <c r="O410" s="17"/>
    </row>
    <row r="411" spans="2:15" x14ac:dyDescent="0.2">
      <c r="B411" s="17"/>
      <c r="C411" s="17"/>
      <c r="D411" s="17"/>
      <c r="E411" s="17"/>
      <c r="F411" s="17"/>
      <c r="G411" s="17"/>
      <c r="H411" s="17"/>
      <c r="I411" s="17"/>
      <c r="J411" s="17"/>
      <c r="K411" s="17"/>
      <c r="L411" s="17"/>
      <c r="M411" s="17"/>
      <c r="N411" s="17"/>
      <c r="O411" s="17"/>
    </row>
    <row r="412" spans="2:15" x14ac:dyDescent="0.2">
      <c r="B412" s="17"/>
      <c r="C412" s="17"/>
      <c r="D412" s="17"/>
      <c r="E412" s="17"/>
      <c r="F412" s="17"/>
      <c r="G412" s="17"/>
      <c r="H412" s="17"/>
      <c r="I412" s="17"/>
      <c r="J412" s="17"/>
      <c r="K412" s="17"/>
      <c r="L412" s="17"/>
      <c r="M412" s="17"/>
      <c r="N412" s="17"/>
      <c r="O412" s="17"/>
    </row>
    <row r="413" spans="2:15" x14ac:dyDescent="0.2">
      <c r="B413" s="17"/>
      <c r="C413" s="17"/>
      <c r="D413" s="17"/>
      <c r="E413" s="17"/>
      <c r="F413" s="17"/>
      <c r="G413" s="17"/>
      <c r="H413" s="17"/>
      <c r="I413" s="17"/>
      <c r="J413" s="17"/>
      <c r="K413" s="17"/>
      <c r="L413" s="17"/>
      <c r="M413" s="17"/>
      <c r="N413" s="17"/>
      <c r="O413" s="17"/>
    </row>
    <row r="414" spans="2:15" x14ac:dyDescent="0.2">
      <c r="B414" s="17"/>
      <c r="C414" s="17"/>
      <c r="D414" s="17"/>
      <c r="E414" s="17"/>
      <c r="F414" s="17"/>
      <c r="G414" s="17"/>
      <c r="H414" s="17"/>
      <c r="I414" s="17"/>
      <c r="J414" s="17"/>
      <c r="K414" s="17"/>
      <c r="L414" s="17"/>
      <c r="M414" s="17"/>
      <c r="N414" s="17"/>
      <c r="O414" s="17"/>
    </row>
    <row r="415" spans="2:15" x14ac:dyDescent="0.2">
      <c r="B415" s="17"/>
      <c r="C415" s="17"/>
      <c r="D415" s="17"/>
      <c r="E415" s="17"/>
      <c r="F415" s="17"/>
      <c r="G415" s="17"/>
      <c r="H415" s="17"/>
      <c r="I415" s="17"/>
      <c r="J415" s="17"/>
      <c r="K415" s="17"/>
      <c r="L415" s="17"/>
      <c r="M415" s="17"/>
      <c r="N415" s="17"/>
      <c r="O415" s="17"/>
    </row>
    <row r="416" spans="2:15" x14ac:dyDescent="0.2">
      <c r="B416" s="17"/>
      <c r="C416" s="17"/>
      <c r="D416" s="17"/>
      <c r="E416" s="17"/>
      <c r="F416" s="17"/>
      <c r="G416" s="17"/>
      <c r="H416" s="17"/>
      <c r="I416" s="17"/>
      <c r="J416" s="17"/>
      <c r="K416" s="17"/>
      <c r="L416" s="17"/>
      <c r="M416" s="17"/>
      <c r="N416" s="17"/>
      <c r="O416" s="17"/>
    </row>
    <row r="417" spans="2:15" x14ac:dyDescent="0.2">
      <c r="B417" s="17"/>
      <c r="C417" s="17"/>
      <c r="D417" s="17"/>
      <c r="E417" s="17"/>
      <c r="F417" s="17"/>
      <c r="G417" s="17"/>
      <c r="H417" s="17"/>
      <c r="I417" s="17"/>
      <c r="J417" s="17"/>
      <c r="K417" s="17"/>
      <c r="L417" s="17"/>
      <c r="M417" s="17"/>
      <c r="N417" s="17"/>
      <c r="O417" s="17"/>
    </row>
    <row r="418" spans="2:15" x14ac:dyDescent="0.2">
      <c r="B418" s="17"/>
      <c r="C418" s="17"/>
      <c r="D418" s="17"/>
      <c r="E418" s="17"/>
      <c r="F418" s="17"/>
      <c r="G418" s="17"/>
      <c r="H418" s="17"/>
      <c r="I418" s="17"/>
      <c r="J418" s="17"/>
      <c r="K418" s="17"/>
      <c r="L418" s="17"/>
      <c r="M418" s="17"/>
      <c r="N418" s="17"/>
      <c r="O418" s="17"/>
    </row>
    <row r="419" spans="2:15" x14ac:dyDescent="0.2">
      <c r="B419" s="17"/>
      <c r="C419" s="17"/>
      <c r="D419" s="17"/>
      <c r="E419" s="17"/>
      <c r="F419" s="17"/>
      <c r="G419" s="17"/>
      <c r="H419" s="17"/>
      <c r="I419" s="17"/>
      <c r="J419" s="17"/>
      <c r="K419" s="17"/>
      <c r="L419" s="17"/>
      <c r="M419" s="17"/>
      <c r="N419" s="17"/>
      <c r="O419" s="17"/>
    </row>
    <row r="420" spans="2:15" x14ac:dyDescent="0.2">
      <c r="B420" s="17"/>
      <c r="C420" s="17"/>
      <c r="D420" s="17"/>
      <c r="E420" s="17"/>
      <c r="F420" s="17"/>
      <c r="G420" s="17"/>
      <c r="H420" s="17"/>
      <c r="I420" s="17"/>
      <c r="J420" s="17"/>
      <c r="K420" s="17"/>
      <c r="L420" s="17"/>
      <c r="M420" s="17"/>
      <c r="N420" s="17"/>
      <c r="O420" s="17"/>
    </row>
    <row r="421" spans="2:15" x14ac:dyDescent="0.2">
      <c r="B421" s="17"/>
      <c r="C421" s="17"/>
      <c r="D421" s="17"/>
      <c r="E421" s="17"/>
      <c r="F421" s="17"/>
      <c r="G421" s="17"/>
      <c r="H421" s="17"/>
      <c r="I421" s="17"/>
      <c r="J421" s="17"/>
      <c r="K421" s="17"/>
      <c r="L421" s="17"/>
      <c r="M421" s="17"/>
      <c r="N421" s="17"/>
      <c r="O421" s="17"/>
    </row>
    <row r="422" spans="2:15" x14ac:dyDescent="0.2">
      <c r="B422" s="17"/>
      <c r="C422" s="17"/>
      <c r="D422" s="17"/>
      <c r="E422" s="17"/>
      <c r="F422" s="17"/>
      <c r="G422" s="17"/>
      <c r="H422" s="17"/>
      <c r="I422" s="17"/>
      <c r="J422" s="17"/>
      <c r="K422" s="17"/>
      <c r="L422" s="17"/>
      <c r="M422" s="17"/>
      <c r="N422" s="17"/>
      <c r="O422" s="17"/>
    </row>
    <row r="423" spans="2:15" x14ac:dyDescent="0.2">
      <c r="B423" s="17"/>
      <c r="C423" s="17"/>
      <c r="D423" s="17"/>
      <c r="E423" s="17"/>
      <c r="F423" s="17"/>
      <c r="G423" s="17"/>
      <c r="H423" s="17"/>
      <c r="I423" s="17"/>
      <c r="J423" s="17"/>
      <c r="K423" s="17"/>
      <c r="L423" s="17"/>
      <c r="M423" s="17"/>
      <c r="N423" s="17"/>
      <c r="O423" s="17"/>
    </row>
    <row r="424" spans="2:15" x14ac:dyDescent="0.2">
      <c r="B424" s="17"/>
      <c r="C424" s="17"/>
      <c r="D424" s="17"/>
      <c r="E424" s="17"/>
      <c r="F424" s="17"/>
      <c r="G424" s="17"/>
      <c r="H424" s="17"/>
      <c r="I424" s="17"/>
      <c r="J424" s="17"/>
      <c r="K424" s="17"/>
      <c r="L424" s="17"/>
      <c r="M424" s="17"/>
      <c r="N424" s="17"/>
      <c r="O424" s="17"/>
    </row>
    <row r="425" spans="2:15" x14ac:dyDescent="0.2">
      <c r="B425" s="17"/>
      <c r="C425" s="17"/>
      <c r="D425" s="17"/>
      <c r="E425" s="17"/>
      <c r="F425" s="17"/>
      <c r="G425" s="17"/>
      <c r="H425" s="17"/>
      <c r="I425" s="17"/>
      <c r="J425" s="17"/>
      <c r="K425" s="17"/>
      <c r="L425" s="17"/>
      <c r="M425" s="17"/>
      <c r="N425" s="17"/>
      <c r="O425" s="17"/>
    </row>
    <row r="426" spans="2:15" x14ac:dyDescent="0.2">
      <c r="B426" s="17"/>
      <c r="C426" s="17"/>
      <c r="D426" s="17"/>
      <c r="E426" s="17"/>
      <c r="F426" s="17"/>
      <c r="G426" s="17"/>
      <c r="H426" s="17"/>
      <c r="I426" s="17"/>
      <c r="J426" s="17"/>
      <c r="K426" s="17"/>
      <c r="L426" s="17"/>
      <c r="M426" s="17"/>
      <c r="N426" s="17"/>
      <c r="O426" s="17"/>
    </row>
    <row r="427" spans="2:15" x14ac:dyDescent="0.2">
      <c r="B427" s="17"/>
      <c r="C427" s="17"/>
      <c r="D427" s="17"/>
      <c r="E427" s="17"/>
      <c r="F427" s="17"/>
      <c r="G427" s="17"/>
      <c r="H427" s="17"/>
      <c r="I427" s="17"/>
      <c r="J427" s="17"/>
      <c r="K427" s="17"/>
      <c r="L427" s="17"/>
      <c r="M427" s="17"/>
      <c r="N427" s="17"/>
      <c r="O427" s="17"/>
    </row>
    <row r="428" spans="2:15" x14ac:dyDescent="0.2">
      <c r="B428" s="17"/>
      <c r="C428" s="17"/>
      <c r="D428" s="17"/>
      <c r="E428" s="17"/>
      <c r="F428" s="17"/>
      <c r="G428" s="17"/>
      <c r="H428" s="17"/>
      <c r="I428" s="17"/>
      <c r="J428" s="17"/>
      <c r="K428" s="17"/>
      <c r="L428" s="17"/>
      <c r="M428" s="17"/>
      <c r="N428" s="17"/>
      <c r="O428" s="17"/>
    </row>
    <row r="429" spans="2:15" x14ac:dyDescent="0.2">
      <c r="B429" s="17"/>
      <c r="C429" s="17"/>
      <c r="D429" s="17"/>
      <c r="E429" s="17"/>
      <c r="F429" s="17"/>
      <c r="G429" s="17"/>
      <c r="H429" s="17"/>
      <c r="I429" s="17"/>
      <c r="J429" s="17"/>
      <c r="K429" s="17"/>
      <c r="L429" s="17"/>
      <c r="M429" s="17"/>
      <c r="N429" s="17"/>
      <c r="O429" s="17"/>
    </row>
    <row r="430" spans="2:15" x14ac:dyDescent="0.2">
      <c r="B430" s="17"/>
      <c r="C430" s="17"/>
      <c r="D430" s="17"/>
      <c r="E430" s="17"/>
      <c r="F430" s="17"/>
      <c r="G430" s="17"/>
      <c r="H430" s="17"/>
      <c r="I430" s="17"/>
      <c r="J430" s="17"/>
      <c r="K430" s="17"/>
      <c r="L430" s="17"/>
      <c r="M430" s="17"/>
      <c r="N430" s="17"/>
      <c r="O430" s="17"/>
    </row>
    <row r="431" spans="2:15" x14ac:dyDescent="0.2">
      <c r="B431" s="17"/>
      <c r="C431" s="17"/>
      <c r="D431" s="17"/>
      <c r="E431" s="17"/>
      <c r="F431" s="17"/>
      <c r="G431" s="17"/>
      <c r="H431" s="17"/>
      <c r="I431" s="17"/>
      <c r="J431" s="17"/>
      <c r="K431" s="17"/>
      <c r="L431" s="17"/>
      <c r="M431" s="17"/>
      <c r="N431" s="17"/>
      <c r="O431" s="17"/>
    </row>
    <row r="432" spans="2:15" x14ac:dyDescent="0.2">
      <c r="B432" s="17"/>
      <c r="C432" s="17"/>
      <c r="D432" s="17"/>
      <c r="E432" s="17"/>
      <c r="F432" s="17"/>
      <c r="G432" s="17"/>
      <c r="H432" s="17"/>
      <c r="I432" s="17"/>
      <c r="J432" s="17"/>
      <c r="K432" s="17"/>
      <c r="L432" s="17"/>
      <c r="M432" s="17"/>
      <c r="N432" s="17"/>
      <c r="O432" s="17"/>
    </row>
    <row r="433" spans="2:15" x14ac:dyDescent="0.2">
      <c r="B433" s="17"/>
      <c r="C433" s="17"/>
      <c r="D433" s="17"/>
      <c r="E433" s="17"/>
      <c r="F433" s="17"/>
      <c r="G433" s="17"/>
      <c r="H433" s="17"/>
      <c r="I433" s="17"/>
      <c r="J433" s="17"/>
      <c r="K433" s="17"/>
      <c r="L433" s="17"/>
      <c r="M433" s="17"/>
      <c r="N433" s="17"/>
      <c r="O433" s="17"/>
    </row>
    <row r="434" spans="2:15" x14ac:dyDescent="0.2">
      <c r="B434" s="17"/>
      <c r="C434" s="17"/>
      <c r="D434" s="17"/>
      <c r="E434" s="17"/>
      <c r="F434" s="17"/>
      <c r="G434" s="17"/>
      <c r="H434" s="17"/>
      <c r="I434" s="17"/>
      <c r="J434" s="17"/>
      <c r="K434" s="17"/>
      <c r="L434" s="17"/>
      <c r="M434" s="17"/>
      <c r="N434" s="17"/>
      <c r="O434" s="17"/>
    </row>
    <row r="435" spans="2:15" x14ac:dyDescent="0.2">
      <c r="B435" s="17"/>
      <c r="C435" s="17"/>
      <c r="D435" s="17"/>
      <c r="E435" s="17"/>
      <c r="F435" s="17"/>
      <c r="G435" s="17"/>
      <c r="H435" s="17"/>
      <c r="I435" s="17"/>
      <c r="J435" s="17"/>
      <c r="K435" s="17"/>
      <c r="L435" s="17"/>
      <c r="M435" s="17"/>
      <c r="N435" s="17"/>
      <c r="O435" s="17"/>
    </row>
    <row r="436" spans="2:15" x14ac:dyDescent="0.2">
      <c r="B436" s="17"/>
      <c r="C436" s="17"/>
      <c r="D436" s="17"/>
      <c r="E436" s="17"/>
      <c r="F436" s="17"/>
      <c r="G436" s="17"/>
      <c r="H436" s="17"/>
      <c r="I436" s="17"/>
      <c r="J436" s="17"/>
      <c r="K436" s="17"/>
      <c r="L436" s="17"/>
      <c r="M436" s="17"/>
      <c r="N436" s="17"/>
      <c r="O436" s="17"/>
    </row>
    <row r="437" spans="2:15" x14ac:dyDescent="0.2">
      <c r="B437" s="17"/>
      <c r="C437" s="17"/>
      <c r="D437" s="17"/>
      <c r="E437" s="17"/>
      <c r="F437" s="17"/>
      <c r="G437" s="17"/>
      <c r="H437" s="17"/>
      <c r="I437" s="17"/>
      <c r="J437" s="17"/>
      <c r="K437" s="17"/>
      <c r="L437" s="17"/>
      <c r="M437" s="17"/>
      <c r="N437" s="17"/>
      <c r="O437" s="17"/>
    </row>
    <row r="438" spans="2:15" x14ac:dyDescent="0.2">
      <c r="B438" s="17"/>
      <c r="C438" s="17"/>
      <c r="D438" s="17"/>
      <c r="E438" s="17"/>
      <c r="F438" s="17"/>
      <c r="G438" s="17"/>
      <c r="H438" s="17"/>
      <c r="I438" s="17"/>
      <c r="J438" s="17"/>
      <c r="K438" s="17"/>
      <c r="L438" s="17"/>
      <c r="M438" s="17"/>
      <c r="N438" s="17"/>
      <c r="O438" s="17"/>
    </row>
    <row r="439" spans="2:15" x14ac:dyDescent="0.2">
      <c r="B439" s="17"/>
      <c r="C439" s="17"/>
      <c r="D439" s="17"/>
      <c r="E439" s="17"/>
      <c r="F439" s="17"/>
      <c r="G439" s="17"/>
      <c r="H439" s="17"/>
      <c r="I439" s="17"/>
      <c r="J439" s="17"/>
      <c r="K439" s="17"/>
      <c r="L439" s="17"/>
      <c r="M439" s="17"/>
      <c r="N439" s="17"/>
      <c r="O439" s="17"/>
    </row>
    <row r="440" spans="2:15" x14ac:dyDescent="0.2">
      <c r="B440" s="17"/>
      <c r="C440" s="17"/>
      <c r="D440" s="17"/>
      <c r="E440" s="17"/>
      <c r="F440" s="17"/>
      <c r="G440" s="17"/>
      <c r="H440" s="17"/>
      <c r="I440" s="17"/>
      <c r="J440" s="17"/>
      <c r="K440" s="17"/>
      <c r="L440" s="17"/>
      <c r="M440" s="17"/>
      <c r="N440" s="17"/>
      <c r="O440" s="17"/>
    </row>
    <row r="441" spans="2:15" x14ac:dyDescent="0.2">
      <c r="B441" s="17"/>
      <c r="C441" s="17"/>
      <c r="D441" s="17"/>
      <c r="E441" s="17"/>
      <c r="F441" s="17"/>
      <c r="G441" s="17"/>
      <c r="H441" s="17"/>
      <c r="I441" s="17"/>
      <c r="J441" s="17"/>
      <c r="K441" s="17"/>
      <c r="L441" s="17"/>
      <c r="M441" s="17"/>
      <c r="N441" s="17"/>
      <c r="O441" s="17"/>
    </row>
    <row r="442" spans="2:15" x14ac:dyDescent="0.2">
      <c r="B442" s="17"/>
      <c r="C442" s="17"/>
      <c r="D442" s="17"/>
      <c r="E442" s="17"/>
      <c r="F442" s="17"/>
      <c r="G442" s="17"/>
      <c r="H442" s="17"/>
      <c r="I442" s="17"/>
      <c r="J442" s="17"/>
      <c r="K442" s="17"/>
      <c r="L442" s="17"/>
      <c r="M442" s="17"/>
      <c r="N442" s="17"/>
      <c r="O442" s="17"/>
    </row>
    <row r="443" spans="2:15" x14ac:dyDescent="0.2">
      <c r="B443" s="17"/>
      <c r="C443" s="17"/>
      <c r="D443" s="17"/>
      <c r="E443" s="17"/>
      <c r="F443" s="17"/>
      <c r="G443" s="17"/>
      <c r="H443" s="17"/>
      <c r="I443" s="17"/>
      <c r="J443" s="17"/>
      <c r="K443" s="17"/>
      <c r="L443" s="17"/>
      <c r="M443" s="17"/>
      <c r="N443" s="17"/>
      <c r="O443" s="17"/>
    </row>
    <row r="444" spans="2:15" x14ac:dyDescent="0.2">
      <c r="B444" s="17"/>
      <c r="C444" s="17"/>
      <c r="D444" s="17"/>
      <c r="E444" s="17"/>
      <c r="F444" s="17"/>
      <c r="G444" s="17"/>
      <c r="H444" s="17"/>
      <c r="I444" s="17"/>
      <c r="J444" s="17"/>
      <c r="K444" s="17"/>
      <c r="L444" s="17"/>
      <c r="M444" s="17"/>
      <c r="N444" s="17"/>
      <c r="O444" s="17"/>
    </row>
    <row r="445" spans="2:15" x14ac:dyDescent="0.2">
      <c r="B445" s="17"/>
      <c r="C445" s="17"/>
      <c r="D445" s="17"/>
      <c r="E445" s="17"/>
      <c r="F445" s="17"/>
      <c r="G445" s="17"/>
      <c r="H445" s="17"/>
      <c r="I445" s="17"/>
      <c r="J445" s="17"/>
      <c r="K445" s="17"/>
      <c r="L445" s="17"/>
      <c r="M445" s="17"/>
      <c r="N445" s="17"/>
      <c r="O445" s="17"/>
    </row>
    <row r="446" spans="2:15" x14ac:dyDescent="0.2">
      <c r="B446" s="17"/>
      <c r="C446" s="17"/>
      <c r="D446" s="17"/>
      <c r="E446" s="17"/>
      <c r="F446" s="17"/>
      <c r="G446" s="17"/>
      <c r="H446" s="17"/>
      <c r="I446" s="17"/>
      <c r="J446" s="17"/>
      <c r="K446" s="17"/>
      <c r="L446" s="17"/>
      <c r="M446" s="17"/>
      <c r="N446" s="17"/>
      <c r="O446" s="17"/>
    </row>
    <row r="447" spans="2:15" x14ac:dyDescent="0.2">
      <c r="B447" s="17"/>
      <c r="C447" s="17"/>
      <c r="D447" s="17"/>
      <c r="E447" s="17"/>
      <c r="F447" s="17"/>
      <c r="G447" s="17"/>
      <c r="H447" s="17"/>
      <c r="I447" s="17"/>
      <c r="J447" s="17"/>
      <c r="K447" s="17"/>
      <c r="L447" s="17"/>
      <c r="M447" s="17"/>
      <c r="N447" s="17"/>
      <c r="O447" s="17"/>
    </row>
    <row r="448" spans="2:15" x14ac:dyDescent="0.2">
      <c r="B448" s="17"/>
      <c r="C448" s="17"/>
      <c r="D448" s="17"/>
      <c r="E448" s="17"/>
      <c r="F448" s="17"/>
      <c r="G448" s="17"/>
      <c r="H448" s="17"/>
      <c r="I448" s="17"/>
      <c r="J448" s="17"/>
      <c r="K448" s="17"/>
      <c r="L448" s="17"/>
      <c r="M448" s="17"/>
      <c r="N448" s="17"/>
      <c r="O448" s="17"/>
    </row>
    <row r="449" spans="2:15" x14ac:dyDescent="0.2">
      <c r="B449" s="17"/>
      <c r="C449" s="17"/>
      <c r="D449" s="17"/>
      <c r="E449" s="17"/>
      <c r="F449" s="17"/>
      <c r="G449" s="17"/>
      <c r="H449" s="17"/>
      <c r="I449" s="17"/>
      <c r="J449" s="17"/>
      <c r="K449" s="17"/>
      <c r="L449" s="17"/>
      <c r="M449" s="17"/>
      <c r="N449" s="17"/>
      <c r="O449" s="17"/>
    </row>
    <row r="450" spans="2:15" x14ac:dyDescent="0.2">
      <c r="B450" s="17"/>
      <c r="C450" s="17"/>
      <c r="D450" s="17"/>
      <c r="E450" s="17"/>
      <c r="F450" s="17"/>
      <c r="G450" s="17"/>
      <c r="H450" s="17"/>
      <c r="I450" s="17"/>
      <c r="J450" s="17"/>
      <c r="K450" s="17"/>
      <c r="L450" s="17"/>
      <c r="M450" s="17"/>
      <c r="N450" s="17"/>
      <c r="O450" s="17"/>
    </row>
    <row r="451" spans="2:15" x14ac:dyDescent="0.2">
      <c r="B451" s="17"/>
      <c r="C451" s="17"/>
      <c r="D451" s="17"/>
      <c r="E451" s="17"/>
      <c r="F451" s="17"/>
      <c r="G451" s="17"/>
      <c r="H451" s="17"/>
      <c r="I451" s="17"/>
      <c r="J451" s="17"/>
      <c r="K451" s="17"/>
      <c r="L451" s="17"/>
      <c r="M451" s="17"/>
      <c r="N451" s="17"/>
      <c r="O451" s="17"/>
    </row>
    <row r="452" spans="2:15" x14ac:dyDescent="0.2">
      <c r="B452" s="17"/>
      <c r="C452" s="17"/>
      <c r="D452" s="17"/>
      <c r="E452" s="17"/>
      <c r="F452" s="17"/>
      <c r="G452" s="17"/>
      <c r="H452" s="17"/>
      <c r="I452" s="17"/>
      <c r="J452" s="17"/>
      <c r="K452" s="17"/>
      <c r="L452" s="17"/>
      <c r="M452" s="17"/>
      <c r="N452" s="17"/>
      <c r="O452" s="17"/>
    </row>
    <row r="453" spans="2:15" x14ac:dyDescent="0.2">
      <c r="B453" s="17"/>
      <c r="C453" s="17"/>
      <c r="D453" s="17"/>
      <c r="E453" s="17"/>
      <c r="F453" s="17"/>
      <c r="G453" s="17"/>
      <c r="H453" s="17"/>
      <c r="I453" s="17"/>
      <c r="J453" s="17"/>
      <c r="K453" s="17"/>
      <c r="L453" s="17"/>
      <c r="M453" s="17"/>
      <c r="N453" s="17"/>
      <c r="O453" s="17"/>
    </row>
    <row r="454" spans="2:15" x14ac:dyDescent="0.2">
      <c r="B454" s="17"/>
      <c r="C454" s="17"/>
      <c r="D454" s="17"/>
      <c r="E454" s="17"/>
      <c r="F454" s="17"/>
      <c r="G454" s="17"/>
      <c r="H454" s="17"/>
      <c r="I454" s="17"/>
      <c r="J454" s="17"/>
      <c r="K454" s="17"/>
      <c r="L454" s="17"/>
      <c r="M454" s="17"/>
      <c r="N454" s="17"/>
      <c r="O454" s="17"/>
    </row>
    <row r="455" spans="2:15" x14ac:dyDescent="0.2">
      <c r="B455" s="17"/>
      <c r="C455" s="17"/>
      <c r="D455" s="17"/>
      <c r="E455" s="17"/>
      <c r="F455" s="17"/>
      <c r="G455" s="17"/>
      <c r="H455" s="17"/>
      <c r="I455" s="17"/>
      <c r="J455" s="17"/>
      <c r="K455" s="17"/>
      <c r="L455" s="17"/>
      <c r="M455" s="17"/>
      <c r="N455" s="17"/>
      <c r="O455" s="17"/>
    </row>
    <row r="456" spans="2:15" x14ac:dyDescent="0.2">
      <c r="B456" s="17"/>
      <c r="C456" s="17"/>
      <c r="D456" s="17"/>
      <c r="E456" s="17"/>
      <c r="F456" s="17"/>
      <c r="G456" s="17"/>
      <c r="H456" s="17"/>
      <c r="I456" s="17"/>
      <c r="J456" s="17"/>
      <c r="K456" s="17"/>
      <c r="L456" s="17"/>
      <c r="M456" s="17"/>
      <c r="N456" s="17"/>
      <c r="O456" s="17"/>
    </row>
    <row r="457" spans="2:15" x14ac:dyDescent="0.2">
      <c r="B457" s="17"/>
      <c r="C457" s="17"/>
      <c r="D457" s="17"/>
      <c r="E457" s="17"/>
      <c r="F457" s="17"/>
      <c r="G457" s="17"/>
      <c r="H457" s="17"/>
      <c r="I457" s="17"/>
      <c r="J457" s="17"/>
      <c r="K457" s="17"/>
      <c r="L457" s="17"/>
      <c r="M457" s="17"/>
      <c r="N457" s="17"/>
      <c r="O457" s="17"/>
    </row>
    <row r="458" spans="2:15" x14ac:dyDescent="0.2">
      <c r="B458" s="17"/>
      <c r="C458" s="17"/>
      <c r="D458" s="17"/>
      <c r="E458" s="17"/>
      <c r="F458" s="17"/>
      <c r="G458" s="17"/>
      <c r="H458" s="17"/>
      <c r="I458" s="17"/>
      <c r="J458" s="17"/>
      <c r="K458" s="17"/>
      <c r="L458" s="17"/>
      <c r="M458" s="17"/>
      <c r="N458" s="17"/>
      <c r="O458" s="17"/>
    </row>
    <row r="459" spans="2:15" x14ac:dyDescent="0.2">
      <c r="B459" s="17"/>
      <c r="C459" s="17"/>
      <c r="D459" s="17"/>
      <c r="E459" s="17"/>
      <c r="F459" s="17"/>
      <c r="G459" s="17"/>
      <c r="H459" s="17"/>
      <c r="I459" s="17"/>
      <c r="J459" s="17"/>
      <c r="K459" s="17"/>
      <c r="L459" s="17"/>
      <c r="M459" s="17"/>
      <c r="N459" s="17"/>
      <c r="O459" s="17"/>
    </row>
    <row r="460" spans="2:15" x14ac:dyDescent="0.2">
      <c r="B460" s="17"/>
      <c r="C460" s="17"/>
      <c r="D460" s="17"/>
      <c r="E460" s="17"/>
      <c r="F460" s="17"/>
      <c r="G460" s="17"/>
      <c r="H460" s="17"/>
      <c r="I460" s="17"/>
      <c r="J460" s="17"/>
      <c r="K460" s="17"/>
      <c r="L460" s="17"/>
      <c r="M460" s="17"/>
      <c r="N460" s="17"/>
      <c r="O460" s="17"/>
    </row>
    <row r="461" spans="2:15" x14ac:dyDescent="0.2">
      <c r="B461" s="17"/>
      <c r="C461" s="17"/>
      <c r="D461" s="17"/>
      <c r="E461" s="17"/>
      <c r="F461" s="17"/>
      <c r="G461" s="17"/>
      <c r="H461" s="17"/>
      <c r="I461" s="17"/>
      <c r="J461" s="17"/>
      <c r="K461" s="17"/>
      <c r="L461" s="17"/>
      <c r="M461" s="17"/>
      <c r="N461" s="17"/>
      <c r="O461" s="17"/>
    </row>
    <row r="462" spans="2:15" x14ac:dyDescent="0.2">
      <c r="B462" s="17"/>
      <c r="C462" s="17"/>
      <c r="D462" s="17"/>
      <c r="E462" s="17"/>
      <c r="F462" s="17"/>
      <c r="G462" s="17"/>
      <c r="H462" s="17"/>
      <c r="I462" s="17"/>
      <c r="J462" s="17"/>
      <c r="K462" s="17"/>
      <c r="L462" s="17"/>
      <c r="M462" s="17"/>
      <c r="N462" s="17"/>
      <c r="O462" s="17"/>
    </row>
    <row r="463" spans="2:15" x14ac:dyDescent="0.2">
      <c r="B463" s="17"/>
      <c r="C463" s="17"/>
      <c r="D463" s="17"/>
      <c r="E463" s="17"/>
      <c r="F463" s="17"/>
      <c r="G463" s="17"/>
      <c r="H463" s="17"/>
      <c r="I463" s="17"/>
      <c r="J463" s="17"/>
      <c r="K463" s="17"/>
      <c r="L463" s="17"/>
      <c r="M463" s="17"/>
      <c r="N463" s="17"/>
      <c r="O463" s="17"/>
    </row>
    <row r="464" spans="2:15" x14ac:dyDescent="0.2">
      <c r="B464" s="17"/>
      <c r="C464" s="17"/>
      <c r="D464" s="17"/>
      <c r="E464" s="17"/>
      <c r="F464" s="17"/>
      <c r="G464" s="17"/>
      <c r="H464" s="17"/>
      <c r="I464" s="17"/>
      <c r="J464" s="17"/>
      <c r="K464" s="17"/>
      <c r="L464" s="17"/>
      <c r="M464" s="17"/>
      <c r="N464" s="17"/>
      <c r="O464" s="17"/>
    </row>
    <row r="465" spans="2:15" x14ac:dyDescent="0.2">
      <c r="B465" s="17"/>
      <c r="C465" s="17"/>
      <c r="D465" s="17"/>
      <c r="E465" s="17"/>
      <c r="F465" s="17"/>
      <c r="G465" s="17"/>
      <c r="H465" s="17"/>
      <c r="I465" s="17"/>
      <c r="J465" s="17"/>
      <c r="K465" s="17"/>
      <c r="L465" s="17"/>
      <c r="M465" s="17"/>
      <c r="N465" s="17"/>
      <c r="O465" s="17"/>
    </row>
    <row r="466" spans="2:15" x14ac:dyDescent="0.2">
      <c r="B466" s="17"/>
      <c r="C466" s="17"/>
      <c r="D466" s="17"/>
      <c r="E466" s="17"/>
      <c r="F466" s="17"/>
      <c r="G466" s="17"/>
      <c r="H466" s="17"/>
      <c r="I466" s="17"/>
      <c r="J466" s="17"/>
      <c r="K466" s="17"/>
      <c r="L466" s="17"/>
      <c r="M466" s="17"/>
      <c r="N466" s="17"/>
      <c r="O466" s="17"/>
    </row>
    <row r="467" spans="2:15" x14ac:dyDescent="0.2">
      <c r="B467" s="17"/>
      <c r="C467" s="17"/>
      <c r="D467" s="17"/>
      <c r="E467" s="17"/>
      <c r="F467" s="17"/>
      <c r="G467" s="17"/>
      <c r="H467" s="17"/>
      <c r="I467" s="17"/>
      <c r="J467" s="17"/>
      <c r="K467" s="17"/>
      <c r="L467" s="17"/>
      <c r="M467" s="17"/>
      <c r="N467" s="17"/>
      <c r="O467" s="17"/>
    </row>
    <row r="468" spans="2:15" x14ac:dyDescent="0.2">
      <c r="B468" s="17"/>
      <c r="C468" s="17"/>
      <c r="D468" s="17"/>
      <c r="E468" s="17"/>
      <c r="F468" s="17"/>
      <c r="G468" s="17"/>
      <c r="H468" s="17"/>
      <c r="I468" s="17"/>
      <c r="J468" s="17"/>
      <c r="K468" s="17"/>
      <c r="L468" s="17"/>
      <c r="M468" s="17"/>
      <c r="N468" s="17"/>
      <c r="O468" s="17"/>
    </row>
    <row r="469" spans="2:15" x14ac:dyDescent="0.2">
      <c r="B469" s="17"/>
      <c r="C469" s="17"/>
      <c r="D469" s="17"/>
      <c r="E469" s="17"/>
      <c r="F469" s="17"/>
      <c r="G469" s="17"/>
      <c r="H469" s="17"/>
      <c r="I469" s="17"/>
      <c r="J469" s="17"/>
      <c r="K469" s="17"/>
      <c r="L469" s="17"/>
      <c r="M469" s="17"/>
      <c r="N469" s="17"/>
      <c r="O469" s="17"/>
    </row>
    <row r="470" spans="2:15" x14ac:dyDescent="0.2">
      <c r="B470" s="17"/>
      <c r="C470" s="17"/>
      <c r="D470" s="17"/>
      <c r="E470" s="17"/>
      <c r="F470" s="17"/>
      <c r="G470" s="17"/>
      <c r="H470" s="17"/>
      <c r="I470" s="17"/>
      <c r="J470" s="17"/>
      <c r="K470" s="17"/>
      <c r="L470" s="17"/>
      <c r="M470" s="17"/>
      <c r="N470" s="17"/>
      <c r="O470" s="17"/>
    </row>
    <row r="471" spans="2:15" x14ac:dyDescent="0.2">
      <c r="B471" s="17"/>
      <c r="C471" s="17"/>
      <c r="D471" s="17"/>
      <c r="E471" s="17"/>
      <c r="F471" s="17"/>
      <c r="G471" s="17"/>
      <c r="H471" s="17"/>
      <c r="I471" s="17"/>
      <c r="J471" s="17"/>
      <c r="K471" s="17"/>
      <c r="L471" s="17"/>
      <c r="M471" s="17"/>
      <c r="N471" s="17"/>
      <c r="O471" s="17"/>
    </row>
    <row r="472" spans="2:15" x14ac:dyDescent="0.2">
      <c r="B472" s="17"/>
      <c r="C472" s="17"/>
      <c r="D472" s="17"/>
      <c r="E472" s="17"/>
      <c r="F472" s="17"/>
      <c r="G472" s="17"/>
      <c r="H472" s="17"/>
      <c r="I472" s="17"/>
      <c r="J472" s="17"/>
      <c r="K472" s="17"/>
      <c r="L472" s="17"/>
      <c r="M472" s="17"/>
      <c r="N472" s="17"/>
      <c r="O472" s="17"/>
    </row>
    <row r="473" spans="2:15" x14ac:dyDescent="0.2">
      <c r="B473" s="17"/>
      <c r="C473" s="17"/>
      <c r="D473" s="17"/>
      <c r="E473" s="17"/>
      <c r="F473" s="17"/>
      <c r="G473" s="17"/>
      <c r="H473" s="17"/>
      <c r="I473" s="17"/>
      <c r="J473" s="17"/>
      <c r="K473" s="17"/>
      <c r="L473" s="17"/>
      <c r="M473" s="17"/>
      <c r="N473" s="17"/>
      <c r="O473" s="17"/>
    </row>
    <row r="474" spans="2:15" x14ac:dyDescent="0.2">
      <c r="B474" s="17"/>
      <c r="C474" s="17"/>
      <c r="D474" s="17"/>
      <c r="E474" s="17"/>
      <c r="F474" s="17"/>
      <c r="G474" s="17"/>
      <c r="H474" s="17"/>
      <c r="I474" s="17"/>
      <c r="J474" s="17"/>
      <c r="K474" s="17"/>
      <c r="L474" s="17"/>
      <c r="M474" s="17"/>
      <c r="N474" s="17"/>
      <c r="O474" s="17"/>
    </row>
    <row r="475" spans="2:15" x14ac:dyDescent="0.2">
      <c r="B475" s="17"/>
      <c r="C475" s="17"/>
      <c r="D475" s="17"/>
      <c r="E475" s="17"/>
      <c r="F475" s="17"/>
      <c r="G475" s="17"/>
      <c r="H475" s="17"/>
      <c r="I475" s="17"/>
      <c r="J475" s="17"/>
      <c r="K475" s="17"/>
      <c r="L475" s="17"/>
      <c r="M475" s="17"/>
      <c r="N475" s="17"/>
      <c r="O475" s="17"/>
    </row>
    <row r="476" spans="2:15" x14ac:dyDescent="0.2">
      <c r="B476" s="17"/>
      <c r="C476" s="17"/>
      <c r="D476" s="17"/>
      <c r="E476" s="17"/>
      <c r="F476" s="17"/>
      <c r="G476" s="17"/>
      <c r="H476" s="17"/>
      <c r="I476" s="17"/>
      <c r="J476" s="17"/>
      <c r="K476" s="17"/>
      <c r="L476" s="17"/>
      <c r="M476" s="17"/>
      <c r="N476" s="17"/>
      <c r="O476" s="17"/>
    </row>
    <row r="477" spans="2:15" x14ac:dyDescent="0.2">
      <c r="B477" s="17"/>
      <c r="C477" s="17"/>
      <c r="D477" s="17"/>
      <c r="E477" s="17"/>
      <c r="F477" s="17"/>
      <c r="G477" s="17"/>
      <c r="H477" s="17"/>
      <c r="I477" s="17"/>
      <c r="J477" s="17"/>
      <c r="K477" s="17"/>
      <c r="L477" s="17"/>
      <c r="M477" s="17"/>
      <c r="N477" s="17"/>
      <c r="O477" s="17"/>
    </row>
    <row r="478" spans="2:15" x14ac:dyDescent="0.2">
      <c r="B478" s="17"/>
      <c r="C478" s="17"/>
      <c r="D478" s="17"/>
      <c r="E478" s="17"/>
      <c r="F478" s="17"/>
      <c r="G478" s="17"/>
      <c r="H478" s="17"/>
      <c r="I478" s="17"/>
      <c r="J478" s="17"/>
      <c r="K478" s="17"/>
      <c r="L478" s="17"/>
      <c r="M478" s="17"/>
      <c r="N478" s="17"/>
      <c r="O478" s="17"/>
    </row>
    <row r="479" spans="2:15" x14ac:dyDescent="0.2">
      <c r="B479" s="17"/>
      <c r="C479" s="17"/>
      <c r="D479" s="17"/>
      <c r="E479" s="17"/>
      <c r="F479" s="17"/>
      <c r="G479" s="17"/>
      <c r="H479" s="17"/>
      <c r="I479" s="17"/>
      <c r="J479" s="17"/>
      <c r="K479" s="17"/>
      <c r="L479" s="17"/>
      <c r="M479" s="17"/>
      <c r="N479" s="17"/>
      <c r="O479" s="17"/>
    </row>
    <row r="480" spans="2:15" x14ac:dyDescent="0.2">
      <c r="B480" s="17"/>
      <c r="C480" s="17"/>
      <c r="D480" s="17"/>
      <c r="E480" s="17"/>
      <c r="F480" s="17"/>
      <c r="G480" s="17"/>
      <c r="H480" s="17"/>
      <c r="I480" s="17"/>
      <c r="J480" s="17"/>
      <c r="K480" s="17"/>
      <c r="L480" s="17"/>
      <c r="M480" s="17"/>
      <c r="N480" s="17"/>
      <c r="O480" s="17"/>
    </row>
    <row r="481" spans="2:15" x14ac:dyDescent="0.2">
      <c r="B481" s="17"/>
      <c r="C481" s="17"/>
      <c r="D481" s="17"/>
      <c r="E481" s="17"/>
      <c r="F481" s="17"/>
      <c r="G481" s="17"/>
      <c r="H481" s="17"/>
      <c r="I481" s="17"/>
      <c r="J481" s="17"/>
      <c r="K481" s="17"/>
      <c r="L481" s="17"/>
      <c r="M481" s="17"/>
      <c r="N481" s="17"/>
      <c r="O481" s="17"/>
    </row>
    <row r="482" spans="2:15" x14ac:dyDescent="0.2">
      <c r="B482" s="17"/>
      <c r="C482" s="17"/>
      <c r="D482" s="17"/>
      <c r="E482" s="17"/>
      <c r="F482" s="17"/>
      <c r="G482" s="17"/>
      <c r="H482" s="17"/>
      <c r="I482" s="17"/>
      <c r="J482" s="17"/>
      <c r="K482" s="17"/>
      <c r="L482" s="17"/>
      <c r="M482" s="17"/>
      <c r="N482" s="17"/>
      <c r="O482" s="17"/>
    </row>
    <row r="483" spans="2:15" x14ac:dyDescent="0.2">
      <c r="B483" s="17"/>
      <c r="C483" s="17"/>
      <c r="D483" s="17"/>
      <c r="E483" s="17"/>
      <c r="F483" s="17"/>
      <c r="G483" s="17"/>
      <c r="H483" s="17"/>
      <c r="I483" s="17"/>
      <c r="J483" s="17"/>
      <c r="K483" s="17"/>
      <c r="L483" s="17"/>
      <c r="M483" s="17"/>
      <c r="N483" s="17"/>
      <c r="O483" s="17"/>
    </row>
    <row r="484" spans="2:15" x14ac:dyDescent="0.2">
      <c r="B484" s="17"/>
      <c r="C484" s="17"/>
      <c r="D484" s="17"/>
      <c r="E484" s="17"/>
      <c r="F484" s="17"/>
      <c r="G484" s="17"/>
      <c r="H484" s="17"/>
      <c r="I484" s="17"/>
      <c r="J484" s="17"/>
      <c r="K484" s="17"/>
      <c r="L484" s="17"/>
      <c r="M484" s="17"/>
      <c r="N484" s="17"/>
      <c r="O484" s="17"/>
    </row>
    <row r="485" spans="2:15" x14ac:dyDescent="0.2">
      <c r="B485" s="17"/>
      <c r="C485" s="17"/>
      <c r="D485" s="17"/>
      <c r="E485" s="17"/>
      <c r="F485" s="17"/>
      <c r="G485" s="17"/>
      <c r="H485" s="17"/>
      <c r="I485" s="17"/>
      <c r="J485" s="17"/>
      <c r="K485" s="17"/>
      <c r="L485" s="17"/>
      <c r="M485" s="17"/>
      <c r="N485" s="17"/>
      <c r="O485" s="17"/>
    </row>
    <row r="486" spans="2:15" x14ac:dyDescent="0.2">
      <c r="B486" s="17"/>
      <c r="C486" s="17"/>
      <c r="D486" s="17"/>
      <c r="E486" s="17"/>
      <c r="F486" s="17"/>
      <c r="G486" s="17"/>
      <c r="H486" s="17"/>
      <c r="I486" s="17"/>
      <c r="J486" s="17"/>
      <c r="K486" s="17"/>
      <c r="L486" s="17"/>
      <c r="M486" s="17"/>
      <c r="N486" s="17"/>
      <c r="O486" s="17"/>
    </row>
    <row r="487" spans="2:15" x14ac:dyDescent="0.2">
      <c r="B487" s="17"/>
      <c r="C487" s="17"/>
      <c r="D487" s="17"/>
      <c r="E487" s="17"/>
      <c r="F487" s="17"/>
      <c r="G487" s="17"/>
      <c r="H487" s="17"/>
      <c r="I487" s="17"/>
      <c r="J487" s="17"/>
      <c r="K487" s="17"/>
      <c r="L487" s="17"/>
      <c r="M487" s="17"/>
      <c r="N487" s="17"/>
      <c r="O487" s="17"/>
    </row>
    <row r="488" spans="2:15" x14ac:dyDescent="0.2">
      <c r="B488" s="17"/>
      <c r="C488" s="17"/>
      <c r="D488" s="17"/>
      <c r="E488" s="17"/>
      <c r="F488" s="17"/>
      <c r="G488" s="17"/>
      <c r="H488" s="17"/>
      <c r="I488" s="17"/>
      <c r="J488" s="17"/>
      <c r="K488" s="17"/>
      <c r="L488" s="17"/>
      <c r="M488" s="17"/>
      <c r="N488" s="17"/>
      <c r="O488" s="17"/>
    </row>
    <row r="489" spans="2:15" x14ac:dyDescent="0.2">
      <c r="B489" s="17"/>
      <c r="C489" s="17"/>
      <c r="D489" s="17"/>
      <c r="E489" s="17"/>
      <c r="F489" s="17"/>
      <c r="G489" s="17"/>
      <c r="H489" s="17"/>
      <c r="I489" s="17"/>
      <c r="J489" s="17"/>
      <c r="K489" s="17"/>
      <c r="L489" s="17"/>
      <c r="M489" s="17"/>
      <c r="N489" s="17"/>
      <c r="O489" s="17"/>
    </row>
    <row r="490" spans="2:15" x14ac:dyDescent="0.2">
      <c r="B490" s="17"/>
      <c r="C490" s="17"/>
      <c r="D490" s="17"/>
      <c r="E490" s="17"/>
      <c r="F490" s="17"/>
      <c r="G490" s="17"/>
      <c r="H490" s="17"/>
      <c r="I490" s="17"/>
      <c r="J490" s="17"/>
      <c r="K490" s="17"/>
      <c r="L490" s="17"/>
      <c r="M490" s="17"/>
      <c r="N490" s="17"/>
      <c r="O490" s="17"/>
    </row>
    <row r="491" spans="2:15" x14ac:dyDescent="0.2">
      <c r="B491" s="17"/>
      <c r="C491" s="17"/>
      <c r="D491" s="17"/>
      <c r="E491" s="17"/>
      <c r="F491" s="17"/>
      <c r="G491" s="17"/>
      <c r="H491" s="17"/>
      <c r="I491" s="17"/>
      <c r="J491" s="17"/>
      <c r="K491" s="17"/>
      <c r="L491" s="17"/>
      <c r="M491" s="17"/>
      <c r="N491" s="17"/>
      <c r="O491" s="17"/>
    </row>
    <row r="492" spans="2:15" x14ac:dyDescent="0.2">
      <c r="B492" s="17"/>
      <c r="C492" s="17"/>
      <c r="D492" s="17"/>
      <c r="E492" s="17"/>
      <c r="F492" s="17"/>
      <c r="G492" s="17"/>
      <c r="H492" s="17"/>
      <c r="I492" s="17"/>
      <c r="J492" s="17"/>
      <c r="K492" s="17"/>
      <c r="L492" s="17"/>
      <c r="M492" s="17"/>
      <c r="N492" s="17"/>
      <c r="O492" s="17"/>
    </row>
    <row r="493" spans="2:15" x14ac:dyDescent="0.2">
      <c r="B493" s="17"/>
      <c r="C493" s="17"/>
      <c r="D493" s="17"/>
      <c r="E493" s="17"/>
      <c r="F493" s="17"/>
      <c r="G493" s="17"/>
      <c r="H493" s="17"/>
      <c r="I493" s="17"/>
      <c r="J493" s="17"/>
      <c r="K493" s="17"/>
      <c r="L493" s="17"/>
      <c r="M493" s="17"/>
      <c r="N493" s="17"/>
      <c r="O493" s="17"/>
    </row>
    <row r="494" spans="2:15" x14ac:dyDescent="0.2">
      <c r="B494" s="17"/>
      <c r="C494" s="17"/>
      <c r="D494" s="17"/>
      <c r="E494" s="17"/>
      <c r="F494" s="17"/>
      <c r="G494" s="17"/>
      <c r="H494" s="17"/>
      <c r="I494" s="17"/>
      <c r="J494" s="17"/>
      <c r="K494" s="17"/>
      <c r="L494" s="17"/>
      <c r="M494" s="17"/>
      <c r="N494" s="17"/>
      <c r="O494" s="17"/>
    </row>
    <row r="495" spans="2:15" x14ac:dyDescent="0.2">
      <c r="B495" s="17"/>
      <c r="C495" s="17"/>
      <c r="D495" s="17"/>
      <c r="E495" s="17"/>
      <c r="F495" s="17"/>
      <c r="G495" s="17"/>
      <c r="H495" s="17"/>
      <c r="I495" s="17"/>
      <c r="J495" s="17"/>
      <c r="K495" s="17"/>
      <c r="L495" s="17"/>
      <c r="M495" s="17"/>
      <c r="N495" s="17"/>
      <c r="O495" s="17"/>
    </row>
    <row r="496" spans="2:15" x14ac:dyDescent="0.2">
      <c r="B496" s="17"/>
      <c r="C496" s="17"/>
      <c r="D496" s="17"/>
      <c r="E496" s="17"/>
      <c r="F496" s="17"/>
      <c r="G496" s="17"/>
      <c r="H496" s="17"/>
      <c r="I496" s="17"/>
      <c r="J496" s="17"/>
      <c r="K496" s="17"/>
      <c r="L496" s="17"/>
      <c r="M496" s="17"/>
      <c r="N496" s="17"/>
      <c r="O496" s="17"/>
    </row>
    <row r="497" spans="2:15" x14ac:dyDescent="0.2">
      <c r="B497" s="17"/>
      <c r="C497" s="17"/>
      <c r="D497" s="17"/>
      <c r="E497" s="17"/>
      <c r="F497" s="17"/>
      <c r="G497" s="17"/>
      <c r="H497" s="17"/>
      <c r="I497" s="17"/>
      <c r="J497" s="17"/>
      <c r="K497" s="17"/>
      <c r="L497" s="17"/>
      <c r="M497" s="17"/>
      <c r="N497" s="17"/>
      <c r="O497" s="17"/>
    </row>
    <row r="498" spans="2:15" x14ac:dyDescent="0.2">
      <c r="B498" s="17"/>
      <c r="C498" s="17"/>
      <c r="D498" s="17"/>
      <c r="E498" s="17"/>
      <c r="F498" s="17"/>
      <c r="G498" s="17"/>
      <c r="H498" s="17"/>
      <c r="I498" s="17"/>
      <c r="J498" s="17"/>
      <c r="K498" s="17"/>
      <c r="L498" s="17"/>
      <c r="M498" s="17"/>
      <c r="N498" s="17"/>
      <c r="O498" s="17"/>
    </row>
    <row r="499" spans="2:15" x14ac:dyDescent="0.2">
      <c r="B499" s="17"/>
      <c r="C499" s="17"/>
      <c r="D499" s="17"/>
      <c r="E499" s="17"/>
      <c r="F499" s="17"/>
      <c r="G499" s="17"/>
      <c r="H499" s="17"/>
      <c r="I499" s="17"/>
      <c r="J499" s="17"/>
      <c r="K499" s="17"/>
      <c r="L499" s="17"/>
      <c r="M499" s="17"/>
      <c r="N499" s="17"/>
      <c r="O499" s="17"/>
    </row>
    <row r="500" spans="2:15" x14ac:dyDescent="0.2">
      <c r="B500" s="17"/>
      <c r="C500" s="17"/>
      <c r="D500" s="17"/>
      <c r="E500" s="17"/>
      <c r="F500" s="17"/>
      <c r="G500" s="17"/>
      <c r="H500" s="17"/>
      <c r="I500" s="17"/>
      <c r="J500" s="17"/>
      <c r="K500" s="17"/>
      <c r="L500" s="17"/>
      <c r="M500" s="17"/>
      <c r="N500" s="17"/>
      <c r="O500" s="17"/>
    </row>
    <row r="501" spans="2:15" x14ac:dyDescent="0.2">
      <c r="B501" s="17"/>
      <c r="C501" s="17"/>
      <c r="D501" s="17"/>
      <c r="E501" s="17"/>
      <c r="F501" s="17"/>
      <c r="G501" s="17"/>
      <c r="H501" s="17"/>
      <c r="I501" s="17"/>
      <c r="J501" s="17"/>
      <c r="K501" s="17"/>
      <c r="L501" s="17"/>
      <c r="M501" s="17"/>
      <c r="N501" s="17"/>
      <c r="O501" s="17"/>
    </row>
    <row r="502" spans="2:15" x14ac:dyDescent="0.2">
      <c r="B502" s="17"/>
      <c r="C502" s="17"/>
      <c r="D502" s="17"/>
      <c r="E502" s="17"/>
      <c r="F502" s="17"/>
      <c r="G502" s="17"/>
      <c r="H502" s="17"/>
      <c r="I502" s="17"/>
      <c r="J502" s="17"/>
      <c r="K502" s="17"/>
      <c r="L502" s="17"/>
      <c r="M502" s="17"/>
      <c r="N502" s="17"/>
      <c r="O502" s="17"/>
    </row>
    <row r="503" spans="2:15" x14ac:dyDescent="0.2">
      <c r="B503" s="17"/>
      <c r="C503" s="17"/>
      <c r="D503" s="17"/>
      <c r="E503" s="17"/>
      <c r="F503" s="17"/>
      <c r="G503" s="17"/>
      <c r="H503" s="17"/>
      <c r="I503" s="17"/>
      <c r="J503" s="17"/>
      <c r="K503" s="17"/>
      <c r="L503" s="17"/>
      <c r="M503" s="17"/>
      <c r="N503" s="17"/>
      <c r="O503" s="17"/>
    </row>
    <row r="504" spans="2:15" x14ac:dyDescent="0.2">
      <c r="B504" s="17"/>
      <c r="C504" s="17"/>
      <c r="D504" s="17"/>
      <c r="E504" s="17"/>
      <c r="F504" s="17"/>
      <c r="G504" s="17"/>
      <c r="H504" s="17"/>
      <c r="I504" s="17"/>
      <c r="J504" s="17"/>
      <c r="K504" s="17"/>
      <c r="L504" s="17"/>
      <c r="M504" s="17"/>
      <c r="N504" s="17"/>
      <c r="O504" s="17"/>
    </row>
    <row r="505" spans="2:15" x14ac:dyDescent="0.2">
      <c r="B505" s="17"/>
      <c r="C505" s="17"/>
      <c r="D505" s="17"/>
      <c r="E505" s="17"/>
      <c r="F505" s="17"/>
      <c r="G505" s="17"/>
      <c r="H505" s="17"/>
      <c r="I505" s="17"/>
      <c r="J505" s="17"/>
      <c r="K505" s="17"/>
      <c r="L505" s="17"/>
      <c r="M505" s="17"/>
      <c r="N505" s="17"/>
      <c r="O505" s="17"/>
    </row>
    <row r="506" spans="2:15" x14ac:dyDescent="0.2">
      <c r="B506" s="17"/>
      <c r="C506" s="17"/>
      <c r="D506" s="17"/>
      <c r="E506" s="17"/>
      <c r="F506" s="17"/>
      <c r="G506" s="17"/>
      <c r="H506" s="17"/>
      <c r="I506" s="17"/>
      <c r="J506" s="17"/>
      <c r="K506" s="17"/>
      <c r="L506" s="17"/>
      <c r="M506" s="17"/>
      <c r="N506" s="17"/>
      <c r="O506" s="17"/>
    </row>
    <row r="507" spans="2:15" x14ac:dyDescent="0.2">
      <c r="B507" s="17"/>
      <c r="C507" s="17"/>
      <c r="D507" s="17"/>
      <c r="E507" s="17"/>
      <c r="F507" s="17"/>
      <c r="G507" s="17"/>
      <c r="H507" s="17"/>
      <c r="I507" s="17"/>
      <c r="J507" s="17"/>
      <c r="K507" s="17"/>
      <c r="L507" s="17"/>
      <c r="M507" s="17"/>
      <c r="N507" s="17"/>
      <c r="O507" s="17"/>
    </row>
    <row r="508" spans="2:15" x14ac:dyDescent="0.2">
      <c r="B508" s="17"/>
      <c r="C508" s="17"/>
      <c r="D508" s="17"/>
      <c r="E508" s="17"/>
      <c r="F508" s="17"/>
      <c r="G508" s="17"/>
      <c r="H508" s="17"/>
      <c r="I508" s="17"/>
      <c r="J508" s="17"/>
      <c r="K508" s="17"/>
      <c r="L508" s="17"/>
      <c r="M508" s="17"/>
      <c r="N508" s="17"/>
      <c r="O508" s="17"/>
    </row>
    <row r="509" spans="2:15" x14ac:dyDescent="0.2">
      <c r="B509" s="17"/>
      <c r="C509" s="17"/>
      <c r="D509" s="17"/>
      <c r="E509" s="17"/>
      <c r="F509" s="17"/>
      <c r="G509" s="17"/>
      <c r="H509" s="17"/>
      <c r="I509" s="17"/>
      <c r="J509" s="17"/>
      <c r="K509" s="17"/>
      <c r="L509" s="17"/>
      <c r="M509" s="17"/>
      <c r="N509" s="17"/>
      <c r="O509" s="17"/>
    </row>
    <row r="510" spans="2:15" x14ac:dyDescent="0.2">
      <c r="B510" s="17"/>
      <c r="C510" s="17"/>
      <c r="D510" s="17"/>
      <c r="E510" s="17"/>
      <c r="F510" s="17"/>
      <c r="G510" s="17"/>
      <c r="H510" s="17"/>
      <c r="I510" s="17"/>
      <c r="J510" s="17"/>
      <c r="K510" s="17"/>
      <c r="L510" s="17"/>
      <c r="M510" s="17"/>
      <c r="N510" s="17"/>
      <c r="O510" s="17"/>
    </row>
    <row r="511" spans="2:15" x14ac:dyDescent="0.2">
      <c r="B511" s="17"/>
      <c r="C511" s="17"/>
      <c r="D511" s="17"/>
      <c r="E511" s="17"/>
      <c r="F511" s="17"/>
      <c r="G511" s="17"/>
      <c r="H511" s="17"/>
      <c r="I511" s="17"/>
      <c r="J511" s="17"/>
      <c r="K511" s="17"/>
      <c r="L511" s="17"/>
      <c r="M511" s="17"/>
      <c r="N511" s="17"/>
      <c r="O511" s="17"/>
    </row>
  </sheetData>
  <mergeCells count="23">
    <mergeCell ref="B9:B12"/>
    <mergeCell ref="D9:M9"/>
    <mergeCell ref="D10:M10"/>
    <mergeCell ref="D11:M11"/>
    <mergeCell ref="D12:M12"/>
    <mergeCell ref="A1:N1"/>
    <mergeCell ref="A2:N2"/>
    <mergeCell ref="D4:M4"/>
    <mergeCell ref="D5:M5"/>
    <mergeCell ref="D6:M6"/>
    <mergeCell ref="D13:M13"/>
    <mergeCell ref="C31:M31"/>
    <mergeCell ref="C36:M36"/>
    <mergeCell ref="B13:B22"/>
    <mergeCell ref="D19:M19"/>
    <mergeCell ref="D20:M20"/>
    <mergeCell ref="D22:M22"/>
    <mergeCell ref="D21:L21"/>
    <mergeCell ref="D14:M14"/>
    <mergeCell ref="D15:M15"/>
    <mergeCell ref="D16:M16"/>
    <mergeCell ref="D17:M17"/>
    <mergeCell ref="D18:M18"/>
  </mergeCells>
  <pageMargins left="0.25" right="0.25" top="0.5" bottom="0.5" header="0.3" footer="0.3"/>
  <pageSetup orientation="landscape" horizontalDpi="1200" verticalDpi="1200" r:id="rId1"/>
  <headerFooter>
    <oddFooter>Page &amp;P&amp;R&amp;F</oddFooter>
  </headerFooter>
  <rowBreaks count="1" manualBreakCount="1">
    <brk id="31"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2141"/>
  <sheetViews>
    <sheetView workbookViewId="0">
      <selection activeCell="E6" sqref="E6"/>
    </sheetView>
  </sheetViews>
  <sheetFormatPr defaultRowHeight="15" x14ac:dyDescent="0.25"/>
  <cols>
    <col min="1" max="1" width="13.140625" bestFit="1" customWidth="1"/>
    <col min="2" max="2" width="24.42578125" customWidth="1"/>
    <col min="3" max="3" width="43" customWidth="1"/>
    <col min="4" max="4" width="12.140625" bestFit="1" customWidth="1"/>
    <col min="5" max="5" width="14.85546875" customWidth="1"/>
    <col min="6" max="6" width="9.85546875" customWidth="1"/>
    <col min="7" max="7" width="18.28515625" bestFit="1" customWidth="1"/>
    <col min="8" max="8" width="18" bestFit="1" customWidth="1"/>
    <col min="9" max="9" width="12.28515625" bestFit="1" customWidth="1"/>
    <col min="10" max="10" width="40.7109375" customWidth="1"/>
    <col min="11" max="11" width="16.140625" bestFit="1" customWidth="1"/>
    <col min="12" max="12" width="9.140625" customWidth="1"/>
  </cols>
  <sheetData>
    <row r="1" spans="1:13" x14ac:dyDescent="0.25">
      <c r="A1" s="200" t="s">
        <v>2227</v>
      </c>
    </row>
    <row r="2" spans="1:13" ht="45" x14ac:dyDescent="0.25">
      <c r="A2" s="377" t="s">
        <v>1260</v>
      </c>
      <c r="B2" s="377" t="s">
        <v>613</v>
      </c>
      <c r="C2" s="377" t="s">
        <v>1261</v>
      </c>
      <c r="D2" s="377" t="s">
        <v>1262</v>
      </c>
      <c r="E2" s="378" t="s">
        <v>2226</v>
      </c>
      <c r="F2" s="377" t="s">
        <v>1245</v>
      </c>
      <c r="G2" s="377" t="s">
        <v>947</v>
      </c>
      <c r="H2" s="377" t="s">
        <v>1263</v>
      </c>
      <c r="I2" s="377" t="s">
        <v>1264</v>
      </c>
      <c r="J2" s="377" t="s">
        <v>1265</v>
      </c>
      <c r="K2" s="377" t="s">
        <v>1266</v>
      </c>
    </row>
    <row r="3" spans="1:13" ht="30" x14ac:dyDescent="0.25">
      <c r="A3" s="359" t="s">
        <v>1267</v>
      </c>
      <c r="B3" s="359" t="s">
        <v>737</v>
      </c>
      <c r="C3" s="359" t="s">
        <v>1268</v>
      </c>
      <c r="D3" s="359" t="s">
        <v>1269</v>
      </c>
      <c r="E3" s="360"/>
      <c r="F3" s="359" t="s">
        <v>1270</v>
      </c>
      <c r="G3" s="361">
        <v>1.1842369976875995E-5</v>
      </c>
      <c r="H3" s="359" t="s">
        <v>1271</v>
      </c>
      <c r="I3" s="361">
        <v>1.5685258247517875E-2</v>
      </c>
      <c r="J3" s="359" t="s">
        <v>1268</v>
      </c>
      <c r="K3" s="359" t="s">
        <v>1272</v>
      </c>
      <c r="M3" t="str">
        <f t="shared" ref="M3:M4" si="0">IF(J3="",C3,J3)</f>
        <v>1,2,4-TRIMETHYLBENZENE</v>
      </c>
    </row>
    <row r="4" spans="1:13" ht="30" x14ac:dyDescent="0.25">
      <c r="A4" s="359" t="s">
        <v>1267</v>
      </c>
      <c r="B4" s="359" t="s">
        <v>737</v>
      </c>
      <c r="C4" s="359" t="s">
        <v>1273</v>
      </c>
      <c r="D4" s="359" t="s">
        <v>1274</v>
      </c>
      <c r="E4" s="360"/>
      <c r="F4" s="359" t="s">
        <v>1270</v>
      </c>
      <c r="G4" s="361">
        <v>1.1842369976875995E-5</v>
      </c>
      <c r="H4" s="359" t="s">
        <v>1275</v>
      </c>
      <c r="I4" s="361">
        <v>1.372460096657814E-2</v>
      </c>
      <c r="J4" s="359" t="s">
        <v>1273</v>
      </c>
      <c r="K4" s="359" t="s">
        <v>1272</v>
      </c>
      <c r="M4" t="str">
        <f t="shared" si="0"/>
        <v>BENZENE</v>
      </c>
    </row>
    <row r="5" spans="1:13" ht="30" x14ac:dyDescent="0.25">
      <c r="A5" s="359" t="s">
        <v>1267</v>
      </c>
      <c r="B5" s="359" t="s">
        <v>737</v>
      </c>
      <c r="C5" s="359" t="s">
        <v>1276</v>
      </c>
      <c r="D5" s="359" t="s">
        <v>490</v>
      </c>
      <c r="E5" s="361">
        <v>1488.8888888900001</v>
      </c>
      <c r="F5" s="359" t="s">
        <v>1270</v>
      </c>
      <c r="G5" s="361">
        <v>1.1842369976875995E-5</v>
      </c>
      <c r="H5" s="359" t="s">
        <v>490</v>
      </c>
      <c r="I5" s="361">
        <v>4.8306775552589578E-5</v>
      </c>
      <c r="J5" s="359" t="s">
        <v>1276</v>
      </c>
      <c r="K5" s="359" t="s">
        <v>1277</v>
      </c>
      <c r="M5" t="str">
        <f>IF(J5="",C5,J5)</f>
        <v>BOD, 5-day, 20 deg. C</v>
      </c>
    </row>
    <row r="6" spans="1:13" ht="30" x14ac:dyDescent="0.25">
      <c r="A6" s="359" t="s">
        <v>1267</v>
      </c>
      <c r="B6" s="359" t="s">
        <v>737</v>
      </c>
      <c r="C6" s="359" t="s">
        <v>1278</v>
      </c>
      <c r="D6" s="359" t="s">
        <v>1279</v>
      </c>
      <c r="E6" s="361">
        <v>6739.5842474999999</v>
      </c>
      <c r="F6" s="359" t="s">
        <v>1270</v>
      </c>
      <c r="G6" s="361">
        <v>1.1842369976875995E-5</v>
      </c>
      <c r="H6" s="359" t="s">
        <v>490</v>
      </c>
      <c r="I6" s="361">
        <v>2.1866479492937095E-4</v>
      </c>
      <c r="J6" s="359" t="s">
        <v>1278</v>
      </c>
      <c r="K6" s="359" t="s">
        <v>1277</v>
      </c>
      <c r="M6" t="str">
        <f t="shared" ref="M6:M69" si="1">IF(J6="",C6,J6)</f>
        <v>Carbon, tot organic (TOC)</v>
      </c>
    </row>
    <row r="7" spans="1:13" ht="30" x14ac:dyDescent="0.25">
      <c r="A7" s="359" t="s">
        <v>1267</v>
      </c>
      <c r="B7" s="359" t="s">
        <v>737</v>
      </c>
      <c r="C7" s="359" t="s">
        <v>1280</v>
      </c>
      <c r="D7" s="359" t="s">
        <v>1281</v>
      </c>
      <c r="E7" s="361">
        <v>0.50793650793699996</v>
      </c>
      <c r="F7" s="359" t="s">
        <v>1270</v>
      </c>
      <c r="G7" s="361">
        <v>1.1842369976875995E-5</v>
      </c>
      <c r="H7" s="359" t="s">
        <v>490</v>
      </c>
      <c r="I7" s="361">
        <v>1.647992342945853E-8</v>
      </c>
      <c r="J7" s="359" t="s">
        <v>1280</v>
      </c>
      <c r="K7" s="359" t="s">
        <v>1277</v>
      </c>
      <c r="M7" t="str">
        <f t="shared" si="1"/>
        <v>Chromium, hexavalent (as Cr)</v>
      </c>
    </row>
    <row r="8" spans="1:13" ht="30" x14ac:dyDescent="0.25">
      <c r="A8" s="359" t="s">
        <v>1267</v>
      </c>
      <c r="B8" s="359" t="s">
        <v>737</v>
      </c>
      <c r="C8" s="359" t="s">
        <v>1282</v>
      </c>
      <c r="D8" s="359" t="s">
        <v>1283</v>
      </c>
      <c r="E8" s="361">
        <v>0.816326530612</v>
      </c>
      <c r="F8" s="359" t="s">
        <v>1270</v>
      </c>
      <c r="G8" s="361">
        <v>1.1842369976875995E-5</v>
      </c>
      <c r="H8" s="359" t="s">
        <v>490</v>
      </c>
      <c r="I8" s="361">
        <v>2.6485591225881897E-8</v>
      </c>
      <c r="J8" s="359" t="s">
        <v>1282</v>
      </c>
      <c r="K8" s="359" t="s">
        <v>1277</v>
      </c>
      <c r="M8" t="str">
        <f t="shared" si="1"/>
        <v>Chromium, total (as Cr)</v>
      </c>
    </row>
    <row r="9" spans="1:13" ht="30" x14ac:dyDescent="0.25">
      <c r="A9" s="359" t="s">
        <v>1267</v>
      </c>
      <c r="B9" s="359" t="s">
        <v>737</v>
      </c>
      <c r="C9" s="359" t="s">
        <v>1284</v>
      </c>
      <c r="D9" s="359" t="s">
        <v>1285</v>
      </c>
      <c r="E9" s="360"/>
      <c r="F9" s="359" t="s">
        <v>1270</v>
      </c>
      <c r="G9" s="361">
        <v>1.1842369976875995E-5</v>
      </c>
      <c r="H9" s="359" t="s">
        <v>1286</v>
      </c>
      <c r="I9" s="361">
        <v>0</v>
      </c>
      <c r="J9" s="359" t="s">
        <v>1287</v>
      </c>
      <c r="K9" s="359" t="s">
        <v>1272</v>
      </c>
      <c r="M9" t="str">
        <f t="shared" si="1"/>
        <v>ISOPROPYLBENZENE</v>
      </c>
    </row>
    <row r="10" spans="1:13" ht="30" x14ac:dyDescent="0.25">
      <c r="A10" s="359" t="s">
        <v>1267</v>
      </c>
      <c r="B10" s="359" t="s">
        <v>737</v>
      </c>
      <c r="C10" s="359" t="s">
        <v>1288</v>
      </c>
      <c r="D10" s="359" t="s">
        <v>1289</v>
      </c>
      <c r="E10" s="360"/>
      <c r="F10" s="359" t="s">
        <v>1270</v>
      </c>
      <c r="G10" s="361">
        <v>1.1842369976875995E-5</v>
      </c>
      <c r="H10" s="359" t="s">
        <v>1290</v>
      </c>
      <c r="I10" s="361">
        <v>4.3134460180674149E-2</v>
      </c>
      <c r="J10" s="359" t="s">
        <v>1288</v>
      </c>
      <c r="K10" s="359" t="s">
        <v>1272</v>
      </c>
      <c r="M10" t="str">
        <f t="shared" si="1"/>
        <v>CYANIDE COMPOUNDS</v>
      </c>
    </row>
    <row r="11" spans="1:13" ht="30" x14ac:dyDescent="0.25">
      <c r="A11" s="359" t="s">
        <v>1267</v>
      </c>
      <c r="B11" s="359" t="s">
        <v>737</v>
      </c>
      <c r="C11" s="359" t="s">
        <v>1291</v>
      </c>
      <c r="D11" s="359" t="s">
        <v>1292</v>
      </c>
      <c r="E11" s="360"/>
      <c r="F11" s="359" t="s">
        <v>1270</v>
      </c>
      <c r="G11" s="361">
        <v>1.1842369976875995E-5</v>
      </c>
      <c r="H11" s="359" t="s">
        <v>1290</v>
      </c>
      <c r="I11" s="361">
        <v>4.3134460180674149E-2</v>
      </c>
      <c r="J11" s="359" t="s">
        <v>1291</v>
      </c>
      <c r="K11" s="359" t="s">
        <v>1272</v>
      </c>
      <c r="M11" t="str">
        <f t="shared" si="1"/>
        <v>CYCLOHEXANE</v>
      </c>
    </row>
    <row r="12" spans="1:13" ht="30" x14ac:dyDescent="0.25">
      <c r="A12" s="359" t="s">
        <v>1267</v>
      </c>
      <c r="B12" s="359" t="s">
        <v>737</v>
      </c>
      <c r="C12" s="359" t="s">
        <v>1293</v>
      </c>
      <c r="D12" s="359" t="s">
        <v>1294</v>
      </c>
      <c r="E12" s="360"/>
      <c r="F12" s="359" t="s">
        <v>1270</v>
      </c>
      <c r="G12" s="361">
        <v>1.1842369976875995E-5</v>
      </c>
      <c r="H12" s="359" t="s">
        <v>1286</v>
      </c>
      <c r="I12" s="361">
        <v>0</v>
      </c>
      <c r="J12" s="359" t="s">
        <v>1293</v>
      </c>
      <c r="K12" s="359" t="s">
        <v>1272</v>
      </c>
      <c r="M12" t="str">
        <f t="shared" si="1"/>
        <v>DIETHANOLAMINE</v>
      </c>
    </row>
    <row r="13" spans="1:13" ht="30" x14ac:dyDescent="0.25">
      <c r="A13" s="359" t="s">
        <v>1267</v>
      </c>
      <c r="B13" s="359" t="s">
        <v>737</v>
      </c>
      <c r="C13" s="359" t="s">
        <v>1295</v>
      </c>
      <c r="D13" s="359" t="s">
        <v>1296</v>
      </c>
      <c r="E13" s="360"/>
      <c r="F13" s="359" t="s">
        <v>1270</v>
      </c>
      <c r="G13" s="361">
        <v>1.1842369976875995E-5</v>
      </c>
      <c r="H13" s="359" t="s">
        <v>1286</v>
      </c>
      <c r="I13" s="361">
        <v>0</v>
      </c>
      <c r="J13" s="359" t="s">
        <v>1295</v>
      </c>
      <c r="K13" s="359" t="s">
        <v>1272</v>
      </c>
      <c r="M13" t="str">
        <f t="shared" si="1"/>
        <v>ETHYLBENZENE</v>
      </c>
    </row>
    <row r="14" spans="1:13" ht="30" x14ac:dyDescent="0.25">
      <c r="A14" s="359" t="s">
        <v>1267</v>
      </c>
      <c r="B14" s="359" t="s">
        <v>737</v>
      </c>
      <c r="C14" s="359" t="s">
        <v>1297</v>
      </c>
      <c r="D14" s="359" t="s">
        <v>1298</v>
      </c>
      <c r="E14" s="360"/>
      <c r="F14" s="359" t="s">
        <v>1270</v>
      </c>
      <c r="G14" s="361">
        <v>1.1842369976875995E-5</v>
      </c>
      <c r="H14" s="359" t="s">
        <v>1299</v>
      </c>
      <c r="I14" s="361">
        <v>1.9606572809397345E-4</v>
      </c>
      <c r="J14" s="359" t="s">
        <v>1297</v>
      </c>
      <c r="K14" s="359" t="s">
        <v>1272</v>
      </c>
      <c r="M14" t="str">
        <f t="shared" si="1"/>
        <v>LEAD AND LEAD COMPOUNDS</v>
      </c>
    </row>
    <row r="15" spans="1:13" ht="30" x14ac:dyDescent="0.25">
      <c r="A15" s="359" t="s">
        <v>1267</v>
      </c>
      <c r="B15" s="359" t="s">
        <v>737</v>
      </c>
      <c r="C15" s="359" t="s">
        <v>1300</v>
      </c>
      <c r="D15" s="359" t="s">
        <v>1301</v>
      </c>
      <c r="E15" s="360"/>
      <c r="F15" s="359" t="s">
        <v>1270</v>
      </c>
      <c r="G15" s="361">
        <v>1.1842369976875995E-5</v>
      </c>
      <c r="H15" s="359" t="s">
        <v>1302</v>
      </c>
      <c r="I15" s="361">
        <v>3.1370516495035751E-3</v>
      </c>
      <c r="J15" s="359" t="s">
        <v>1300</v>
      </c>
      <c r="K15" s="359" t="s">
        <v>1272</v>
      </c>
      <c r="M15" t="str">
        <f t="shared" si="1"/>
        <v>MERCURY AND MERCURY COMPOUNDS</v>
      </c>
    </row>
    <row r="16" spans="1:13" ht="30" x14ac:dyDescent="0.25">
      <c r="A16" s="359" t="s">
        <v>1267</v>
      </c>
      <c r="B16" s="359" t="s">
        <v>737</v>
      </c>
      <c r="C16" s="359" t="s">
        <v>1303</v>
      </c>
      <c r="D16" s="359" t="s">
        <v>1304</v>
      </c>
      <c r="E16" s="360"/>
      <c r="F16" s="359" t="s">
        <v>1270</v>
      </c>
      <c r="G16" s="361">
        <v>1.1842369976875995E-5</v>
      </c>
      <c r="H16" s="359" t="s">
        <v>1290</v>
      </c>
      <c r="I16" s="361">
        <v>4.3134460180674149E-2</v>
      </c>
      <c r="J16" s="359" t="s">
        <v>1303</v>
      </c>
      <c r="K16" s="359" t="s">
        <v>1272</v>
      </c>
      <c r="M16" t="str">
        <f t="shared" si="1"/>
        <v>NAPHTHALENE</v>
      </c>
    </row>
    <row r="17" spans="1:13" ht="30" x14ac:dyDescent="0.25">
      <c r="A17" s="359" t="s">
        <v>1267</v>
      </c>
      <c r="B17" s="359" t="s">
        <v>737</v>
      </c>
      <c r="C17" s="359" t="s">
        <v>1305</v>
      </c>
      <c r="D17" s="359" t="s">
        <v>1306</v>
      </c>
      <c r="E17" s="360"/>
      <c r="F17" s="359" t="s">
        <v>1270</v>
      </c>
      <c r="G17" s="361">
        <v>1.1842369976875995E-5</v>
      </c>
      <c r="H17" s="359" t="s">
        <v>1286</v>
      </c>
      <c r="I17" s="361">
        <v>0</v>
      </c>
      <c r="J17" s="359" t="s">
        <v>1305</v>
      </c>
      <c r="K17" s="359" t="s">
        <v>1272</v>
      </c>
      <c r="M17" t="str">
        <f t="shared" si="1"/>
        <v>N-HEXANE</v>
      </c>
    </row>
    <row r="18" spans="1:13" ht="30" x14ac:dyDescent="0.25">
      <c r="A18" s="359" t="s">
        <v>1267</v>
      </c>
      <c r="B18" s="359" t="s">
        <v>737</v>
      </c>
      <c r="C18" s="359" t="s">
        <v>1307</v>
      </c>
      <c r="D18" s="359" t="s">
        <v>1308</v>
      </c>
      <c r="E18" s="360"/>
      <c r="F18" s="359" t="s">
        <v>1270</v>
      </c>
      <c r="G18" s="361">
        <v>1.1842369976875995E-5</v>
      </c>
      <c r="H18" s="359" t="s">
        <v>1309</v>
      </c>
      <c r="I18" s="361">
        <v>422.72751305701138</v>
      </c>
      <c r="J18" s="359" t="s">
        <v>1310</v>
      </c>
      <c r="K18" s="359" t="s">
        <v>1272</v>
      </c>
      <c r="M18" t="str">
        <f t="shared" si="1"/>
        <v>NITRATE</v>
      </c>
    </row>
    <row r="19" spans="1:13" ht="30" x14ac:dyDescent="0.25">
      <c r="A19" s="359" t="s">
        <v>1267</v>
      </c>
      <c r="B19" s="359" t="s">
        <v>737</v>
      </c>
      <c r="C19" s="359" t="s">
        <v>1311</v>
      </c>
      <c r="D19" s="359" t="s">
        <v>1312</v>
      </c>
      <c r="E19" s="361">
        <v>268.66213151900001</v>
      </c>
      <c r="F19" s="359" t="s">
        <v>1270</v>
      </c>
      <c r="G19" s="361">
        <v>1.1842369976875995E-5</v>
      </c>
      <c r="H19" s="359" t="s">
        <v>490</v>
      </c>
      <c r="I19" s="361">
        <v>8.7167023567784E-6</v>
      </c>
      <c r="J19" s="359" t="s">
        <v>1313</v>
      </c>
      <c r="K19" s="359" t="s">
        <v>1277</v>
      </c>
      <c r="M19" t="str">
        <f t="shared" si="1"/>
        <v>AMMONIA</v>
      </c>
    </row>
    <row r="20" spans="1:13" ht="30" x14ac:dyDescent="0.25">
      <c r="A20" s="359" t="s">
        <v>1267</v>
      </c>
      <c r="B20" s="359" t="s">
        <v>737</v>
      </c>
      <c r="C20" s="359" t="s">
        <v>1314</v>
      </c>
      <c r="D20" s="359" t="s">
        <v>490</v>
      </c>
      <c r="E20" s="361">
        <v>0</v>
      </c>
      <c r="F20" s="359" t="s">
        <v>1270</v>
      </c>
      <c r="G20" s="361">
        <v>1.1842369976875995E-5</v>
      </c>
      <c r="H20" s="359" t="s">
        <v>490</v>
      </c>
      <c r="I20" s="361">
        <v>0</v>
      </c>
      <c r="J20" s="359" t="s">
        <v>1314</v>
      </c>
      <c r="K20" s="359" t="s">
        <v>1277</v>
      </c>
      <c r="M20" t="str">
        <f t="shared" si="1"/>
        <v>Oil and grease</v>
      </c>
    </row>
    <row r="21" spans="1:13" ht="30" x14ac:dyDescent="0.25">
      <c r="A21" s="359" t="s">
        <v>1267</v>
      </c>
      <c r="B21" s="359" t="s">
        <v>737</v>
      </c>
      <c r="C21" s="359" t="s">
        <v>1457</v>
      </c>
      <c r="D21" s="359" t="s">
        <v>490</v>
      </c>
      <c r="E21" s="361">
        <v>57158.730158699997</v>
      </c>
      <c r="F21" s="359" t="s">
        <v>1270</v>
      </c>
      <c r="G21" s="361">
        <v>1.1842369976875995E-5</v>
      </c>
      <c r="H21" s="359" t="s">
        <v>490</v>
      </c>
      <c r="I21" s="361">
        <v>1.8545063834184805E-3</v>
      </c>
      <c r="J21" s="359" t="s">
        <v>1457</v>
      </c>
      <c r="K21" s="359" t="s">
        <v>1277</v>
      </c>
      <c r="M21" t="str">
        <f t="shared" si="1"/>
        <v>Chemical Oxygen Demand (COD)</v>
      </c>
    </row>
    <row r="22" spans="1:13" ht="30" x14ac:dyDescent="0.25">
      <c r="A22" s="359" t="s">
        <v>1267</v>
      </c>
      <c r="B22" s="359" t="s">
        <v>737</v>
      </c>
      <c r="C22" s="359" t="s">
        <v>1315</v>
      </c>
      <c r="D22" s="359" t="s">
        <v>1316</v>
      </c>
      <c r="E22" s="360"/>
      <c r="F22" s="359" t="s">
        <v>1270</v>
      </c>
      <c r="G22" s="361">
        <v>1.1842369976875995E-5</v>
      </c>
      <c r="H22" s="359" t="s">
        <v>1317</v>
      </c>
      <c r="I22" s="361">
        <v>1.7645915528457606E-2</v>
      </c>
      <c r="J22" s="359" t="s">
        <v>1315</v>
      </c>
      <c r="K22" s="359" t="s">
        <v>1272</v>
      </c>
      <c r="M22" t="str">
        <f t="shared" si="1"/>
        <v>PHENOL</v>
      </c>
    </row>
    <row r="23" spans="1:13" ht="30" x14ac:dyDescent="0.25">
      <c r="A23" s="359" t="s">
        <v>1267</v>
      </c>
      <c r="B23" s="359" t="s">
        <v>737</v>
      </c>
      <c r="C23" s="359" t="s">
        <v>1318</v>
      </c>
      <c r="D23" s="359" t="s">
        <v>490</v>
      </c>
      <c r="E23" s="361">
        <v>2.6394557823100002</v>
      </c>
      <c r="F23" s="359" t="s">
        <v>1270</v>
      </c>
      <c r="G23" s="361">
        <v>1.1842369976875995E-5</v>
      </c>
      <c r="H23" s="359" t="s">
        <v>490</v>
      </c>
      <c r="I23" s="361">
        <v>8.5636744963615583E-8</v>
      </c>
      <c r="J23" s="359" t="s">
        <v>1318</v>
      </c>
      <c r="K23" s="359" t="s">
        <v>1277</v>
      </c>
      <c r="M23" t="str">
        <f t="shared" si="1"/>
        <v>Phenolics, total recoverable</v>
      </c>
    </row>
    <row r="24" spans="1:13" ht="30" x14ac:dyDescent="0.25">
      <c r="A24" s="359" t="s">
        <v>1267</v>
      </c>
      <c r="B24" s="359" t="s">
        <v>737</v>
      </c>
      <c r="C24" s="359" t="s">
        <v>1319</v>
      </c>
      <c r="D24" s="359" t="s">
        <v>1320</v>
      </c>
      <c r="E24" s="360"/>
      <c r="F24" s="359" t="s">
        <v>1270</v>
      </c>
      <c r="G24" s="361">
        <v>1.1842369976875995E-5</v>
      </c>
      <c r="H24" s="359" t="s">
        <v>1321</v>
      </c>
      <c r="I24" s="361">
        <v>4.5487248917801835E-2</v>
      </c>
      <c r="J24" s="359" t="s">
        <v>1319</v>
      </c>
      <c r="K24" s="359" t="s">
        <v>1272</v>
      </c>
      <c r="M24" t="str">
        <f t="shared" si="1"/>
        <v>POLYCYCLIC AROMATIC COMPOUNDS</v>
      </c>
    </row>
    <row r="25" spans="1:13" ht="30" x14ac:dyDescent="0.25">
      <c r="A25" s="359" t="s">
        <v>1267</v>
      </c>
      <c r="B25" s="359" t="s">
        <v>737</v>
      </c>
      <c r="C25" s="359" t="s">
        <v>1322</v>
      </c>
      <c r="D25" s="359" t="s">
        <v>490</v>
      </c>
      <c r="E25" s="361">
        <v>8972.7891156500009</v>
      </c>
      <c r="F25" s="359" t="s">
        <v>1270</v>
      </c>
      <c r="G25" s="361">
        <v>1.1842369976875995E-5</v>
      </c>
      <c r="H25" s="359" t="s">
        <v>490</v>
      </c>
      <c r="I25" s="361">
        <v>2.9112079022469391E-4</v>
      </c>
      <c r="J25" s="359" t="s">
        <v>1322</v>
      </c>
      <c r="K25" s="359" t="s">
        <v>1277</v>
      </c>
      <c r="M25" t="str">
        <f t="shared" si="1"/>
        <v>Solids, total suspended</v>
      </c>
    </row>
    <row r="26" spans="1:13" ht="30" x14ac:dyDescent="0.25">
      <c r="A26" s="359" t="s">
        <v>1267</v>
      </c>
      <c r="B26" s="359" t="s">
        <v>737</v>
      </c>
      <c r="C26" s="359" t="s">
        <v>1323</v>
      </c>
      <c r="D26" s="359" t="s">
        <v>1324</v>
      </c>
      <c r="E26" s="361">
        <v>8.1405895691599994</v>
      </c>
      <c r="F26" s="359" t="s">
        <v>1270</v>
      </c>
      <c r="G26" s="361">
        <v>1.1842369976875995E-5</v>
      </c>
      <c r="H26" s="359" t="s">
        <v>490</v>
      </c>
      <c r="I26" s="361">
        <v>2.6412020139148021E-7</v>
      </c>
      <c r="J26" s="359" t="s">
        <v>1323</v>
      </c>
      <c r="K26" s="359" t="s">
        <v>1277</v>
      </c>
      <c r="M26" t="str">
        <f t="shared" si="1"/>
        <v>Sulfide, total (as S)</v>
      </c>
    </row>
    <row r="27" spans="1:13" ht="30" x14ac:dyDescent="0.25">
      <c r="A27" s="359" t="s">
        <v>1267</v>
      </c>
      <c r="B27" s="359" t="s">
        <v>737</v>
      </c>
      <c r="C27" s="359" t="s">
        <v>1325</v>
      </c>
      <c r="D27" s="359" t="s">
        <v>1326</v>
      </c>
      <c r="E27" s="360"/>
      <c r="F27" s="359" t="s">
        <v>1270</v>
      </c>
      <c r="G27" s="361">
        <v>1.1842369976875995E-5</v>
      </c>
      <c r="H27" s="359" t="s">
        <v>1275</v>
      </c>
      <c r="I27" s="361">
        <v>1.372460096657814E-2</v>
      </c>
      <c r="J27" s="359" t="s">
        <v>1325</v>
      </c>
      <c r="K27" s="359" t="s">
        <v>1272</v>
      </c>
      <c r="M27" t="str">
        <f t="shared" si="1"/>
        <v>TOLUENE</v>
      </c>
    </row>
    <row r="28" spans="1:13" ht="30" x14ac:dyDescent="0.25">
      <c r="A28" s="359" t="s">
        <v>1267</v>
      </c>
      <c r="B28" s="359" t="s">
        <v>737</v>
      </c>
      <c r="C28" s="359" t="s">
        <v>1327</v>
      </c>
      <c r="D28" s="359" t="s">
        <v>1328</v>
      </c>
      <c r="E28" s="360"/>
      <c r="F28" s="359" t="s">
        <v>1270</v>
      </c>
      <c r="G28" s="361">
        <v>1.1842369976875995E-5</v>
      </c>
      <c r="H28" s="359" t="s">
        <v>1271</v>
      </c>
      <c r="I28" s="361">
        <v>1.5685258247517875E-2</v>
      </c>
      <c r="J28" s="359" t="s">
        <v>1329</v>
      </c>
      <c r="K28" s="359" t="s">
        <v>1272</v>
      </c>
      <c r="M28" t="str">
        <f t="shared" si="1"/>
        <v>XYLENES</v>
      </c>
    </row>
    <row r="29" spans="1:13" ht="30" x14ac:dyDescent="0.25">
      <c r="A29" s="359" t="s">
        <v>1330</v>
      </c>
      <c r="B29" s="359" t="s">
        <v>817</v>
      </c>
      <c r="C29" s="359" t="s">
        <v>1331</v>
      </c>
      <c r="D29" s="359" t="s">
        <v>1332</v>
      </c>
      <c r="E29" s="361">
        <v>73.966258503399999</v>
      </c>
      <c r="F29" s="359" t="s">
        <v>1333</v>
      </c>
      <c r="G29" s="361">
        <v>1E-4</v>
      </c>
      <c r="H29" s="359" t="s">
        <v>490</v>
      </c>
      <c r="I29" s="361">
        <v>2.026472835709589E-5</v>
      </c>
      <c r="J29" s="359" t="s">
        <v>1331</v>
      </c>
      <c r="K29" s="359" t="s">
        <v>1277</v>
      </c>
      <c r="M29" t="str">
        <f t="shared" si="1"/>
        <v>Arsenic, total (as As)</v>
      </c>
    </row>
    <row r="30" spans="1:13" ht="30" x14ac:dyDescent="0.25">
      <c r="A30" s="359" t="s">
        <v>1330</v>
      </c>
      <c r="B30" s="359" t="s">
        <v>817</v>
      </c>
      <c r="C30" s="359" t="s">
        <v>1273</v>
      </c>
      <c r="D30" s="359" t="s">
        <v>1274</v>
      </c>
      <c r="E30" s="360"/>
      <c r="F30" s="359" t="s">
        <v>1333</v>
      </c>
      <c r="G30" s="361">
        <v>1E-4</v>
      </c>
      <c r="H30" s="359" t="s">
        <v>1334</v>
      </c>
      <c r="I30" s="361">
        <v>1.8211920529801327E-2</v>
      </c>
      <c r="J30" s="359" t="s">
        <v>1273</v>
      </c>
      <c r="K30" s="359" t="s">
        <v>1272</v>
      </c>
      <c r="M30" t="str">
        <f t="shared" si="1"/>
        <v>BENZENE</v>
      </c>
    </row>
    <row r="31" spans="1:13" ht="30" x14ac:dyDescent="0.25">
      <c r="A31" s="359" t="s">
        <v>1330</v>
      </c>
      <c r="B31" s="359" t="s">
        <v>817</v>
      </c>
      <c r="C31" s="359" t="s">
        <v>1276</v>
      </c>
      <c r="D31" s="359" t="s">
        <v>490</v>
      </c>
      <c r="E31" s="361">
        <v>33968.707482999998</v>
      </c>
      <c r="F31" s="359" t="s">
        <v>1333</v>
      </c>
      <c r="G31" s="361">
        <v>1E-4</v>
      </c>
      <c r="H31" s="359" t="s">
        <v>490</v>
      </c>
      <c r="I31" s="361">
        <v>9.3064952008219178E-3</v>
      </c>
      <c r="J31" s="359" t="s">
        <v>1276</v>
      </c>
      <c r="K31" s="359" t="s">
        <v>1277</v>
      </c>
      <c r="M31" t="str">
        <f t="shared" si="1"/>
        <v>BOD, 5-day, 20 deg. C</v>
      </c>
    </row>
    <row r="32" spans="1:13" ht="30" x14ac:dyDescent="0.25">
      <c r="A32" s="359" t="s">
        <v>1330</v>
      </c>
      <c r="B32" s="359" t="s">
        <v>817</v>
      </c>
      <c r="C32" s="359" t="s">
        <v>1278</v>
      </c>
      <c r="D32" s="359" t="s">
        <v>1279</v>
      </c>
      <c r="E32" s="361">
        <v>12139.544508403402</v>
      </c>
      <c r="F32" s="359" t="s">
        <v>1333</v>
      </c>
      <c r="G32" s="361">
        <v>1E-4</v>
      </c>
      <c r="H32" s="359" t="s">
        <v>490</v>
      </c>
      <c r="I32" s="361">
        <v>3.3259026050420277E-3</v>
      </c>
      <c r="J32" s="359" t="s">
        <v>1278</v>
      </c>
      <c r="K32" s="359" t="s">
        <v>1277</v>
      </c>
      <c r="M32" t="str">
        <f t="shared" si="1"/>
        <v>Carbon, tot organic (TOC)</v>
      </c>
    </row>
    <row r="33" spans="1:13" ht="30" x14ac:dyDescent="0.25">
      <c r="A33" s="359" t="s">
        <v>1330</v>
      </c>
      <c r="B33" s="359" t="s">
        <v>817</v>
      </c>
      <c r="C33" s="359" t="s">
        <v>1295</v>
      </c>
      <c r="D33" s="359" t="s">
        <v>1296</v>
      </c>
      <c r="E33" s="360"/>
      <c r="F33" s="359" t="s">
        <v>1333</v>
      </c>
      <c r="G33" s="361">
        <v>1E-4</v>
      </c>
      <c r="H33" s="359" t="s">
        <v>1334</v>
      </c>
      <c r="I33" s="361">
        <v>1.8211920529801327E-2</v>
      </c>
      <c r="J33" s="359" t="s">
        <v>1295</v>
      </c>
      <c r="K33" s="359" t="s">
        <v>1272</v>
      </c>
      <c r="M33" t="str">
        <f t="shared" si="1"/>
        <v>ETHYLBENZENE</v>
      </c>
    </row>
    <row r="34" spans="1:13" ht="30" x14ac:dyDescent="0.25">
      <c r="A34" s="359" t="s">
        <v>1330</v>
      </c>
      <c r="B34" s="359" t="s">
        <v>817</v>
      </c>
      <c r="C34" s="359" t="s">
        <v>1297</v>
      </c>
      <c r="D34" s="359" t="s">
        <v>1298</v>
      </c>
      <c r="E34" s="360"/>
      <c r="F34" s="359" t="s">
        <v>1333</v>
      </c>
      <c r="G34" s="361">
        <v>1E-4</v>
      </c>
      <c r="H34" s="359" t="s">
        <v>1335</v>
      </c>
      <c r="I34" s="361">
        <v>3.6754966887417223E-2</v>
      </c>
      <c r="J34" s="359" t="s">
        <v>1297</v>
      </c>
      <c r="K34" s="359" t="s">
        <v>1272</v>
      </c>
      <c r="M34" t="str">
        <f t="shared" si="1"/>
        <v>LEAD AND LEAD COMPOUNDS</v>
      </c>
    </row>
    <row r="35" spans="1:13" ht="30" x14ac:dyDescent="0.25">
      <c r="A35" s="359" t="s">
        <v>1330</v>
      </c>
      <c r="B35" s="359" t="s">
        <v>817</v>
      </c>
      <c r="C35" s="359" t="s">
        <v>1300</v>
      </c>
      <c r="D35" s="359" t="s">
        <v>1301</v>
      </c>
      <c r="E35" s="360"/>
      <c r="F35" s="359" t="s">
        <v>1333</v>
      </c>
      <c r="G35" s="361">
        <v>1E-4</v>
      </c>
      <c r="H35" s="359" t="s">
        <v>1336</v>
      </c>
      <c r="I35" s="361">
        <v>1.1589403973509935E-3</v>
      </c>
      <c r="J35" s="359" t="s">
        <v>1300</v>
      </c>
      <c r="K35" s="359" t="s">
        <v>1272</v>
      </c>
      <c r="M35" t="str">
        <f t="shared" si="1"/>
        <v>MERCURY AND MERCURY COMPOUNDS</v>
      </c>
    </row>
    <row r="36" spans="1:13" ht="30" x14ac:dyDescent="0.25">
      <c r="A36" s="359" t="s">
        <v>1330</v>
      </c>
      <c r="B36" s="359" t="s">
        <v>817</v>
      </c>
      <c r="C36" s="359" t="s">
        <v>1311</v>
      </c>
      <c r="D36" s="359" t="s">
        <v>1312</v>
      </c>
      <c r="E36" s="361">
        <v>2414.9582766399999</v>
      </c>
      <c r="F36" s="359" t="s">
        <v>1333</v>
      </c>
      <c r="G36" s="361">
        <v>1E-4</v>
      </c>
      <c r="H36" s="359" t="s">
        <v>490</v>
      </c>
      <c r="I36" s="361">
        <v>6.6163240455890406E-4</v>
      </c>
      <c r="J36" s="359" t="s">
        <v>1313</v>
      </c>
      <c r="K36" s="359" t="s">
        <v>1277</v>
      </c>
      <c r="M36" t="str">
        <f t="shared" si="1"/>
        <v>AMMONIA</v>
      </c>
    </row>
    <row r="37" spans="1:13" ht="30" x14ac:dyDescent="0.25">
      <c r="A37" s="359" t="s">
        <v>1330</v>
      </c>
      <c r="B37" s="359" t="s">
        <v>817</v>
      </c>
      <c r="C37" s="359" t="s">
        <v>1337</v>
      </c>
      <c r="D37" s="359" t="s">
        <v>1338</v>
      </c>
      <c r="E37" s="360"/>
      <c r="F37" s="359" t="s">
        <v>1333</v>
      </c>
      <c r="G37" s="361">
        <v>1E-4</v>
      </c>
      <c r="H37" s="359" t="s">
        <v>1339</v>
      </c>
      <c r="I37" s="361">
        <v>7.4668874172185429E-2</v>
      </c>
      <c r="J37" s="359" t="s">
        <v>1340</v>
      </c>
      <c r="K37" s="359" t="s">
        <v>1272</v>
      </c>
      <c r="M37" t="str">
        <f t="shared" si="1"/>
        <v>N-METHYLPYRROLIDONE</v>
      </c>
    </row>
    <row r="38" spans="1:13" ht="30" x14ac:dyDescent="0.25">
      <c r="A38" s="359" t="s">
        <v>1330</v>
      </c>
      <c r="B38" s="359" t="s">
        <v>817</v>
      </c>
      <c r="C38" s="359" t="s">
        <v>1341</v>
      </c>
      <c r="D38" s="359" t="s">
        <v>490</v>
      </c>
      <c r="E38" s="361">
        <v>13363.658243384001</v>
      </c>
      <c r="F38" s="359" t="s">
        <v>1333</v>
      </c>
      <c r="G38" s="361">
        <v>1E-4</v>
      </c>
      <c r="H38" s="359" t="s">
        <v>490</v>
      </c>
      <c r="I38" s="361">
        <v>3.6612762310641099E-3</v>
      </c>
      <c r="J38" s="359" t="s">
        <v>1341</v>
      </c>
      <c r="K38" s="359" t="s">
        <v>1277</v>
      </c>
      <c r="M38" t="str">
        <f t="shared" si="1"/>
        <v>Oil &amp; grease</v>
      </c>
    </row>
    <row r="39" spans="1:13" ht="30" x14ac:dyDescent="0.25">
      <c r="A39" s="359" t="s">
        <v>1330</v>
      </c>
      <c r="B39" s="359" t="s">
        <v>817</v>
      </c>
      <c r="C39" s="359" t="s">
        <v>1457</v>
      </c>
      <c r="D39" s="359" t="s">
        <v>490</v>
      </c>
      <c r="E39" s="361">
        <v>72272.108843499998</v>
      </c>
      <c r="F39" s="359" t="s">
        <v>1333</v>
      </c>
      <c r="G39" s="361">
        <v>1E-4</v>
      </c>
      <c r="H39" s="359" t="s">
        <v>490</v>
      </c>
      <c r="I39" s="361">
        <v>1.9800577765342466E-2</v>
      </c>
      <c r="J39" s="359" t="s">
        <v>1457</v>
      </c>
      <c r="K39" s="359" t="s">
        <v>1277</v>
      </c>
      <c r="M39" t="str">
        <f t="shared" si="1"/>
        <v>Chemical Oxygen Demand (COD)</v>
      </c>
    </row>
    <row r="40" spans="1:13" ht="30" x14ac:dyDescent="0.25">
      <c r="A40" s="359" t="s">
        <v>1330</v>
      </c>
      <c r="B40" s="359" t="s">
        <v>817</v>
      </c>
      <c r="C40" s="359" t="s">
        <v>1322</v>
      </c>
      <c r="D40" s="359" t="s">
        <v>490</v>
      </c>
      <c r="E40" s="361">
        <v>78061.853625789998</v>
      </c>
      <c r="F40" s="359" t="s">
        <v>1333</v>
      </c>
      <c r="G40" s="361">
        <v>1E-4</v>
      </c>
      <c r="H40" s="359" t="s">
        <v>490</v>
      </c>
      <c r="I40" s="361">
        <v>2.1386809212545203E-2</v>
      </c>
      <c r="J40" s="359" t="s">
        <v>1322</v>
      </c>
      <c r="K40" s="359" t="s">
        <v>1277</v>
      </c>
      <c r="M40" t="str">
        <f t="shared" si="1"/>
        <v>Solids, total suspended</v>
      </c>
    </row>
    <row r="41" spans="1:13" ht="30" x14ac:dyDescent="0.25">
      <c r="A41" s="359" t="s">
        <v>1330</v>
      </c>
      <c r="B41" s="359" t="s">
        <v>817</v>
      </c>
      <c r="C41" s="359" t="s">
        <v>1323</v>
      </c>
      <c r="D41" s="359" t="s">
        <v>1324</v>
      </c>
      <c r="E41" s="361">
        <v>29.4739229025</v>
      </c>
      <c r="F41" s="359" t="s">
        <v>1333</v>
      </c>
      <c r="G41" s="361">
        <v>1E-4</v>
      </c>
      <c r="H41" s="359" t="s">
        <v>490</v>
      </c>
      <c r="I41" s="361">
        <v>8.0750473705479459E-6</v>
      </c>
      <c r="J41" s="359" t="s">
        <v>1323</v>
      </c>
      <c r="K41" s="359" t="s">
        <v>1277</v>
      </c>
      <c r="M41" t="str">
        <f t="shared" si="1"/>
        <v>Sulfide, total (as S)</v>
      </c>
    </row>
    <row r="42" spans="1:13" ht="30" x14ac:dyDescent="0.25">
      <c r="A42" s="359" t="s">
        <v>1330</v>
      </c>
      <c r="B42" s="359" t="s">
        <v>817</v>
      </c>
      <c r="C42" s="359" t="s">
        <v>1325</v>
      </c>
      <c r="D42" s="359" t="s">
        <v>1326</v>
      </c>
      <c r="E42" s="360"/>
      <c r="F42" s="359" t="s">
        <v>1333</v>
      </c>
      <c r="G42" s="361">
        <v>1E-4</v>
      </c>
      <c r="H42" s="359" t="s">
        <v>1334</v>
      </c>
      <c r="I42" s="361">
        <v>1.8211920529801327E-2</v>
      </c>
      <c r="J42" s="359" t="s">
        <v>1325</v>
      </c>
      <c r="K42" s="359" t="s">
        <v>1272</v>
      </c>
      <c r="M42" t="str">
        <f t="shared" si="1"/>
        <v>TOLUENE</v>
      </c>
    </row>
    <row r="43" spans="1:13" ht="30" x14ac:dyDescent="0.25">
      <c r="A43" s="359" t="s">
        <v>1330</v>
      </c>
      <c r="B43" s="359" t="s">
        <v>817</v>
      </c>
      <c r="C43" s="359" t="s">
        <v>1342</v>
      </c>
      <c r="D43" s="359" t="s">
        <v>1343</v>
      </c>
      <c r="E43" s="360"/>
      <c r="F43" s="359" t="s">
        <v>1333</v>
      </c>
      <c r="G43" s="361">
        <v>1E-4</v>
      </c>
      <c r="H43" s="359" t="s">
        <v>1344</v>
      </c>
      <c r="I43" s="361">
        <v>0.67251655629139073</v>
      </c>
      <c r="J43" s="359" t="s">
        <v>1342</v>
      </c>
      <c r="K43" s="359" t="s">
        <v>1272</v>
      </c>
      <c r="M43" t="str">
        <f t="shared" si="1"/>
        <v>ZINC AND ZINC COMPOUNDS</v>
      </c>
    </row>
    <row r="44" spans="1:13" x14ac:dyDescent="0.25">
      <c r="A44" s="359" t="s">
        <v>1345</v>
      </c>
      <c r="B44" s="359" t="s">
        <v>851</v>
      </c>
      <c r="C44" s="359" t="s">
        <v>1268</v>
      </c>
      <c r="D44" s="359" t="s">
        <v>1269</v>
      </c>
      <c r="E44" s="360"/>
      <c r="F44" s="359" t="s">
        <v>1346</v>
      </c>
      <c r="G44" s="361">
        <v>1.7619956695755924E-6</v>
      </c>
      <c r="H44" s="359" t="s">
        <v>1286</v>
      </c>
      <c r="I44" s="361">
        <v>0</v>
      </c>
      <c r="J44" s="359" t="s">
        <v>1268</v>
      </c>
      <c r="K44" s="359" t="s">
        <v>1272</v>
      </c>
      <c r="M44" t="str">
        <f t="shared" si="1"/>
        <v>1,2,4-TRIMETHYLBENZENE</v>
      </c>
    </row>
    <row r="45" spans="1:13" x14ac:dyDescent="0.25">
      <c r="A45" s="359" t="s">
        <v>1345</v>
      </c>
      <c r="B45" s="359" t="s">
        <v>851</v>
      </c>
      <c r="C45" s="359" t="s">
        <v>1347</v>
      </c>
      <c r="D45" s="359" t="s">
        <v>1348</v>
      </c>
      <c r="E45" s="360"/>
      <c r="F45" s="359" t="s">
        <v>1346</v>
      </c>
      <c r="G45" s="361">
        <v>1.7619956695755924E-6</v>
      </c>
      <c r="H45" s="359" t="s">
        <v>1286</v>
      </c>
      <c r="I45" s="361">
        <v>0</v>
      </c>
      <c r="J45" s="359" t="s">
        <v>1347</v>
      </c>
      <c r="K45" s="359" t="s">
        <v>1272</v>
      </c>
      <c r="M45" t="str">
        <f t="shared" si="1"/>
        <v>1,3-BUTADIENE</v>
      </c>
    </row>
    <row r="46" spans="1:13" x14ac:dyDescent="0.25">
      <c r="A46" s="359" t="s">
        <v>1345</v>
      </c>
      <c r="B46" s="359" t="s">
        <v>851</v>
      </c>
      <c r="C46" s="359" t="s">
        <v>1349</v>
      </c>
      <c r="D46" s="359" t="s">
        <v>1350</v>
      </c>
      <c r="E46" s="360"/>
      <c r="F46" s="359" t="s">
        <v>1346</v>
      </c>
      <c r="G46" s="361">
        <v>1.7619956695755924E-6</v>
      </c>
      <c r="H46" s="359" t="s">
        <v>1286</v>
      </c>
      <c r="I46" s="361">
        <v>0</v>
      </c>
      <c r="J46" s="359" t="s">
        <v>1349</v>
      </c>
      <c r="K46" s="359" t="s">
        <v>1272</v>
      </c>
      <c r="M46" t="str">
        <f t="shared" si="1"/>
        <v>ANTHRACENE</v>
      </c>
    </row>
    <row r="47" spans="1:13" x14ac:dyDescent="0.25">
      <c r="A47" s="359" t="s">
        <v>1345</v>
      </c>
      <c r="B47" s="359" t="s">
        <v>851</v>
      </c>
      <c r="C47" s="359" t="s">
        <v>1273</v>
      </c>
      <c r="D47" s="359" t="s">
        <v>1274</v>
      </c>
      <c r="E47" s="360"/>
      <c r="F47" s="359" t="s">
        <v>1346</v>
      </c>
      <c r="G47" s="361">
        <v>1.7619956695755924E-6</v>
      </c>
      <c r="H47" s="359" t="s">
        <v>1351</v>
      </c>
      <c r="I47" s="361">
        <v>3.7923747855103805E-3</v>
      </c>
      <c r="J47" s="359" t="s">
        <v>1273</v>
      </c>
      <c r="K47" s="359" t="s">
        <v>1272</v>
      </c>
      <c r="M47" t="str">
        <f t="shared" si="1"/>
        <v>BENZENE</v>
      </c>
    </row>
    <row r="48" spans="1:13" x14ac:dyDescent="0.25">
      <c r="A48" s="359" t="s">
        <v>1345</v>
      </c>
      <c r="B48" s="359" t="s">
        <v>851</v>
      </c>
      <c r="C48" s="359" t="s">
        <v>1352</v>
      </c>
      <c r="D48" s="359" t="s">
        <v>1353</v>
      </c>
      <c r="E48" s="360"/>
      <c r="F48" s="359" t="s">
        <v>1346</v>
      </c>
      <c r="G48" s="361">
        <v>1.7619956695755924E-6</v>
      </c>
      <c r="H48" s="359" t="s">
        <v>1286</v>
      </c>
      <c r="I48" s="361">
        <v>0</v>
      </c>
      <c r="J48" s="359" t="s">
        <v>1352</v>
      </c>
      <c r="K48" s="359" t="s">
        <v>1272</v>
      </c>
      <c r="M48" t="str">
        <f t="shared" si="1"/>
        <v>BENZO(G,H,I)PERYLENE</v>
      </c>
    </row>
    <row r="49" spans="1:13" x14ac:dyDescent="0.25">
      <c r="A49" s="359" t="s">
        <v>1345</v>
      </c>
      <c r="B49" s="359" t="s">
        <v>851</v>
      </c>
      <c r="C49" s="359" t="s">
        <v>1354</v>
      </c>
      <c r="D49" s="359" t="s">
        <v>490</v>
      </c>
      <c r="E49" s="361">
        <v>398560.54421800002</v>
      </c>
      <c r="F49" s="359" t="s">
        <v>1346</v>
      </c>
      <c r="G49" s="361">
        <v>1.7619956695755924E-6</v>
      </c>
      <c r="H49" s="359" t="s">
        <v>490</v>
      </c>
      <c r="I49" s="361">
        <v>1.9240053506186505E-3</v>
      </c>
      <c r="J49" s="359" t="s">
        <v>1354</v>
      </c>
      <c r="K49" s="359" t="s">
        <v>1277</v>
      </c>
      <c r="M49" t="str">
        <f t="shared" si="1"/>
        <v>BOD, carbonaceous, 05 day, 20 C</v>
      </c>
    </row>
    <row r="50" spans="1:13" x14ac:dyDescent="0.25">
      <c r="A50" s="359" t="s">
        <v>1345</v>
      </c>
      <c r="B50" s="359" t="s">
        <v>851</v>
      </c>
      <c r="C50" s="359" t="s">
        <v>1355</v>
      </c>
      <c r="D50" s="359" t="s">
        <v>1356</v>
      </c>
      <c r="E50" s="360"/>
      <c r="F50" s="359" t="s">
        <v>1346</v>
      </c>
      <c r="G50" s="361">
        <v>1.7619956695755924E-6</v>
      </c>
      <c r="H50" s="359" t="s">
        <v>1286</v>
      </c>
      <c r="I50" s="361">
        <v>0</v>
      </c>
      <c r="J50" s="359" t="s">
        <v>1355</v>
      </c>
      <c r="K50" s="359" t="s">
        <v>1272</v>
      </c>
      <c r="M50" t="str">
        <f t="shared" si="1"/>
        <v>CARBON DISULFIDE</v>
      </c>
    </row>
    <row r="51" spans="1:13" x14ac:dyDescent="0.25">
      <c r="A51" s="359" t="s">
        <v>1345</v>
      </c>
      <c r="B51" s="359" t="s">
        <v>851</v>
      </c>
      <c r="C51" s="359" t="s">
        <v>1278</v>
      </c>
      <c r="D51" s="359" t="s">
        <v>1279</v>
      </c>
      <c r="E51" s="361">
        <v>589956.00907000003</v>
      </c>
      <c r="F51" s="359" t="s">
        <v>1346</v>
      </c>
      <c r="G51" s="361">
        <v>1.7619956695755924E-6</v>
      </c>
      <c r="H51" s="359" t="s">
        <v>490</v>
      </c>
      <c r="I51" s="361">
        <v>2.8479450225244902E-3</v>
      </c>
      <c r="J51" s="359" t="s">
        <v>1278</v>
      </c>
      <c r="K51" s="359" t="s">
        <v>1277</v>
      </c>
      <c r="M51" t="str">
        <f t="shared" si="1"/>
        <v>Carbon, tot organic (TOC)</v>
      </c>
    </row>
    <row r="52" spans="1:13" x14ac:dyDescent="0.25">
      <c r="A52" s="359" t="s">
        <v>1345</v>
      </c>
      <c r="B52" s="359" t="s">
        <v>851</v>
      </c>
      <c r="C52" s="359" t="s">
        <v>1357</v>
      </c>
      <c r="D52" s="359" t="s">
        <v>1358</v>
      </c>
      <c r="E52" s="360"/>
      <c r="F52" s="359" t="s">
        <v>1346</v>
      </c>
      <c r="G52" s="361">
        <v>1.7619956695755924E-6</v>
      </c>
      <c r="H52" s="359" t="s">
        <v>1286</v>
      </c>
      <c r="I52" s="361">
        <v>0</v>
      </c>
      <c r="J52" s="359" t="s">
        <v>1357</v>
      </c>
      <c r="K52" s="359" t="s">
        <v>1272</v>
      </c>
      <c r="M52" t="str">
        <f t="shared" si="1"/>
        <v>CARBONYL SULFIDE</v>
      </c>
    </row>
    <row r="53" spans="1:13" x14ac:dyDescent="0.25">
      <c r="A53" s="359" t="s">
        <v>1345</v>
      </c>
      <c r="B53" s="359" t="s">
        <v>851</v>
      </c>
      <c r="C53" s="359" t="s">
        <v>1280</v>
      </c>
      <c r="D53" s="359" t="s">
        <v>1281</v>
      </c>
      <c r="E53" s="361">
        <v>0</v>
      </c>
      <c r="F53" s="359" t="s">
        <v>1346</v>
      </c>
      <c r="G53" s="361">
        <v>1.7619956695755924E-6</v>
      </c>
      <c r="H53" s="359" t="s">
        <v>490</v>
      </c>
      <c r="I53" s="361">
        <v>0</v>
      </c>
      <c r="J53" s="359" t="s">
        <v>1280</v>
      </c>
      <c r="K53" s="359" t="s">
        <v>1277</v>
      </c>
      <c r="M53" t="str">
        <f t="shared" si="1"/>
        <v>Chromium, hexavalent (as Cr)</v>
      </c>
    </row>
    <row r="54" spans="1:13" x14ac:dyDescent="0.25">
      <c r="A54" s="359" t="s">
        <v>1345</v>
      </c>
      <c r="B54" s="359" t="s">
        <v>851</v>
      </c>
      <c r="C54" s="359" t="s">
        <v>1282</v>
      </c>
      <c r="D54" s="359" t="s">
        <v>1283</v>
      </c>
      <c r="E54" s="361">
        <v>101.587301587</v>
      </c>
      <c r="F54" s="359" t="s">
        <v>1346</v>
      </c>
      <c r="G54" s="361">
        <v>1.7619956695755924E-6</v>
      </c>
      <c r="H54" s="359" t="s">
        <v>490</v>
      </c>
      <c r="I54" s="361">
        <v>4.9040105611003754E-7</v>
      </c>
      <c r="J54" s="359" t="s">
        <v>1282</v>
      </c>
      <c r="K54" s="359" t="s">
        <v>1277</v>
      </c>
      <c r="M54" t="str">
        <f t="shared" si="1"/>
        <v>Chromium, total (as Cr)</v>
      </c>
    </row>
    <row r="55" spans="1:13" x14ac:dyDescent="0.25">
      <c r="A55" s="359" t="s">
        <v>1345</v>
      </c>
      <c r="B55" s="359" t="s">
        <v>851</v>
      </c>
      <c r="C55" s="359" t="s">
        <v>1284</v>
      </c>
      <c r="D55" s="359" t="s">
        <v>1285</v>
      </c>
      <c r="E55" s="360"/>
      <c r="F55" s="359" t="s">
        <v>1346</v>
      </c>
      <c r="G55" s="361">
        <v>1.7619956695755924E-6</v>
      </c>
      <c r="H55" s="359" t="s">
        <v>1270</v>
      </c>
      <c r="I55" s="361">
        <v>5.8344227469390476E-4</v>
      </c>
      <c r="J55" s="359" t="s">
        <v>1287</v>
      </c>
      <c r="K55" s="359" t="s">
        <v>1272</v>
      </c>
      <c r="M55" t="str">
        <f t="shared" si="1"/>
        <v>ISOPROPYLBENZENE</v>
      </c>
    </row>
    <row r="56" spans="1:13" x14ac:dyDescent="0.25">
      <c r="A56" s="359" t="s">
        <v>1345</v>
      </c>
      <c r="B56" s="359" t="s">
        <v>851</v>
      </c>
      <c r="C56" s="359" t="s">
        <v>1288</v>
      </c>
      <c r="D56" s="359" t="s">
        <v>1289</v>
      </c>
      <c r="E56" s="360"/>
      <c r="F56" s="359" t="s">
        <v>1346</v>
      </c>
      <c r="G56" s="361">
        <v>1.7619956695755924E-6</v>
      </c>
      <c r="H56" s="359" t="s">
        <v>1359</v>
      </c>
      <c r="I56" s="361">
        <v>7.1763399787350288E-2</v>
      </c>
      <c r="J56" s="359" t="s">
        <v>1288</v>
      </c>
      <c r="K56" s="359" t="s">
        <v>1272</v>
      </c>
      <c r="M56" t="str">
        <f t="shared" si="1"/>
        <v>CYANIDE COMPOUNDS</v>
      </c>
    </row>
    <row r="57" spans="1:13" x14ac:dyDescent="0.25">
      <c r="A57" s="359" t="s">
        <v>1345</v>
      </c>
      <c r="B57" s="359" t="s">
        <v>851</v>
      </c>
      <c r="C57" s="359" t="s">
        <v>1291</v>
      </c>
      <c r="D57" s="359" t="s">
        <v>1292</v>
      </c>
      <c r="E57" s="360"/>
      <c r="F57" s="359" t="s">
        <v>1346</v>
      </c>
      <c r="G57" s="361">
        <v>1.7619956695755924E-6</v>
      </c>
      <c r="H57" s="359" t="s">
        <v>1286</v>
      </c>
      <c r="I57" s="361">
        <v>0</v>
      </c>
      <c r="J57" s="359" t="s">
        <v>1291</v>
      </c>
      <c r="K57" s="359" t="s">
        <v>1272</v>
      </c>
      <c r="M57" t="str">
        <f t="shared" si="1"/>
        <v>CYCLOHEXANE</v>
      </c>
    </row>
    <row r="58" spans="1:13" x14ac:dyDescent="0.25">
      <c r="A58" s="359" t="s">
        <v>1345</v>
      </c>
      <c r="B58" s="359" t="s">
        <v>851</v>
      </c>
      <c r="C58" s="359" t="s">
        <v>1360</v>
      </c>
      <c r="D58" s="359" t="s">
        <v>1361</v>
      </c>
      <c r="E58" s="360"/>
      <c r="F58" s="359" t="s">
        <v>1346</v>
      </c>
      <c r="G58" s="361">
        <v>1.7619956695755924E-6</v>
      </c>
      <c r="H58" s="359" t="s">
        <v>1286</v>
      </c>
      <c r="I58" s="361">
        <v>0</v>
      </c>
      <c r="J58" s="359" t="s">
        <v>1360</v>
      </c>
      <c r="K58" s="359" t="s">
        <v>1272</v>
      </c>
      <c r="M58" t="str">
        <f t="shared" si="1"/>
        <v>DICYCLOPENTADIENE</v>
      </c>
    </row>
    <row r="59" spans="1:13" x14ac:dyDescent="0.25">
      <c r="A59" s="359" t="s">
        <v>1345</v>
      </c>
      <c r="B59" s="359" t="s">
        <v>851</v>
      </c>
      <c r="C59" s="359" t="s">
        <v>1362</v>
      </c>
      <c r="D59" s="359" t="s">
        <v>1363</v>
      </c>
      <c r="E59" s="360"/>
      <c r="F59" s="359" t="s">
        <v>1346</v>
      </c>
      <c r="G59" s="361">
        <v>1.7619956695755924E-6</v>
      </c>
      <c r="H59" s="359" t="s">
        <v>1286</v>
      </c>
      <c r="I59" s="361">
        <v>0</v>
      </c>
      <c r="J59" s="359" t="s">
        <v>1362</v>
      </c>
      <c r="K59" s="359" t="s">
        <v>1272</v>
      </c>
      <c r="M59" t="str">
        <f t="shared" si="1"/>
        <v>DIOXIN AND DIOXIN-LIKE COMPOUNDS</v>
      </c>
    </row>
    <row r="60" spans="1:13" x14ac:dyDescent="0.25">
      <c r="A60" s="359" t="s">
        <v>1345</v>
      </c>
      <c r="B60" s="359" t="s">
        <v>851</v>
      </c>
      <c r="C60" s="359" t="s">
        <v>1295</v>
      </c>
      <c r="D60" s="359" t="s">
        <v>1296</v>
      </c>
      <c r="E60" s="360"/>
      <c r="F60" s="359" t="s">
        <v>1346</v>
      </c>
      <c r="G60" s="361">
        <v>1.7619956695755924E-6</v>
      </c>
      <c r="H60" s="359" t="s">
        <v>1364</v>
      </c>
      <c r="I60" s="361">
        <v>9.6267975324494277E-3</v>
      </c>
      <c r="J60" s="359" t="s">
        <v>1295</v>
      </c>
      <c r="K60" s="359" t="s">
        <v>1272</v>
      </c>
      <c r="M60" t="str">
        <f t="shared" si="1"/>
        <v>ETHYLBENZENE</v>
      </c>
    </row>
    <row r="61" spans="1:13" x14ac:dyDescent="0.25">
      <c r="A61" s="359" t="s">
        <v>1345</v>
      </c>
      <c r="B61" s="359" t="s">
        <v>851</v>
      </c>
      <c r="C61" s="359" t="s">
        <v>1365</v>
      </c>
      <c r="D61" s="359" t="s">
        <v>1366</v>
      </c>
      <c r="E61" s="360"/>
      <c r="F61" s="359" t="s">
        <v>1346</v>
      </c>
      <c r="G61" s="361">
        <v>1.7619956695755924E-6</v>
      </c>
      <c r="H61" s="359" t="s">
        <v>1286</v>
      </c>
      <c r="I61" s="361">
        <v>0</v>
      </c>
      <c r="J61" s="359" t="s">
        <v>1028</v>
      </c>
      <c r="K61" s="359" t="s">
        <v>1272</v>
      </c>
      <c r="M61" t="str">
        <f t="shared" si="1"/>
        <v>ETHENE</v>
      </c>
    </row>
    <row r="62" spans="1:13" x14ac:dyDescent="0.25">
      <c r="A62" s="359" t="s">
        <v>1345</v>
      </c>
      <c r="B62" s="359" t="s">
        <v>851</v>
      </c>
      <c r="C62" s="359" t="s">
        <v>1367</v>
      </c>
      <c r="D62" s="359" t="s">
        <v>1368</v>
      </c>
      <c r="E62" s="360"/>
      <c r="F62" s="359" t="s">
        <v>1346</v>
      </c>
      <c r="G62" s="361">
        <v>1.7619956695755924E-6</v>
      </c>
      <c r="H62" s="359" t="s">
        <v>1286</v>
      </c>
      <c r="I62" s="361">
        <v>0</v>
      </c>
      <c r="J62" s="359" t="s">
        <v>1367</v>
      </c>
      <c r="K62" s="359" t="s">
        <v>1272</v>
      </c>
      <c r="M62" t="str">
        <f t="shared" si="1"/>
        <v>ETHYLENE GLYCOL</v>
      </c>
    </row>
    <row r="63" spans="1:13" x14ac:dyDescent="0.25">
      <c r="A63" s="359" t="s">
        <v>1345</v>
      </c>
      <c r="B63" s="359" t="s">
        <v>851</v>
      </c>
      <c r="C63" s="359" t="s">
        <v>1369</v>
      </c>
      <c r="D63" s="359" t="s">
        <v>1370</v>
      </c>
      <c r="E63" s="360"/>
      <c r="F63" s="359" t="s">
        <v>1346</v>
      </c>
      <c r="G63" s="361">
        <v>1.7619956695755924E-6</v>
      </c>
      <c r="H63" s="359" t="s">
        <v>1286</v>
      </c>
      <c r="I63" s="361">
        <v>0</v>
      </c>
      <c r="J63" s="359" t="s">
        <v>1369</v>
      </c>
      <c r="K63" s="359" t="s">
        <v>1272</v>
      </c>
      <c r="M63" t="str">
        <f t="shared" si="1"/>
        <v>FORMALDEHYDE</v>
      </c>
    </row>
    <row r="64" spans="1:13" x14ac:dyDescent="0.25">
      <c r="A64" s="359" t="s">
        <v>1345</v>
      </c>
      <c r="B64" s="359" t="s">
        <v>851</v>
      </c>
      <c r="C64" s="359" t="s">
        <v>1371</v>
      </c>
      <c r="D64" s="359" t="s">
        <v>1372</v>
      </c>
      <c r="E64" s="360"/>
      <c r="F64" s="359" t="s">
        <v>1346</v>
      </c>
      <c r="G64" s="361">
        <v>1.7619956695755924E-6</v>
      </c>
      <c r="H64" s="359" t="s">
        <v>1286</v>
      </c>
      <c r="I64" s="361">
        <v>0</v>
      </c>
      <c r="J64" s="359" t="s">
        <v>1371</v>
      </c>
      <c r="K64" s="359" t="s">
        <v>1272</v>
      </c>
      <c r="M64" t="str">
        <f t="shared" si="1"/>
        <v>HYDROGEN CYANIDE</v>
      </c>
    </row>
    <row r="65" spans="1:13" x14ac:dyDescent="0.25">
      <c r="A65" s="359" t="s">
        <v>1345</v>
      </c>
      <c r="B65" s="359" t="s">
        <v>851</v>
      </c>
      <c r="C65" s="359" t="s">
        <v>1297</v>
      </c>
      <c r="D65" s="359" t="s">
        <v>1298</v>
      </c>
      <c r="E65" s="360"/>
      <c r="F65" s="359" t="s">
        <v>1346</v>
      </c>
      <c r="G65" s="361">
        <v>1.7619956695755924E-6</v>
      </c>
      <c r="H65" s="359" t="s">
        <v>1373</v>
      </c>
      <c r="I65" s="361">
        <v>3.5881699893675144E-2</v>
      </c>
      <c r="J65" s="359" t="s">
        <v>1297</v>
      </c>
      <c r="K65" s="359" t="s">
        <v>1272</v>
      </c>
      <c r="M65" t="str">
        <f t="shared" si="1"/>
        <v>LEAD AND LEAD COMPOUNDS</v>
      </c>
    </row>
    <row r="66" spans="1:13" x14ac:dyDescent="0.25">
      <c r="A66" s="359" t="s">
        <v>1345</v>
      </c>
      <c r="B66" s="359" t="s">
        <v>851</v>
      </c>
      <c r="C66" s="359" t="s">
        <v>1300</v>
      </c>
      <c r="D66" s="359" t="s">
        <v>1301</v>
      </c>
      <c r="E66" s="360"/>
      <c r="F66" s="359" t="s">
        <v>1346</v>
      </c>
      <c r="G66" s="361">
        <v>1.7619956695755924E-6</v>
      </c>
      <c r="H66" s="359" t="s">
        <v>1374</v>
      </c>
      <c r="I66" s="361">
        <v>1.4294335730000664E-2</v>
      </c>
      <c r="J66" s="359" t="s">
        <v>1300</v>
      </c>
      <c r="K66" s="359" t="s">
        <v>1272</v>
      </c>
      <c r="M66" t="str">
        <f t="shared" si="1"/>
        <v>MERCURY AND MERCURY COMPOUNDS</v>
      </c>
    </row>
    <row r="67" spans="1:13" x14ac:dyDescent="0.25">
      <c r="A67" s="359" t="s">
        <v>1345</v>
      </c>
      <c r="B67" s="359" t="s">
        <v>851</v>
      </c>
      <c r="C67" s="359" t="s">
        <v>1375</v>
      </c>
      <c r="D67" s="359" t="s">
        <v>1376</v>
      </c>
      <c r="E67" s="360"/>
      <c r="F67" s="359" t="s">
        <v>1346</v>
      </c>
      <c r="G67" s="361">
        <v>1.7619956695755924E-6</v>
      </c>
      <c r="H67" s="359" t="s">
        <v>1377</v>
      </c>
      <c r="I67" s="361">
        <v>1.5776279107723183</v>
      </c>
      <c r="J67" s="359" t="s">
        <v>1375</v>
      </c>
      <c r="K67" s="359" t="s">
        <v>1272</v>
      </c>
      <c r="M67" t="str">
        <f t="shared" si="1"/>
        <v>METHANOL</v>
      </c>
    </row>
    <row r="68" spans="1:13" x14ac:dyDescent="0.25">
      <c r="A68" s="359" t="s">
        <v>1345</v>
      </c>
      <c r="B68" s="359" t="s">
        <v>851</v>
      </c>
      <c r="C68" s="359" t="s">
        <v>1378</v>
      </c>
      <c r="D68" s="359" t="s">
        <v>1379</v>
      </c>
      <c r="E68" s="360"/>
      <c r="F68" s="359" t="s">
        <v>1346</v>
      </c>
      <c r="G68" s="361">
        <v>1.7619956695755924E-6</v>
      </c>
      <c r="H68" s="359" t="s">
        <v>1380</v>
      </c>
      <c r="I68" s="361">
        <v>2.2170806438368381E-2</v>
      </c>
      <c r="J68" s="359" t="s">
        <v>1378</v>
      </c>
      <c r="K68" s="359" t="s">
        <v>1272</v>
      </c>
      <c r="M68" t="str">
        <f t="shared" si="1"/>
        <v>METHYL ISOBUTYL KETONE</v>
      </c>
    </row>
    <row r="69" spans="1:13" x14ac:dyDescent="0.25">
      <c r="A69" s="359" t="s">
        <v>1345</v>
      </c>
      <c r="B69" s="359" t="s">
        <v>851</v>
      </c>
      <c r="C69" s="359" t="s">
        <v>1381</v>
      </c>
      <c r="D69" s="359" t="s">
        <v>1382</v>
      </c>
      <c r="E69" s="360"/>
      <c r="F69" s="359" t="s">
        <v>1346</v>
      </c>
      <c r="G69" s="361">
        <v>1.7619956695755924E-6</v>
      </c>
      <c r="H69" s="359" t="s">
        <v>1286</v>
      </c>
      <c r="I69" s="361">
        <v>0</v>
      </c>
      <c r="J69" s="359" t="s">
        <v>1381</v>
      </c>
      <c r="K69" s="359" t="s">
        <v>1272</v>
      </c>
      <c r="M69" t="str">
        <f t="shared" si="1"/>
        <v>MOLYBDENUM TRIOXIDE</v>
      </c>
    </row>
    <row r="70" spans="1:13" x14ac:dyDescent="0.25">
      <c r="A70" s="359" t="s">
        <v>1345</v>
      </c>
      <c r="B70" s="359" t="s">
        <v>851</v>
      </c>
      <c r="C70" s="359" t="s">
        <v>1303</v>
      </c>
      <c r="D70" s="359" t="s">
        <v>1304</v>
      </c>
      <c r="E70" s="360"/>
      <c r="F70" s="359" t="s">
        <v>1346</v>
      </c>
      <c r="G70" s="361">
        <v>1.7619956695755924E-6</v>
      </c>
      <c r="H70" s="359" t="s">
        <v>1383</v>
      </c>
      <c r="I70" s="361">
        <v>5.5427016095920953E-3</v>
      </c>
      <c r="J70" s="359" t="s">
        <v>1303</v>
      </c>
      <c r="K70" s="359" t="s">
        <v>1272</v>
      </c>
      <c r="M70" t="str">
        <f t="shared" ref="M70:M133" si="2">IF(J70="",C70,J70)</f>
        <v>NAPHTHALENE</v>
      </c>
    </row>
    <row r="71" spans="1:13" x14ac:dyDescent="0.25">
      <c r="A71" s="359" t="s">
        <v>1345</v>
      </c>
      <c r="B71" s="359" t="s">
        <v>851</v>
      </c>
      <c r="C71" s="359" t="s">
        <v>1305</v>
      </c>
      <c r="D71" s="359" t="s">
        <v>1306</v>
      </c>
      <c r="E71" s="360"/>
      <c r="F71" s="359" t="s">
        <v>1346</v>
      </c>
      <c r="G71" s="361">
        <v>1.7619956695755924E-6</v>
      </c>
      <c r="H71" s="359" t="s">
        <v>1286</v>
      </c>
      <c r="I71" s="361">
        <v>0</v>
      </c>
      <c r="J71" s="359" t="s">
        <v>1305</v>
      </c>
      <c r="K71" s="359" t="s">
        <v>1272</v>
      </c>
      <c r="M71" t="str">
        <f t="shared" si="2"/>
        <v>N-HEXANE</v>
      </c>
    </row>
    <row r="72" spans="1:13" x14ac:dyDescent="0.25">
      <c r="A72" s="359" t="s">
        <v>1345</v>
      </c>
      <c r="B72" s="359" t="s">
        <v>851</v>
      </c>
      <c r="C72" s="359" t="s">
        <v>1384</v>
      </c>
      <c r="D72" s="359" t="s">
        <v>1385</v>
      </c>
      <c r="E72" s="360"/>
      <c r="F72" s="359" t="s">
        <v>1346</v>
      </c>
      <c r="G72" s="361">
        <v>1.7619956695755924E-6</v>
      </c>
      <c r="H72" s="359" t="s">
        <v>1386</v>
      </c>
      <c r="I72" s="361">
        <v>0.35823355666205753</v>
      </c>
      <c r="J72" s="359" t="s">
        <v>1384</v>
      </c>
      <c r="K72" s="359" t="s">
        <v>1272</v>
      </c>
      <c r="M72" t="str">
        <f t="shared" si="2"/>
        <v>NICKEL AND NICKEL COMPOUNDS</v>
      </c>
    </row>
    <row r="73" spans="1:13" x14ac:dyDescent="0.25">
      <c r="A73" s="359" t="s">
        <v>1345</v>
      </c>
      <c r="B73" s="359" t="s">
        <v>851</v>
      </c>
      <c r="C73" s="359" t="s">
        <v>1311</v>
      </c>
      <c r="D73" s="359" t="s">
        <v>1312</v>
      </c>
      <c r="E73" s="361">
        <v>154307.48299300001</v>
      </c>
      <c r="F73" s="359" t="s">
        <v>1346</v>
      </c>
      <c r="G73" s="361">
        <v>1.7619956695755924E-6</v>
      </c>
      <c r="H73" s="359" t="s">
        <v>490</v>
      </c>
      <c r="I73" s="361">
        <v>7.4490168990897377E-4</v>
      </c>
      <c r="J73" s="359" t="s">
        <v>1313</v>
      </c>
      <c r="K73" s="359" t="s">
        <v>1277</v>
      </c>
      <c r="M73" t="str">
        <f t="shared" si="2"/>
        <v>AMMONIA</v>
      </c>
    </row>
    <row r="74" spans="1:13" x14ac:dyDescent="0.25">
      <c r="A74" s="359" t="s">
        <v>1345</v>
      </c>
      <c r="B74" s="359" t="s">
        <v>851</v>
      </c>
      <c r="C74" s="359" t="s">
        <v>1387</v>
      </c>
      <c r="D74" s="359" t="s">
        <v>1308</v>
      </c>
      <c r="E74" s="361">
        <v>0</v>
      </c>
      <c r="F74" s="359" t="s">
        <v>1346</v>
      </c>
      <c r="G74" s="361">
        <v>1.7619956695755924E-6</v>
      </c>
      <c r="H74" s="359" t="s">
        <v>490</v>
      </c>
      <c r="I74" s="361">
        <v>0</v>
      </c>
      <c r="J74" s="359" t="s">
        <v>1310</v>
      </c>
      <c r="K74" s="359" t="s">
        <v>1277</v>
      </c>
      <c r="M74" t="str">
        <f t="shared" si="2"/>
        <v>NITRATE</v>
      </c>
    </row>
    <row r="75" spans="1:13" x14ac:dyDescent="0.25">
      <c r="A75" s="359" t="s">
        <v>1345</v>
      </c>
      <c r="B75" s="359" t="s">
        <v>851</v>
      </c>
      <c r="C75" s="359" t="s">
        <v>1341</v>
      </c>
      <c r="D75" s="359" t="s">
        <v>490</v>
      </c>
      <c r="E75" s="361">
        <v>2741.4965986399998</v>
      </c>
      <c r="F75" s="359" t="s">
        <v>1346</v>
      </c>
      <c r="G75" s="361">
        <v>1.7619956695755924E-6</v>
      </c>
      <c r="H75" s="359" t="s">
        <v>490</v>
      </c>
      <c r="I75" s="361">
        <v>1.3234260643725741E-5</v>
      </c>
      <c r="J75" s="359" t="s">
        <v>1341</v>
      </c>
      <c r="K75" s="359" t="s">
        <v>1277</v>
      </c>
      <c r="M75" t="str">
        <f t="shared" si="2"/>
        <v>Oil &amp; grease</v>
      </c>
    </row>
    <row r="76" spans="1:13" x14ac:dyDescent="0.25">
      <c r="A76" s="359" t="s">
        <v>1345</v>
      </c>
      <c r="B76" s="359" t="s">
        <v>851</v>
      </c>
      <c r="C76" s="359" t="s">
        <v>1388</v>
      </c>
      <c r="D76" s="359" t="s">
        <v>1389</v>
      </c>
      <c r="E76" s="360"/>
      <c r="F76" s="359" t="s">
        <v>1346</v>
      </c>
      <c r="G76" s="361">
        <v>1.7619956695755924E-6</v>
      </c>
      <c r="H76" s="359" t="s">
        <v>1286</v>
      </c>
      <c r="I76" s="361">
        <v>0</v>
      </c>
      <c r="J76" s="359" t="s">
        <v>1388</v>
      </c>
      <c r="K76" s="359" t="s">
        <v>1272</v>
      </c>
      <c r="M76" t="str">
        <f t="shared" si="2"/>
        <v>PHENANTHRENE</v>
      </c>
    </row>
    <row r="77" spans="1:13" x14ac:dyDescent="0.25">
      <c r="A77" s="359" t="s">
        <v>1345</v>
      </c>
      <c r="B77" s="359" t="s">
        <v>851</v>
      </c>
      <c r="C77" s="359" t="s">
        <v>1315</v>
      </c>
      <c r="D77" s="359" t="s">
        <v>1316</v>
      </c>
      <c r="E77" s="360"/>
      <c r="F77" s="359" t="s">
        <v>1346</v>
      </c>
      <c r="G77" s="361">
        <v>1.7619956695755924E-6</v>
      </c>
      <c r="H77" s="359" t="s">
        <v>1390</v>
      </c>
      <c r="I77" s="361">
        <v>9.0433552577555226E-2</v>
      </c>
      <c r="J77" s="359" t="s">
        <v>1315</v>
      </c>
      <c r="K77" s="359" t="s">
        <v>1272</v>
      </c>
      <c r="M77" t="str">
        <f t="shared" si="2"/>
        <v>PHENOL</v>
      </c>
    </row>
    <row r="78" spans="1:13" x14ac:dyDescent="0.25">
      <c r="A78" s="359" t="s">
        <v>1345</v>
      </c>
      <c r="B78" s="359" t="s">
        <v>851</v>
      </c>
      <c r="C78" s="359" t="s">
        <v>1391</v>
      </c>
      <c r="D78" s="359" t="s">
        <v>490</v>
      </c>
      <c r="E78" s="361">
        <v>320.68027210899999</v>
      </c>
      <c r="F78" s="359" t="s">
        <v>1346</v>
      </c>
      <c r="G78" s="361">
        <v>1.7619956695755924E-6</v>
      </c>
      <c r="H78" s="359" t="s">
        <v>490</v>
      </c>
      <c r="I78" s="361">
        <v>1.5480472623955633E-6</v>
      </c>
      <c r="J78" s="359" t="s">
        <v>1391</v>
      </c>
      <c r="K78" s="359" t="s">
        <v>1277</v>
      </c>
      <c r="M78" t="str">
        <f t="shared" si="2"/>
        <v>Phenolic compounds, total</v>
      </c>
    </row>
    <row r="79" spans="1:13" x14ac:dyDescent="0.25">
      <c r="A79" s="359" t="s">
        <v>1345</v>
      </c>
      <c r="B79" s="359" t="s">
        <v>851</v>
      </c>
      <c r="C79" s="359" t="s">
        <v>1319</v>
      </c>
      <c r="D79" s="359" t="s">
        <v>1320</v>
      </c>
      <c r="E79" s="360"/>
      <c r="F79" s="359" t="s">
        <v>1346</v>
      </c>
      <c r="G79" s="361">
        <v>1.7619956695755924E-6</v>
      </c>
      <c r="H79" s="359" t="s">
        <v>1286</v>
      </c>
      <c r="I79" s="361">
        <v>0</v>
      </c>
      <c r="J79" s="359" t="s">
        <v>1319</v>
      </c>
      <c r="K79" s="359" t="s">
        <v>1272</v>
      </c>
      <c r="M79" t="str">
        <f t="shared" si="2"/>
        <v>POLYCYCLIC AROMATIC COMPOUNDS</v>
      </c>
    </row>
    <row r="80" spans="1:13" x14ac:dyDescent="0.25">
      <c r="A80" s="359" t="s">
        <v>1345</v>
      </c>
      <c r="B80" s="359" t="s">
        <v>851</v>
      </c>
      <c r="C80" s="359" t="s">
        <v>1322</v>
      </c>
      <c r="D80" s="359" t="s">
        <v>490</v>
      </c>
      <c r="E80" s="361">
        <v>2145169.1609999998</v>
      </c>
      <c r="F80" s="359" t="s">
        <v>1346</v>
      </c>
      <c r="G80" s="361">
        <v>1.7619956695755924E-6</v>
      </c>
      <c r="H80" s="359" t="s">
        <v>490</v>
      </c>
      <c r="I80" s="361">
        <v>1.0355558279970156E-2</v>
      </c>
      <c r="J80" s="359" t="s">
        <v>1322</v>
      </c>
      <c r="K80" s="359" t="s">
        <v>1277</v>
      </c>
      <c r="M80" t="str">
        <f t="shared" si="2"/>
        <v>Solids, total suspended</v>
      </c>
    </row>
    <row r="81" spans="1:13" x14ac:dyDescent="0.25">
      <c r="A81" s="359" t="s">
        <v>1345</v>
      </c>
      <c r="B81" s="359" t="s">
        <v>851</v>
      </c>
      <c r="C81" s="359" t="s">
        <v>1392</v>
      </c>
      <c r="D81" s="359" t="s">
        <v>1393</v>
      </c>
      <c r="E81" s="360"/>
      <c r="F81" s="359" t="s">
        <v>1346</v>
      </c>
      <c r="G81" s="361">
        <v>1.7619956695755924E-6</v>
      </c>
      <c r="H81" s="359" t="s">
        <v>1286</v>
      </c>
      <c r="I81" s="361">
        <v>0</v>
      </c>
      <c r="J81" s="359" t="s">
        <v>1392</v>
      </c>
      <c r="K81" s="359" t="s">
        <v>1272</v>
      </c>
      <c r="M81" t="str">
        <f t="shared" si="2"/>
        <v>STYRENE</v>
      </c>
    </row>
    <row r="82" spans="1:13" x14ac:dyDescent="0.25">
      <c r="A82" s="359" t="s">
        <v>1345</v>
      </c>
      <c r="B82" s="359" t="s">
        <v>851</v>
      </c>
      <c r="C82" s="359" t="s">
        <v>1323</v>
      </c>
      <c r="D82" s="359" t="s">
        <v>1324</v>
      </c>
      <c r="E82" s="361">
        <v>0</v>
      </c>
      <c r="F82" s="359" t="s">
        <v>1346</v>
      </c>
      <c r="G82" s="361">
        <v>1.7619956695755924E-6</v>
      </c>
      <c r="H82" s="359" t="s">
        <v>490</v>
      </c>
      <c r="I82" s="361">
        <v>0</v>
      </c>
      <c r="J82" s="359" t="s">
        <v>1323</v>
      </c>
      <c r="K82" s="359" t="s">
        <v>1277</v>
      </c>
      <c r="M82" t="str">
        <f t="shared" si="2"/>
        <v>Sulfide, total (as S)</v>
      </c>
    </row>
    <row r="83" spans="1:13" x14ac:dyDescent="0.25">
      <c r="A83" s="359" t="s">
        <v>1345</v>
      </c>
      <c r="B83" s="359" t="s">
        <v>851</v>
      </c>
      <c r="C83" s="359" t="s">
        <v>1394</v>
      </c>
      <c r="D83" s="359" t="s">
        <v>1395</v>
      </c>
      <c r="E83" s="360"/>
      <c r="F83" s="359" t="s">
        <v>1346</v>
      </c>
      <c r="G83" s="361">
        <v>1.7619956695755924E-6</v>
      </c>
      <c r="H83" s="359" t="s">
        <v>1286</v>
      </c>
      <c r="I83" s="361">
        <v>0</v>
      </c>
      <c r="J83" s="359" t="s">
        <v>1394</v>
      </c>
      <c r="K83" s="359" t="s">
        <v>1272</v>
      </c>
      <c r="M83" t="str">
        <f t="shared" si="2"/>
        <v>TERT-BUTYL ALCOHOL</v>
      </c>
    </row>
    <row r="84" spans="1:13" x14ac:dyDescent="0.25">
      <c r="A84" s="359" t="s">
        <v>1345</v>
      </c>
      <c r="B84" s="359" t="s">
        <v>851</v>
      </c>
      <c r="C84" s="359" t="s">
        <v>1396</v>
      </c>
      <c r="D84" s="359" t="s">
        <v>1397</v>
      </c>
      <c r="E84" s="360"/>
      <c r="F84" s="359" t="s">
        <v>1346</v>
      </c>
      <c r="G84" s="361">
        <v>1.7619956695755924E-6</v>
      </c>
      <c r="H84" s="359" t="s">
        <v>1286</v>
      </c>
      <c r="I84" s="361">
        <v>0</v>
      </c>
      <c r="J84" s="359" t="s">
        <v>1398</v>
      </c>
      <c r="K84" s="359" t="s">
        <v>1272</v>
      </c>
      <c r="M84" t="str">
        <f t="shared" si="2"/>
        <v>PERCHLOROETHYLENE</v>
      </c>
    </row>
    <row r="85" spans="1:13" x14ac:dyDescent="0.25">
      <c r="A85" s="359" t="s">
        <v>1345</v>
      </c>
      <c r="B85" s="359" t="s">
        <v>851</v>
      </c>
      <c r="C85" s="359" t="s">
        <v>1325</v>
      </c>
      <c r="D85" s="359" t="s">
        <v>1326</v>
      </c>
      <c r="E85" s="360"/>
      <c r="F85" s="359" t="s">
        <v>1346</v>
      </c>
      <c r="G85" s="361">
        <v>1.7619956695755924E-6</v>
      </c>
      <c r="H85" s="359" t="s">
        <v>1399</v>
      </c>
      <c r="I85" s="361">
        <v>2.8005229185307429E-2</v>
      </c>
      <c r="J85" s="359" t="s">
        <v>1325</v>
      </c>
      <c r="K85" s="359" t="s">
        <v>1272</v>
      </c>
      <c r="M85" t="str">
        <f t="shared" si="2"/>
        <v>TOLUENE</v>
      </c>
    </row>
    <row r="86" spans="1:13" x14ac:dyDescent="0.25">
      <c r="A86" s="359" t="s">
        <v>1345</v>
      </c>
      <c r="B86" s="359" t="s">
        <v>851</v>
      </c>
      <c r="C86" s="359" t="s">
        <v>1400</v>
      </c>
      <c r="D86" s="359" t="s">
        <v>1401</v>
      </c>
      <c r="E86" s="360"/>
      <c r="F86" s="359" t="s">
        <v>1346</v>
      </c>
      <c r="G86" s="361">
        <v>1.7619956695755924E-6</v>
      </c>
      <c r="H86" s="359" t="s">
        <v>1286</v>
      </c>
      <c r="I86" s="361">
        <v>0</v>
      </c>
      <c r="J86" s="359" t="s">
        <v>1400</v>
      </c>
      <c r="K86" s="359" t="s">
        <v>1272</v>
      </c>
      <c r="M86" t="str">
        <f t="shared" si="2"/>
        <v>TRICHLOROETHYLENE</v>
      </c>
    </row>
    <row r="87" spans="1:13" x14ac:dyDescent="0.25">
      <c r="A87" s="359" t="s">
        <v>1345</v>
      </c>
      <c r="B87" s="359" t="s">
        <v>851</v>
      </c>
      <c r="C87" s="359" t="s">
        <v>1327</v>
      </c>
      <c r="D87" s="359" t="s">
        <v>1328</v>
      </c>
      <c r="E87" s="360"/>
      <c r="F87" s="359" t="s">
        <v>1346</v>
      </c>
      <c r="G87" s="361">
        <v>1.7619956695755924E-6</v>
      </c>
      <c r="H87" s="359" t="s">
        <v>1402</v>
      </c>
      <c r="I87" s="361">
        <v>2.7713508047960474E-2</v>
      </c>
      <c r="J87" s="359" t="s">
        <v>1329</v>
      </c>
      <c r="K87" s="359" t="s">
        <v>1272</v>
      </c>
      <c r="M87" t="str">
        <f t="shared" si="2"/>
        <v>XYLENES</v>
      </c>
    </row>
    <row r="88" spans="1:13" x14ac:dyDescent="0.25">
      <c r="A88" s="359" t="s">
        <v>1345</v>
      </c>
      <c r="B88" s="359" t="s">
        <v>851</v>
      </c>
      <c r="C88" s="359" t="s">
        <v>1342</v>
      </c>
      <c r="D88" s="359" t="s">
        <v>1343</v>
      </c>
      <c r="E88" s="360"/>
      <c r="F88" s="359" t="s">
        <v>1346</v>
      </c>
      <c r="G88" s="361">
        <v>1.7619956695755924E-6</v>
      </c>
      <c r="H88" s="359" t="s">
        <v>1403</v>
      </c>
      <c r="I88" s="361">
        <v>0.84540785603146795</v>
      </c>
      <c r="J88" s="359" t="s">
        <v>1342</v>
      </c>
      <c r="K88" s="359" t="s">
        <v>1272</v>
      </c>
      <c r="M88" t="str">
        <f t="shared" si="2"/>
        <v>ZINC AND ZINC COMPOUNDS</v>
      </c>
    </row>
    <row r="89" spans="1:13" x14ac:dyDescent="0.25">
      <c r="A89" s="359" t="s">
        <v>1404</v>
      </c>
      <c r="B89" s="359" t="s">
        <v>857</v>
      </c>
      <c r="C89" s="359" t="s">
        <v>1268</v>
      </c>
      <c r="D89" s="359" t="s">
        <v>1269</v>
      </c>
      <c r="E89" s="360"/>
      <c r="F89" s="359" t="s">
        <v>1270</v>
      </c>
      <c r="G89" s="361">
        <v>1.4108551039958852E-5</v>
      </c>
      <c r="H89" s="359" t="s">
        <v>1405</v>
      </c>
      <c r="I89" s="361">
        <v>4.6768445185770887E-3</v>
      </c>
      <c r="J89" s="359" t="s">
        <v>1268</v>
      </c>
      <c r="K89" s="359" t="s">
        <v>1272</v>
      </c>
      <c r="M89" t="str">
        <f t="shared" si="2"/>
        <v>1,2,4-TRIMETHYLBENZENE</v>
      </c>
    </row>
    <row r="90" spans="1:13" x14ac:dyDescent="0.25">
      <c r="A90" s="359" t="s">
        <v>1404</v>
      </c>
      <c r="B90" s="359" t="s">
        <v>857</v>
      </c>
      <c r="C90" s="359" t="s">
        <v>1273</v>
      </c>
      <c r="D90" s="359" t="s">
        <v>1274</v>
      </c>
      <c r="E90" s="360"/>
      <c r="F90" s="359" t="s">
        <v>1270</v>
      </c>
      <c r="G90" s="361">
        <v>1.4108551039958852E-5</v>
      </c>
      <c r="H90" s="359" t="s">
        <v>1405</v>
      </c>
      <c r="I90" s="361">
        <v>4.6768445185770887E-3</v>
      </c>
      <c r="J90" s="359" t="s">
        <v>1273</v>
      </c>
      <c r="K90" s="359" t="s">
        <v>1272</v>
      </c>
      <c r="M90" t="str">
        <f t="shared" si="2"/>
        <v>BENZENE</v>
      </c>
    </row>
    <row r="91" spans="1:13" x14ac:dyDescent="0.25">
      <c r="A91" s="359" t="s">
        <v>1404</v>
      </c>
      <c r="B91" s="359" t="s">
        <v>857</v>
      </c>
      <c r="C91" s="359" t="s">
        <v>1295</v>
      </c>
      <c r="D91" s="359" t="s">
        <v>1296</v>
      </c>
      <c r="E91" s="360"/>
      <c r="F91" s="359" t="s">
        <v>1270</v>
      </c>
      <c r="G91" s="361">
        <v>1.4108551039958852E-5</v>
      </c>
      <c r="H91" s="359" t="s">
        <v>1406</v>
      </c>
      <c r="I91" s="361">
        <v>4.5880821113720481E-3</v>
      </c>
      <c r="J91" s="359" t="s">
        <v>1295</v>
      </c>
      <c r="K91" s="359" t="s">
        <v>1272</v>
      </c>
      <c r="M91" t="str">
        <f t="shared" si="2"/>
        <v>ETHYLBENZENE</v>
      </c>
    </row>
    <row r="92" spans="1:13" x14ac:dyDescent="0.25">
      <c r="A92" s="359" t="s">
        <v>1404</v>
      </c>
      <c r="B92" s="359" t="s">
        <v>857</v>
      </c>
      <c r="C92" s="359" t="s">
        <v>1300</v>
      </c>
      <c r="D92" s="359" t="s">
        <v>1301</v>
      </c>
      <c r="E92" s="360"/>
      <c r="F92" s="359" t="s">
        <v>1270</v>
      </c>
      <c r="G92" s="361">
        <v>1.4108551039958852E-5</v>
      </c>
      <c r="H92" s="359" t="s">
        <v>1407</v>
      </c>
      <c r="I92" s="361">
        <v>1.4405204348249377E-2</v>
      </c>
      <c r="J92" s="359" t="s">
        <v>1300</v>
      </c>
      <c r="K92" s="359" t="s">
        <v>1272</v>
      </c>
      <c r="M92" t="str">
        <f t="shared" si="2"/>
        <v>MERCURY AND MERCURY COMPOUNDS</v>
      </c>
    </row>
    <row r="93" spans="1:13" x14ac:dyDescent="0.25">
      <c r="A93" s="359" t="s">
        <v>1404</v>
      </c>
      <c r="B93" s="359" t="s">
        <v>857</v>
      </c>
      <c r="C93" s="359" t="s">
        <v>1303</v>
      </c>
      <c r="D93" s="359" t="s">
        <v>1304</v>
      </c>
      <c r="E93" s="360"/>
      <c r="F93" s="359" t="s">
        <v>1270</v>
      </c>
      <c r="G93" s="361">
        <v>1.4108551039958852E-5</v>
      </c>
      <c r="H93" s="359" t="s">
        <v>1408</v>
      </c>
      <c r="I93" s="361">
        <v>3.0745429173568609E-2</v>
      </c>
      <c r="J93" s="359" t="s">
        <v>1303</v>
      </c>
      <c r="K93" s="359" t="s">
        <v>1272</v>
      </c>
      <c r="M93" t="str">
        <f t="shared" si="2"/>
        <v>NAPHTHALENE</v>
      </c>
    </row>
    <row r="94" spans="1:13" x14ac:dyDescent="0.25">
      <c r="A94" s="359" t="s">
        <v>1404</v>
      </c>
      <c r="B94" s="359" t="s">
        <v>857</v>
      </c>
      <c r="C94" s="359" t="s">
        <v>1325</v>
      </c>
      <c r="D94" s="359" t="s">
        <v>1326</v>
      </c>
      <c r="E94" s="360"/>
      <c r="F94" s="359" t="s">
        <v>1270</v>
      </c>
      <c r="G94" s="361">
        <v>1.4108551039958852E-5</v>
      </c>
      <c r="H94" s="359" t="s">
        <v>1409</v>
      </c>
      <c r="I94" s="361">
        <v>4.6070025192236491E-3</v>
      </c>
      <c r="J94" s="359" t="s">
        <v>1325</v>
      </c>
      <c r="K94" s="359" t="s">
        <v>1272</v>
      </c>
      <c r="M94" t="str">
        <f t="shared" si="2"/>
        <v>TOLUENE</v>
      </c>
    </row>
    <row r="95" spans="1:13" x14ac:dyDescent="0.25">
      <c r="A95" s="359" t="s">
        <v>1404</v>
      </c>
      <c r="B95" s="359" t="s">
        <v>857</v>
      </c>
      <c r="C95" s="359" t="s">
        <v>1327</v>
      </c>
      <c r="D95" s="359" t="s">
        <v>1328</v>
      </c>
      <c r="E95" s="360"/>
      <c r="F95" s="359" t="s">
        <v>1270</v>
      </c>
      <c r="G95" s="361">
        <v>1.4108551039958852E-5</v>
      </c>
      <c r="H95" s="359" t="s">
        <v>1410</v>
      </c>
      <c r="I95" s="361">
        <v>9.1887778279784987E-3</v>
      </c>
      <c r="J95" s="359" t="s">
        <v>1329</v>
      </c>
      <c r="K95" s="359" t="s">
        <v>1272</v>
      </c>
      <c r="M95" t="str">
        <f t="shared" si="2"/>
        <v>XYLENES</v>
      </c>
    </row>
    <row r="96" spans="1:13" x14ac:dyDescent="0.25">
      <c r="A96" s="359" t="s">
        <v>1411</v>
      </c>
      <c r="B96" s="359" t="s">
        <v>763</v>
      </c>
      <c r="C96" s="359" t="s">
        <v>1268</v>
      </c>
      <c r="D96" s="359" t="s">
        <v>1269</v>
      </c>
      <c r="E96" s="360"/>
      <c r="F96" s="359" t="s">
        <v>1412</v>
      </c>
      <c r="G96" s="361">
        <v>1.7241379310344828E-5</v>
      </c>
      <c r="H96" s="359" t="s">
        <v>1286</v>
      </c>
      <c r="I96" s="361">
        <v>0</v>
      </c>
      <c r="J96" s="359" t="s">
        <v>1268</v>
      </c>
      <c r="K96" s="359" t="s">
        <v>1272</v>
      </c>
      <c r="M96" t="str">
        <f t="shared" si="2"/>
        <v>1,2,4-TRIMETHYLBENZENE</v>
      </c>
    </row>
    <row r="97" spans="1:13" x14ac:dyDescent="0.25">
      <c r="A97" s="359" t="s">
        <v>1411</v>
      </c>
      <c r="B97" s="359" t="s">
        <v>763</v>
      </c>
      <c r="C97" s="359" t="s">
        <v>1349</v>
      </c>
      <c r="D97" s="359" t="s">
        <v>1350</v>
      </c>
      <c r="E97" s="360"/>
      <c r="F97" s="359" t="s">
        <v>1412</v>
      </c>
      <c r="G97" s="361">
        <v>1.7241379310344828E-5</v>
      </c>
      <c r="H97" s="359" t="s">
        <v>1286</v>
      </c>
      <c r="I97" s="361">
        <v>0</v>
      </c>
      <c r="J97" s="359" t="s">
        <v>1349</v>
      </c>
      <c r="K97" s="359" t="s">
        <v>1272</v>
      </c>
      <c r="M97" t="str">
        <f t="shared" si="2"/>
        <v>ANTHRACENE</v>
      </c>
    </row>
    <row r="98" spans="1:13" x14ac:dyDescent="0.25">
      <c r="A98" s="359" t="s">
        <v>1411</v>
      </c>
      <c r="B98" s="359" t="s">
        <v>763</v>
      </c>
      <c r="C98" s="359" t="s">
        <v>1273</v>
      </c>
      <c r="D98" s="359" t="s">
        <v>1274</v>
      </c>
      <c r="E98" s="360"/>
      <c r="F98" s="359" t="s">
        <v>1412</v>
      </c>
      <c r="G98" s="361">
        <v>1.7241379310344828E-5</v>
      </c>
      <c r="H98" s="359" t="s">
        <v>1413</v>
      </c>
      <c r="I98" s="361">
        <v>1.998173098881023E-3</v>
      </c>
      <c r="J98" s="359" t="s">
        <v>1273</v>
      </c>
      <c r="K98" s="359" t="s">
        <v>1272</v>
      </c>
      <c r="M98" t="str">
        <f t="shared" si="2"/>
        <v>BENZENE</v>
      </c>
    </row>
    <row r="99" spans="1:13" x14ac:dyDescent="0.25">
      <c r="A99" s="359" t="s">
        <v>1411</v>
      </c>
      <c r="B99" s="359" t="s">
        <v>763</v>
      </c>
      <c r="C99" s="359" t="s">
        <v>1352</v>
      </c>
      <c r="D99" s="359" t="s">
        <v>1353</v>
      </c>
      <c r="E99" s="360"/>
      <c r="F99" s="359" t="s">
        <v>1412</v>
      </c>
      <c r="G99" s="361">
        <v>1.7241379310344828E-5</v>
      </c>
      <c r="H99" s="359" t="s">
        <v>1286</v>
      </c>
      <c r="I99" s="361">
        <v>0</v>
      </c>
      <c r="J99" s="359" t="s">
        <v>1352</v>
      </c>
      <c r="K99" s="359" t="s">
        <v>1272</v>
      </c>
      <c r="M99" t="str">
        <f t="shared" si="2"/>
        <v>BENZO(G,H,I)PERYLENE</v>
      </c>
    </row>
    <row r="100" spans="1:13" x14ac:dyDescent="0.25">
      <c r="A100" s="359" t="s">
        <v>1411</v>
      </c>
      <c r="B100" s="359" t="s">
        <v>763</v>
      </c>
      <c r="C100" s="359" t="s">
        <v>1414</v>
      </c>
      <c r="D100" s="359" t="s">
        <v>1415</v>
      </c>
      <c r="E100" s="360"/>
      <c r="F100" s="359" t="s">
        <v>1412</v>
      </c>
      <c r="G100" s="361">
        <v>1.7241379310344828E-5</v>
      </c>
      <c r="H100" s="359" t="s">
        <v>1286</v>
      </c>
      <c r="I100" s="361">
        <v>0</v>
      </c>
      <c r="J100" s="359" t="s">
        <v>1414</v>
      </c>
      <c r="K100" s="359" t="s">
        <v>1272</v>
      </c>
      <c r="M100" t="str">
        <f t="shared" si="2"/>
        <v>BIPHENYL</v>
      </c>
    </row>
    <row r="101" spans="1:13" x14ac:dyDescent="0.25">
      <c r="A101" s="359" t="s">
        <v>1411</v>
      </c>
      <c r="B101" s="359" t="s">
        <v>763</v>
      </c>
      <c r="C101" s="359" t="s">
        <v>1276</v>
      </c>
      <c r="D101" s="359" t="s">
        <v>490</v>
      </c>
      <c r="E101" s="361">
        <v>1292.2448979599999</v>
      </c>
      <c r="F101" s="359" t="s">
        <v>1412</v>
      </c>
      <c r="G101" s="361">
        <v>1.7241379310344828E-5</v>
      </c>
      <c r="H101" s="359" t="s">
        <v>490</v>
      </c>
      <c r="I101" s="361">
        <v>6.1041327253660843E-5</v>
      </c>
      <c r="J101" s="359" t="s">
        <v>1276</v>
      </c>
      <c r="K101" s="359" t="s">
        <v>1277</v>
      </c>
      <c r="M101" t="str">
        <f t="shared" si="2"/>
        <v>BOD, 5-day, 20 deg. C</v>
      </c>
    </row>
    <row r="102" spans="1:13" x14ac:dyDescent="0.25">
      <c r="A102" s="359" t="s">
        <v>1411</v>
      </c>
      <c r="B102" s="359" t="s">
        <v>763</v>
      </c>
      <c r="C102" s="359" t="s">
        <v>1416</v>
      </c>
      <c r="D102" s="359" t="s">
        <v>1417</v>
      </c>
      <c r="E102" s="361">
        <v>0</v>
      </c>
      <c r="F102" s="359" t="s">
        <v>1412</v>
      </c>
      <c r="G102" s="361">
        <v>1.7241379310344828E-5</v>
      </c>
      <c r="H102" s="359" t="s">
        <v>490</v>
      </c>
      <c r="I102" s="361">
        <v>0</v>
      </c>
      <c r="J102" s="359" t="s">
        <v>1418</v>
      </c>
      <c r="K102" s="359" t="s">
        <v>1277</v>
      </c>
      <c r="M102" t="str">
        <f t="shared" si="2"/>
        <v>CHLORINE</v>
      </c>
    </row>
    <row r="103" spans="1:13" x14ac:dyDescent="0.25">
      <c r="A103" s="359" t="s">
        <v>1411</v>
      </c>
      <c r="B103" s="359" t="s">
        <v>763</v>
      </c>
      <c r="C103" s="359" t="s">
        <v>1280</v>
      </c>
      <c r="D103" s="359" t="s">
        <v>1281</v>
      </c>
      <c r="E103" s="361">
        <v>1.37868480726</v>
      </c>
      <c r="F103" s="359" t="s">
        <v>1412</v>
      </c>
      <c r="G103" s="361">
        <v>1.7241379310344828E-5</v>
      </c>
      <c r="H103" s="359" t="s">
        <v>490</v>
      </c>
      <c r="I103" s="361">
        <v>6.5124459483230992E-8</v>
      </c>
      <c r="J103" s="359" t="s">
        <v>1280</v>
      </c>
      <c r="K103" s="359" t="s">
        <v>1277</v>
      </c>
      <c r="M103" t="str">
        <f t="shared" si="2"/>
        <v>Chromium, hexavalent (as Cr)</v>
      </c>
    </row>
    <row r="104" spans="1:13" x14ac:dyDescent="0.25">
      <c r="A104" s="359" t="s">
        <v>1411</v>
      </c>
      <c r="B104" s="359" t="s">
        <v>763</v>
      </c>
      <c r="C104" s="359" t="s">
        <v>1282</v>
      </c>
      <c r="D104" s="359" t="s">
        <v>1283</v>
      </c>
      <c r="E104" s="361">
        <v>0.45850340136099998</v>
      </c>
      <c r="F104" s="359" t="s">
        <v>1412</v>
      </c>
      <c r="G104" s="361">
        <v>1.7241379310344828E-5</v>
      </c>
      <c r="H104" s="359" t="s">
        <v>490</v>
      </c>
      <c r="I104" s="361">
        <v>2.1658167282050071E-8</v>
      </c>
      <c r="J104" s="359" t="s">
        <v>1282</v>
      </c>
      <c r="K104" s="359" t="s">
        <v>1277</v>
      </c>
      <c r="M104" t="str">
        <f t="shared" si="2"/>
        <v>Chromium, total (as Cr)</v>
      </c>
    </row>
    <row r="105" spans="1:13" x14ac:dyDescent="0.25">
      <c r="A105" s="359" t="s">
        <v>1411</v>
      </c>
      <c r="B105" s="359" t="s">
        <v>763</v>
      </c>
      <c r="C105" s="359" t="s">
        <v>1284</v>
      </c>
      <c r="D105" s="359" t="s">
        <v>1285</v>
      </c>
      <c r="E105" s="360"/>
      <c r="F105" s="359" t="s">
        <v>1412</v>
      </c>
      <c r="G105" s="361">
        <v>1.7241379310344828E-5</v>
      </c>
      <c r="H105" s="359" t="s">
        <v>1286</v>
      </c>
      <c r="I105" s="361">
        <v>0</v>
      </c>
      <c r="J105" s="359" t="s">
        <v>1287</v>
      </c>
      <c r="K105" s="359" t="s">
        <v>1272</v>
      </c>
      <c r="M105" t="str">
        <f t="shared" si="2"/>
        <v>ISOPROPYLBENZENE</v>
      </c>
    </row>
    <row r="106" spans="1:13" x14ac:dyDescent="0.25">
      <c r="A106" s="359" t="s">
        <v>1411</v>
      </c>
      <c r="B106" s="359" t="s">
        <v>763</v>
      </c>
      <c r="C106" s="359" t="s">
        <v>1362</v>
      </c>
      <c r="D106" s="359" t="s">
        <v>1363</v>
      </c>
      <c r="E106" s="360"/>
      <c r="F106" s="359" t="s">
        <v>1412</v>
      </c>
      <c r="G106" s="361">
        <v>1.7241379310344828E-5</v>
      </c>
      <c r="H106" s="359" t="s">
        <v>1419</v>
      </c>
      <c r="I106" s="361">
        <v>7.8286994747659271E-7</v>
      </c>
      <c r="J106" s="359" t="s">
        <v>1362</v>
      </c>
      <c r="K106" s="359" t="s">
        <v>1272</v>
      </c>
      <c r="M106" t="str">
        <f t="shared" si="2"/>
        <v>DIOXIN AND DIOXIN-LIKE COMPOUNDS</v>
      </c>
    </row>
    <row r="107" spans="1:13" x14ac:dyDescent="0.25">
      <c r="A107" s="359" t="s">
        <v>1411</v>
      </c>
      <c r="B107" s="359" t="s">
        <v>763</v>
      </c>
      <c r="C107" s="359" t="s">
        <v>1295</v>
      </c>
      <c r="D107" s="359" t="s">
        <v>1296</v>
      </c>
      <c r="E107" s="360"/>
      <c r="F107" s="359" t="s">
        <v>1412</v>
      </c>
      <c r="G107" s="361">
        <v>1.7241379310344828E-5</v>
      </c>
      <c r="H107" s="359" t="s">
        <v>1420</v>
      </c>
      <c r="I107" s="361">
        <v>1.9410824389129937E-2</v>
      </c>
      <c r="J107" s="359" t="s">
        <v>1295</v>
      </c>
      <c r="K107" s="359" t="s">
        <v>1272</v>
      </c>
      <c r="M107" t="str">
        <f t="shared" si="2"/>
        <v>ETHYLBENZENE</v>
      </c>
    </row>
    <row r="108" spans="1:13" x14ac:dyDescent="0.25">
      <c r="A108" s="359" t="s">
        <v>1411</v>
      </c>
      <c r="B108" s="359" t="s">
        <v>763</v>
      </c>
      <c r="C108" s="359" t="s">
        <v>1297</v>
      </c>
      <c r="D108" s="359" t="s">
        <v>1298</v>
      </c>
      <c r="E108" s="360"/>
      <c r="F108" s="359" t="s">
        <v>1412</v>
      </c>
      <c r="G108" s="361">
        <v>1.7241379310344828E-5</v>
      </c>
      <c r="H108" s="359" t="s">
        <v>1421</v>
      </c>
      <c r="I108" s="361">
        <v>3.9963461977620459E-3</v>
      </c>
      <c r="J108" s="359" t="s">
        <v>1297</v>
      </c>
      <c r="K108" s="359" t="s">
        <v>1272</v>
      </c>
      <c r="M108" t="str">
        <f t="shared" si="2"/>
        <v>LEAD AND LEAD COMPOUNDS</v>
      </c>
    </row>
    <row r="109" spans="1:13" x14ac:dyDescent="0.25">
      <c r="A109" s="359" t="s">
        <v>1411</v>
      </c>
      <c r="B109" s="359" t="s">
        <v>763</v>
      </c>
      <c r="C109" s="359" t="s">
        <v>1300</v>
      </c>
      <c r="D109" s="359" t="s">
        <v>1301</v>
      </c>
      <c r="E109" s="360"/>
      <c r="F109" s="359" t="s">
        <v>1412</v>
      </c>
      <c r="G109" s="361">
        <v>1.7241379310344828E-5</v>
      </c>
      <c r="H109" s="359" t="s">
        <v>1422</v>
      </c>
      <c r="I109" s="361">
        <v>7.7072390956839463E-4</v>
      </c>
      <c r="J109" s="359" t="s">
        <v>1300</v>
      </c>
      <c r="K109" s="359" t="s">
        <v>1272</v>
      </c>
      <c r="M109" t="str">
        <f t="shared" si="2"/>
        <v>MERCURY AND MERCURY COMPOUNDS</v>
      </c>
    </row>
    <row r="110" spans="1:13" x14ac:dyDescent="0.25">
      <c r="A110" s="359" t="s">
        <v>1411</v>
      </c>
      <c r="B110" s="359" t="s">
        <v>763</v>
      </c>
      <c r="C110" s="359" t="s">
        <v>1375</v>
      </c>
      <c r="D110" s="359" t="s">
        <v>1376</v>
      </c>
      <c r="E110" s="360"/>
      <c r="F110" s="359" t="s">
        <v>1412</v>
      </c>
      <c r="G110" s="361">
        <v>1.7241379310344828E-5</v>
      </c>
      <c r="H110" s="359" t="s">
        <v>1423</v>
      </c>
      <c r="I110" s="361">
        <v>0.34254395980817537</v>
      </c>
      <c r="J110" s="359" t="s">
        <v>1375</v>
      </c>
      <c r="K110" s="359" t="s">
        <v>1272</v>
      </c>
      <c r="M110" t="str">
        <f t="shared" si="2"/>
        <v>METHANOL</v>
      </c>
    </row>
    <row r="111" spans="1:13" x14ac:dyDescent="0.25">
      <c r="A111" s="359" t="s">
        <v>1411</v>
      </c>
      <c r="B111" s="359" t="s">
        <v>763</v>
      </c>
      <c r="C111" s="359" t="s">
        <v>1303</v>
      </c>
      <c r="D111" s="359" t="s">
        <v>1304</v>
      </c>
      <c r="E111" s="360"/>
      <c r="F111" s="359" t="s">
        <v>1412</v>
      </c>
      <c r="G111" s="361">
        <v>1.7241379310344828E-5</v>
      </c>
      <c r="H111" s="359" t="s">
        <v>1413</v>
      </c>
      <c r="I111" s="361">
        <v>1.998173098881023E-3</v>
      </c>
      <c r="J111" s="359" t="s">
        <v>1303</v>
      </c>
      <c r="K111" s="359" t="s">
        <v>1272</v>
      </c>
      <c r="M111" t="str">
        <f t="shared" si="2"/>
        <v>NAPHTHALENE</v>
      </c>
    </row>
    <row r="112" spans="1:13" x14ac:dyDescent="0.25">
      <c r="A112" s="359" t="s">
        <v>1411</v>
      </c>
      <c r="B112" s="359" t="s">
        <v>763</v>
      </c>
      <c r="C112" s="359" t="s">
        <v>1305</v>
      </c>
      <c r="D112" s="359" t="s">
        <v>1306</v>
      </c>
      <c r="E112" s="360"/>
      <c r="F112" s="359" t="s">
        <v>1412</v>
      </c>
      <c r="G112" s="361">
        <v>1.7241379310344828E-5</v>
      </c>
      <c r="H112" s="359" t="s">
        <v>1286</v>
      </c>
      <c r="I112" s="361">
        <v>0</v>
      </c>
      <c r="J112" s="359" t="s">
        <v>1305</v>
      </c>
      <c r="K112" s="359" t="s">
        <v>1272</v>
      </c>
      <c r="M112" t="str">
        <f t="shared" si="2"/>
        <v>N-HEXANE</v>
      </c>
    </row>
    <row r="113" spans="1:13" x14ac:dyDescent="0.25">
      <c r="A113" s="359" t="s">
        <v>1411</v>
      </c>
      <c r="B113" s="359" t="s">
        <v>763</v>
      </c>
      <c r="C113" s="359" t="s">
        <v>1307</v>
      </c>
      <c r="D113" s="359" t="s">
        <v>1308</v>
      </c>
      <c r="E113" s="360"/>
      <c r="F113" s="359" t="s">
        <v>1412</v>
      </c>
      <c r="G113" s="361">
        <v>1.7241379310344828E-5</v>
      </c>
      <c r="H113" s="359" t="s">
        <v>1424</v>
      </c>
      <c r="I113" s="361">
        <v>236.92623886732133</v>
      </c>
      <c r="J113" s="359" t="s">
        <v>1310</v>
      </c>
      <c r="K113" s="359" t="s">
        <v>1272</v>
      </c>
      <c r="M113" t="str">
        <f t="shared" si="2"/>
        <v>NITRATE</v>
      </c>
    </row>
    <row r="114" spans="1:13" x14ac:dyDescent="0.25">
      <c r="A114" s="359" t="s">
        <v>1411</v>
      </c>
      <c r="B114" s="359" t="s">
        <v>763</v>
      </c>
      <c r="C114" s="359" t="s">
        <v>1311</v>
      </c>
      <c r="D114" s="359" t="s">
        <v>1312</v>
      </c>
      <c r="E114" s="361">
        <v>1199.0476190506001</v>
      </c>
      <c r="F114" s="359" t="s">
        <v>1412</v>
      </c>
      <c r="G114" s="361">
        <v>1.7241379310344828E-5</v>
      </c>
      <c r="H114" s="359" t="s">
        <v>490</v>
      </c>
      <c r="I114" s="361">
        <v>5.6638999482786976E-5</v>
      </c>
      <c r="J114" s="359" t="s">
        <v>1313</v>
      </c>
      <c r="K114" s="359" t="s">
        <v>1277</v>
      </c>
      <c r="M114" t="str">
        <f t="shared" si="2"/>
        <v>AMMONIA</v>
      </c>
    </row>
    <row r="115" spans="1:13" x14ac:dyDescent="0.25">
      <c r="A115" s="359" t="s">
        <v>1411</v>
      </c>
      <c r="B115" s="359" t="s">
        <v>763</v>
      </c>
      <c r="C115" s="359" t="s">
        <v>1314</v>
      </c>
      <c r="D115" s="359" t="s">
        <v>490</v>
      </c>
      <c r="E115" s="361">
        <v>1307.7932000000001</v>
      </c>
      <c r="F115" s="359" t="s">
        <v>1412</v>
      </c>
      <c r="G115" s="361">
        <v>1.7241379310344828E-5</v>
      </c>
      <c r="H115" s="359" t="s">
        <v>490</v>
      </c>
      <c r="I115" s="361">
        <v>6.177577704298536E-5</v>
      </c>
      <c r="J115" s="359" t="s">
        <v>1314</v>
      </c>
      <c r="K115" s="359" t="s">
        <v>1277</v>
      </c>
      <c r="M115" t="str">
        <f t="shared" si="2"/>
        <v>Oil and grease</v>
      </c>
    </row>
    <row r="116" spans="1:13" x14ac:dyDescent="0.25">
      <c r="A116" s="359" t="s">
        <v>1411</v>
      </c>
      <c r="B116" s="359" t="s">
        <v>763</v>
      </c>
      <c r="C116" s="359" t="s">
        <v>1457</v>
      </c>
      <c r="D116" s="359" t="s">
        <v>490</v>
      </c>
      <c r="E116" s="361">
        <v>58912.290249400001</v>
      </c>
      <c r="F116" s="359" t="s">
        <v>1412</v>
      </c>
      <c r="G116" s="361">
        <v>1.7241379310344828E-5</v>
      </c>
      <c r="H116" s="359" t="s">
        <v>490</v>
      </c>
      <c r="I116" s="361">
        <v>2.7828195677562593E-3</v>
      </c>
      <c r="J116" s="359" t="s">
        <v>1457</v>
      </c>
      <c r="K116" s="359" t="s">
        <v>1277</v>
      </c>
      <c r="M116" t="str">
        <f t="shared" si="2"/>
        <v>Chemical Oxygen Demand (COD)</v>
      </c>
    </row>
    <row r="117" spans="1:13" x14ac:dyDescent="0.25">
      <c r="A117" s="359" t="s">
        <v>1411</v>
      </c>
      <c r="B117" s="359" t="s">
        <v>763</v>
      </c>
      <c r="C117" s="359" t="s">
        <v>1388</v>
      </c>
      <c r="D117" s="359" t="s">
        <v>1389</v>
      </c>
      <c r="E117" s="360"/>
      <c r="F117" s="359" t="s">
        <v>1412</v>
      </c>
      <c r="G117" s="361">
        <v>1.7241379310344828E-5</v>
      </c>
      <c r="H117" s="359" t="s">
        <v>1286</v>
      </c>
      <c r="I117" s="361">
        <v>0</v>
      </c>
      <c r="J117" s="359" t="s">
        <v>1388</v>
      </c>
      <c r="K117" s="359" t="s">
        <v>1272</v>
      </c>
      <c r="M117" t="str">
        <f t="shared" si="2"/>
        <v>PHENANTHRENE</v>
      </c>
    </row>
    <row r="118" spans="1:13" x14ac:dyDescent="0.25">
      <c r="A118" s="359" t="s">
        <v>1411</v>
      </c>
      <c r="B118" s="359" t="s">
        <v>763</v>
      </c>
      <c r="C118" s="359" t="s">
        <v>1315</v>
      </c>
      <c r="D118" s="359" t="s">
        <v>1316</v>
      </c>
      <c r="E118" s="360"/>
      <c r="F118" s="359" t="s">
        <v>1412</v>
      </c>
      <c r="G118" s="361">
        <v>1.7241379310344828E-5</v>
      </c>
      <c r="H118" s="359" t="s">
        <v>1380</v>
      </c>
      <c r="I118" s="361">
        <v>0.21694450787851108</v>
      </c>
      <c r="J118" s="359" t="s">
        <v>1315</v>
      </c>
      <c r="K118" s="359" t="s">
        <v>1272</v>
      </c>
      <c r="M118" t="str">
        <f t="shared" si="2"/>
        <v>PHENOL</v>
      </c>
    </row>
    <row r="119" spans="1:13" x14ac:dyDescent="0.25">
      <c r="A119" s="359" t="s">
        <v>1411</v>
      </c>
      <c r="B119" s="359" t="s">
        <v>763</v>
      </c>
      <c r="C119" s="359" t="s">
        <v>1318</v>
      </c>
      <c r="D119" s="359" t="s">
        <v>490</v>
      </c>
      <c r="E119" s="361">
        <v>17.010430839045</v>
      </c>
      <c r="F119" s="359" t="s">
        <v>1412</v>
      </c>
      <c r="G119" s="361">
        <v>1.7241379310344828E-5</v>
      </c>
      <c r="H119" s="359" t="s">
        <v>490</v>
      </c>
      <c r="I119" s="361">
        <v>8.0351586391332075E-7</v>
      </c>
      <c r="J119" s="359" t="s">
        <v>1318</v>
      </c>
      <c r="K119" s="359" t="s">
        <v>1277</v>
      </c>
      <c r="M119" t="str">
        <f t="shared" si="2"/>
        <v>Phenolics, total recoverable</v>
      </c>
    </row>
    <row r="120" spans="1:13" x14ac:dyDescent="0.25">
      <c r="A120" s="359" t="s">
        <v>1411</v>
      </c>
      <c r="B120" s="359" t="s">
        <v>763</v>
      </c>
      <c r="C120" s="359" t="s">
        <v>1319</v>
      </c>
      <c r="D120" s="359" t="s">
        <v>1320</v>
      </c>
      <c r="E120" s="360"/>
      <c r="F120" s="359" t="s">
        <v>1412</v>
      </c>
      <c r="G120" s="361">
        <v>1.7241379310344828E-5</v>
      </c>
      <c r="H120" s="359" t="s">
        <v>1286</v>
      </c>
      <c r="I120" s="361">
        <v>0</v>
      </c>
      <c r="J120" s="359" t="s">
        <v>1319</v>
      </c>
      <c r="K120" s="359" t="s">
        <v>1272</v>
      </c>
      <c r="M120" t="str">
        <f t="shared" si="2"/>
        <v>POLYCYCLIC AROMATIC COMPOUNDS</v>
      </c>
    </row>
    <row r="121" spans="1:13" x14ac:dyDescent="0.25">
      <c r="A121" s="359" t="s">
        <v>1411</v>
      </c>
      <c r="B121" s="359" t="s">
        <v>763</v>
      </c>
      <c r="C121" s="359" t="s">
        <v>1425</v>
      </c>
      <c r="D121" s="359" t="s">
        <v>1426</v>
      </c>
      <c r="E121" s="360"/>
      <c r="F121" s="359" t="s">
        <v>1412</v>
      </c>
      <c r="G121" s="361">
        <v>1.7241379310344828E-5</v>
      </c>
      <c r="H121" s="359" t="s">
        <v>1286</v>
      </c>
      <c r="I121" s="361">
        <v>0</v>
      </c>
      <c r="J121" s="359" t="s">
        <v>1425</v>
      </c>
      <c r="K121" s="359" t="s">
        <v>1272</v>
      </c>
      <c r="M121" t="str">
        <f t="shared" si="2"/>
        <v>PROPYLENE</v>
      </c>
    </row>
    <row r="122" spans="1:13" x14ac:dyDescent="0.25">
      <c r="A122" s="359" t="s">
        <v>1411</v>
      </c>
      <c r="B122" s="359" t="s">
        <v>763</v>
      </c>
      <c r="C122" s="359" t="s">
        <v>1432</v>
      </c>
      <c r="D122" s="359" t="s">
        <v>1427</v>
      </c>
      <c r="E122" s="361">
        <v>149.23184602000001</v>
      </c>
      <c r="F122" s="359" t="s">
        <v>1412</v>
      </c>
      <c r="G122" s="361">
        <v>1.7241379310344828E-5</v>
      </c>
      <c r="H122" s="359" t="s">
        <v>490</v>
      </c>
      <c r="I122" s="361">
        <v>7.0492133216816258E-6</v>
      </c>
      <c r="J122" s="359" t="s">
        <v>1432</v>
      </c>
      <c r="K122" s="359" t="s">
        <v>1277</v>
      </c>
      <c r="M122" t="str">
        <f t="shared" si="2"/>
        <v>Selenium, total (as Se)</v>
      </c>
    </row>
    <row r="123" spans="1:13" x14ac:dyDescent="0.25">
      <c r="A123" s="359" t="s">
        <v>1411</v>
      </c>
      <c r="B123" s="359" t="s">
        <v>763</v>
      </c>
      <c r="C123" s="359" t="s">
        <v>1322</v>
      </c>
      <c r="D123" s="359" t="s">
        <v>490</v>
      </c>
      <c r="E123" s="361">
        <v>4917.0068027200005</v>
      </c>
      <c r="F123" s="359" t="s">
        <v>1412</v>
      </c>
      <c r="G123" s="361">
        <v>1.7241379310344828E-5</v>
      </c>
      <c r="H123" s="359" t="s">
        <v>490</v>
      </c>
      <c r="I123" s="361">
        <v>2.3226295714312711E-4</v>
      </c>
      <c r="J123" s="359" t="s">
        <v>1322</v>
      </c>
      <c r="K123" s="359" t="s">
        <v>1277</v>
      </c>
      <c r="M123" t="str">
        <f t="shared" si="2"/>
        <v>Solids, total suspended</v>
      </c>
    </row>
    <row r="124" spans="1:13" x14ac:dyDescent="0.25">
      <c r="A124" s="359" t="s">
        <v>1411</v>
      </c>
      <c r="B124" s="359" t="s">
        <v>763</v>
      </c>
      <c r="C124" s="359" t="s">
        <v>1392</v>
      </c>
      <c r="D124" s="359" t="s">
        <v>1393</v>
      </c>
      <c r="E124" s="360"/>
      <c r="F124" s="359" t="s">
        <v>1412</v>
      </c>
      <c r="G124" s="361">
        <v>1.7241379310344828E-5</v>
      </c>
      <c r="H124" s="359" t="s">
        <v>1413</v>
      </c>
      <c r="I124" s="361">
        <v>1.998173098881023E-3</v>
      </c>
      <c r="J124" s="359" t="s">
        <v>1392</v>
      </c>
      <c r="K124" s="359" t="s">
        <v>1272</v>
      </c>
      <c r="M124" t="str">
        <f t="shared" si="2"/>
        <v>STYRENE</v>
      </c>
    </row>
    <row r="125" spans="1:13" x14ac:dyDescent="0.25">
      <c r="A125" s="359" t="s">
        <v>1411</v>
      </c>
      <c r="B125" s="359" t="s">
        <v>763</v>
      </c>
      <c r="C125" s="359" t="s">
        <v>1323</v>
      </c>
      <c r="D125" s="359" t="s">
        <v>1324</v>
      </c>
      <c r="E125" s="361">
        <v>13.7868480726</v>
      </c>
      <c r="F125" s="359" t="s">
        <v>1412</v>
      </c>
      <c r="G125" s="361">
        <v>1.7241379310344828E-5</v>
      </c>
      <c r="H125" s="359" t="s">
        <v>490</v>
      </c>
      <c r="I125" s="361">
        <v>6.5124459483230992E-7</v>
      </c>
      <c r="J125" s="359" t="s">
        <v>1323</v>
      </c>
      <c r="K125" s="359" t="s">
        <v>1277</v>
      </c>
      <c r="M125" t="str">
        <f t="shared" si="2"/>
        <v>Sulfide, total (as S)</v>
      </c>
    </row>
    <row r="126" spans="1:13" x14ac:dyDescent="0.25">
      <c r="A126" s="359" t="s">
        <v>1411</v>
      </c>
      <c r="B126" s="359" t="s">
        <v>763</v>
      </c>
      <c r="C126" s="359" t="s">
        <v>1396</v>
      </c>
      <c r="D126" s="359" t="s">
        <v>1397</v>
      </c>
      <c r="E126" s="360"/>
      <c r="F126" s="359" t="s">
        <v>1412</v>
      </c>
      <c r="G126" s="361">
        <v>1.7241379310344828E-5</v>
      </c>
      <c r="H126" s="359" t="s">
        <v>1286</v>
      </c>
      <c r="I126" s="361">
        <v>0</v>
      </c>
      <c r="J126" s="359" t="s">
        <v>1398</v>
      </c>
      <c r="K126" s="359" t="s">
        <v>1272</v>
      </c>
      <c r="M126" t="str">
        <f t="shared" si="2"/>
        <v>PERCHLOROETHYLENE</v>
      </c>
    </row>
    <row r="127" spans="1:13" x14ac:dyDescent="0.25">
      <c r="A127" s="359" t="s">
        <v>1411</v>
      </c>
      <c r="B127" s="359" t="s">
        <v>763</v>
      </c>
      <c r="C127" s="359" t="s">
        <v>1325</v>
      </c>
      <c r="D127" s="359" t="s">
        <v>1326</v>
      </c>
      <c r="E127" s="360"/>
      <c r="F127" s="359" t="s">
        <v>1412</v>
      </c>
      <c r="G127" s="361">
        <v>1.7241379310344828E-5</v>
      </c>
      <c r="H127" s="359" t="s">
        <v>1413</v>
      </c>
      <c r="I127" s="361">
        <v>1.998173098881023E-3</v>
      </c>
      <c r="J127" s="359" t="s">
        <v>1325</v>
      </c>
      <c r="K127" s="359" t="s">
        <v>1272</v>
      </c>
      <c r="M127" t="str">
        <f t="shared" si="2"/>
        <v>TOLUENE</v>
      </c>
    </row>
    <row r="128" spans="1:13" x14ac:dyDescent="0.25">
      <c r="A128" s="359" t="s">
        <v>1411</v>
      </c>
      <c r="B128" s="359" t="s">
        <v>763</v>
      </c>
      <c r="C128" s="359" t="s">
        <v>1327</v>
      </c>
      <c r="D128" s="359" t="s">
        <v>1328</v>
      </c>
      <c r="E128" s="360"/>
      <c r="F128" s="359" t="s">
        <v>1412</v>
      </c>
      <c r="G128" s="361">
        <v>1.7241379310344828E-5</v>
      </c>
      <c r="H128" s="359" t="s">
        <v>1286</v>
      </c>
      <c r="I128" s="361">
        <v>0</v>
      </c>
      <c r="J128" s="359" t="s">
        <v>1329</v>
      </c>
      <c r="K128" s="359" t="s">
        <v>1272</v>
      </c>
      <c r="M128" t="str">
        <f t="shared" si="2"/>
        <v>XYLENES</v>
      </c>
    </row>
    <row r="129" spans="1:13" x14ac:dyDescent="0.25">
      <c r="A129" s="359" t="s">
        <v>1428</v>
      </c>
      <c r="B129" s="359" t="s">
        <v>844</v>
      </c>
      <c r="C129" s="359" t="s">
        <v>1331</v>
      </c>
      <c r="D129" s="359" t="s">
        <v>1332</v>
      </c>
      <c r="E129" s="361">
        <v>2.6882584</v>
      </c>
      <c r="F129" s="359" t="s">
        <v>1412</v>
      </c>
      <c r="G129" s="361">
        <v>6.7643737862816414E-6</v>
      </c>
      <c r="H129" s="359" t="s">
        <v>490</v>
      </c>
      <c r="I129" s="361">
        <v>4.9820231922497068E-8</v>
      </c>
      <c r="J129" s="359" t="s">
        <v>1331</v>
      </c>
      <c r="K129" s="359" t="s">
        <v>1277</v>
      </c>
      <c r="M129" t="str">
        <f t="shared" si="2"/>
        <v>Arsenic, total (as As)</v>
      </c>
    </row>
    <row r="130" spans="1:13" x14ac:dyDescent="0.25">
      <c r="A130" s="359" t="s">
        <v>1428</v>
      </c>
      <c r="B130" s="359" t="s">
        <v>844</v>
      </c>
      <c r="C130" s="359" t="s">
        <v>1429</v>
      </c>
      <c r="D130" s="359" t="s">
        <v>1430</v>
      </c>
      <c r="E130" s="361">
        <v>792.09603400000003</v>
      </c>
      <c r="F130" s="359" t="s">
        <v>1412</v>
      </c>
      <c r="G130" s="361">
        <v>6.7643737862816414E-6</v>
      </c>
      <c r="H130" s="359" t="s">
        <v>490</v>
      </c>
      <c r="I130" s="361">
        <v>1.4679544242759596E-5</v>
      </c>
      <c r="J130" s="359" t="s">
        <v>1429</v>
      </c>
      <c r="K130" s="359" t="s">
        <v>1277</v>
      </c>
      <c r="M130" t="str">
        <f t="shared" si="2"/>
        <v>Barium, total (as Ba)</v>
      </c>
    </row>
    <row r="131" spans="1:13" x14ac:dyDescent="0.25">
      <c r="A131" s="359" t="s">
        <v>1428</v>
      </c>
      <c r="B131" s="359" t="s">
        <v>844</v>
      </c>
      <c r="C131" s="359" t="s">
        <v>1276</v>
      </c>
      <c r="D131" s="359" t="s">
        <v>490</v>
      </c>
      <c r="E131" s="361">
        <v>20017.6870748</v>
      </c>
      <c r="F131" s="359" t="s">
        <v>1412</v>
      </c>
      <c r="G131" s="361">
        <v>6.7643737862816414E-6</v>
      </c>
      <c r="H131" s="359" t="s">
        <v>490</v>
      </c>
      <c r="I131" s="361">
        <v>3.7097840468703003E-4</v>
      </c>
      <c r="J131" s="359" t="s">
        <v>1276</v>
      </c>
      <c r="K131" s="359" t="s">
        <v>1277</v>
      </c>
      <c r="M131" t="str">
        <f t="shared" si="2"/>
        <v>BOD, 5-day, 20 deg. C</v>
      </c>
    </row>
    <row r="132" spans="1:13" x14ac:dyDescent="0.25">
      <c r="A132" s="359" t="s">
        <v>1428</v>
      </c>
      <c r="B132" s="359" t="s">
        <v>844</v>
      </c>
      <c r="C132" s="359" t="s">
        <v>1278</v>
      </c>
      <c r="D132" s="359" t="s">
        <v>1279</v>
      </c>
      <c r="E132" s="361">
        <v>216182.065305</v>
      </c>
      <c r="F132" s="359" t="s">
        <v>1412</v>
      </c>
      <c r="G132" s="361">
        <v>6.7643737862816414E-6</v>
      </c>
      <c r="H132" s="359" t="s">
        <v>490</v>
      </c>
      <c r="I132" s="361">
        <v>4.006400809899638E-3</v>
      </c>
      <c r="J132" s="359" t="s">
        <v>1278</v>
      </c>
      <c r="K132" s="359" t="s">
        <v>1277</v>
      </c>
      <c r="M132" t="str">
        <f t="shared" si="2"/>
        <v>Carbon, tot organic (TOC)</v>
      </c>
    </row>
    <row r="133" spans="1:13" x14ac:dyDescent="0.25">
      <c r="A133" s="359" t="s">
        <v>1428</v>
      </c>
      <c r="B133" s="359" t="s">
        <v>844</v>
      </c>
      <c r="C133" s="359" t="s">
        <v>1280</v>
      </c>
      <c r="D133" s="359" t="s">
        <v>1281</v>
      </c>
      <c r="E133" s="361">
        <v>0</v>
      </c>
      <c r="F133" s="359" t="s">
        <v>1412</v>
      </c>
      <c r="G133" s="361">
        <v>6.7643737862816414E-6</v>
      </c>
      <c r="H133" s="359" t="s">
        <v>490</v>
      </c>
      <c r="I133" s="361">
        <v>0</v>
      </c>
      <c r="J133" s="359" t="s">
        <v>1280</v>
      </c>
      <c r="K133" s="359" t="s">
        <v>1277</v>
      </c>
      <c r="M133" t="str">
        <f t="shared" si="2"/>
        <v>Chromium, hexavalent (as Cr)</v>
      </c>
    </row>
    <row r="134" spans="1:13" x14ac:dyDescent="0.25">
      <c r="A134" s="359" t="s">
        <v>1428</v>
      </c>
      <c r="B134" s="359" t="s">
        <v>844</v>
      </c>
      <c r="C134" s="359" t="s">
        <v>1282</v>
      </c>
      <c r="D134" s="359" t="s">
        <v>1283</v>
      </c>
      <c r="E134" s="361">
        <v>145.77308307300001</v>
      </c>
      <c r="F134" s="359" t="s">
        <v>1412</v>
      </c>
      <c r="G134" s="361">
        <v>6.7643737862816414E-6</v>
      </c>
      <c r="H134" s="359" t="s">
        <v>490</v>
      </c>
      <c r="I134" s="361">
        <v>2.7015441695464586E-6</v>
      </c>
      <c r="J134" s="359" t="s">
        <v>1282</v>
      </c>
      <c r="K134" s="359" t="s">
        <v>1277</v>
      </c>
      <c r="M134" t="str">
        <f t="shared" ref="M134:M197" si="3">IF(J134="",C134,J134)</f>
        <v>Chromium, total (as Cr)</v>
      </c>
    </row>
    <row r="135" spans="1:13" x14ac:dyDescent="0.25">
      <c r="A135" s="359" t="s">
        <v>1428</v>
      </c>
      <c r="B135" s="359" t="s">
        <v>844</v>
      </c>
      <c r="C135" s="359" t="s">
        <v>1431</v>
      </c>
      <c r="D135" s="359" t="s">
        <v>1298</v>
      </c>
      <c r="E135" s="361">
        <v>32.898432720000002</v>
      </c>
      <c r="F135" s="359" t="s">
        <v>1412</v>
      </c>
      <c r="G135" s="361">
        <v>6.7643737862816414E-6</v>
      </c>
      <c r="H135" s="359" t="s">
        <v>490</v>
      </c>
      <c r="I135" s="361">
        <v>6.0969122164635145E-7</v>
      </c>
      <c r="J135" s="359" t="s">
        <v>1431</v>
      </c>
      <c r="K135" s="359" t="s">
        <v>1277</v>
      </c>
      <c r="M135" t="str">
        <f t="shared" si="3"/>
        <v>Lead, total (as Pb)</v>
      </c>
    </row>
    <row r="136" spans="1:13" x14ac:dyDescent="0.25">
      <c r="A136" s="359" t="s">
        <v>1428</v>
      </c>
      <c r="B136" s="359" t="s">
        <v>844</v>
      </c>
      <c r="C136" s="359" t="s">
        <v>1311</v>
      </c>
      <c r="D136" s="359" t="s">
        <v>1312</v>
      </c>
      <c r="E136" s="361">
        <v>3584.33106576</v>
      </c>
      <c r="F136" s="359" t="s">
        <v>1412</v>
      </c>
      <c r="G136" s="361">
        <v>6.7643737862816414E-6</v>
      </c>
      <c r="H136" s="359" t="s">
        <v>490</v>
      </c>
      <c r="I136" s="361">
        <v>6.6426726308443514E-5</v>
      </c>
      <c r="J136" s="359" t="s">
        <v>1313</v>
      </c>
      <c r="K136" s="359" t="s">
        <v>1277</v>
      </c>
      <c r="M136" t="str">
        <f t="shared" si="3"/>
        <v>AMMONIA</v>
      </c>
    </row>
    <row r="137" spans="1:13" x14ac:dyDescent="0.25">
      <c r="A137" s="359" t="s">
        <v>1428</v>
      </c>
      <c r="B137" s="359" t="s">
        <v>844</v>
      </c>
      <c r="C137" s="359" t="s">
        <v>1341</v>
      </c>
      <c r="D137" s="359" t="s">
        <v>490</v>
      </c>
      <c r="E137" s="361">
        <v>46329.347224880003</v>
      </c>
      <c r="F137" s="359" t="s">
        <v>1412</v>
      </c>
      <c r="G137" s="361">
        <v>6.7643737862816414E-6</v>
      </c>
      <c r="H137" s="359" t="s">
        <v>490</v>
      </c>
      <c r="I137" s="361">
        <v>8.5860006000963946E-4</v>
      </c>
      <c r="J137" s="359" t="s">
        <v>1341</v>
      </c>
      <c r="K137" s="359" t="s">
        <v>1277</v>
      </c>
      <c r="M137" t="str">
        <f t="shared" si="3"/>
        <v>Oil &amp; grease</v>
      </c>
    </row>
    <row r="138" spans="1:13" x14ac:dyDescent="0.25">
      <c r="A138" s="359" t="s">
        <v>1428</v>
      </c>
      <c r="B138" s="359" t="s">
        <v>844</v>
      </c>
      <c r="C138" s="359" t="s">
        <v>1457</v>
      </c>
      <c r="D138" s="359" t="s">
        <v>490</v>
      </c>
      <c r="E138" s="361">
        <v>169526.984127</v>
      </c>
      <c r="F138" s="359" t="s">
        <v>1412</v>
      </c>
      <c r="G138" s="361">
        <v>6.7643737862816414E-6</v>
      </c>
      <c r="H138" s="359" t="s">
        <v>490</v>
      </c>
      <c r="I138" s="361">
        <v>3.1417640753316788E-3</v>
      </c>
      <c r="J138" s="359" t="s">
        <v>1457</v>
      </c>
      <c r="K138" s="359" t="s">
        <v>1277</v>
      </c>
      <c r="M138" t="str">
        <f t="shared" si="3"/>
        <v>Chemical Oxygen Demand (COD)</v>
      </c>
    </row>
    <row r="139" spans="1:13" x14ac:dyDescent="0.25">
      <c r="A139" s="359" t="s">
        <v>1428</v>
      </c>
      <c r="B139" s="359" t="s">
        <v>844</v>
      </c>
      <c r="C139" s="359" t="s">
        <v>1318</v>
      </c>
      <c r="D139" s="359" t="s">
        <v>490</v>
      </c>
      <c r="E139" s="361">
        <v>48.770975056700003</v>
      </c>
      <c r="F139" s="359" t="s">
        <v>1412</v>
      </c>
      <c r="G139" s="361">
        <v>6.7643737862816414E-6</v>
      </c>
      <c r="H139" s="359" t="s">
        <v>490</v>
      </c>
      <c r="I139" s="361">
        <v>9.0384960330119811E-7</v>
      </c>
      <c r="J139" s="359" t="s">
        <v>1318</v>
      </c>
      <c r="K139" s="359" t="s">
        <v>1277</v>
      </c>
      <c r="M139" t="str">
        <f t="shared" si="3"/>
        <v>Phenolics, total recoverable</v>
      </c>
    </row>
    <row r="140" spans="1:13" x14ac:dyDescent="0.25">
      <c r="A140" s="359" t="s">
        <v>1428</v>
      </c>
      <c r="B140" s="359" t="s">
        <v>844</v>
      </c>
      <c r="C140" s="359" t="s">
        <v>1432</v>
      </c>
      <c r="D140" s="359" t="s">
        <v>1427</v>
      </c>
      <c r="E140" s="361">
        <v>75.637188208599994</v>
      </c>
      <c r="F140" s="359" t="s">
        <v>1412</v>
      </c>
      <c r="G140" s="361">
        <v>6.7643737862816414E-6</v>
      </c>
      <c r="H140" s="359" t="s">
        <v>490</v>
      </c>
      <c r="I140" s="361">
        <v>1.4017485292775471E-6</v>
      </c>
      <c r="J140" s="359" t="s">
        <v>1432</v>
      </c>
      <c r="K140" s="359" t="s">
        <v>1277</v>
      </c>
      <c r="M140" t="str">
        <f t="shared" si="3"/>
        <v>Selenium, total (as Se)</v>
      </c>
    </row>
    <row r="141" spans="1:13" x14ac:dyDescent="0.25">
      <c r="A141" s="359" t="s">
        <v>1428</v>
      </c>
      <c r="B141" s="359" t="s">
        <v>844</v>
      </c>
      <c r="C141" s="359" t="s">
        <v>1433</v>
      </c>
      <c r="D141" s="359" t="s">
        <v>1434</v>
      </c>
      <c r="E141" s="361">
        <v>0</v>
      </c>
      <c r="F141" s="359" t="s">
        <v>1412</v>
      </c>
      <c r="G141" s="361">
        <v>6.7643737862816414E-6</v>
      </c>
      <c r="H141" s="359" t="s">
        <v>490</v>
      </c>
      <c r="I141" s="361">
        <v>0</v>
      </c>
      <c r="J141" s="359" t="s">
        <v>1433</v>
      </c>
      <c r="K141" s="359" t="s">
        <v>1277</v>
      </c>
      <c r="M141" t="str">
        <f t="shared" si="3"/>
        <v>Silver, total (as Ag)</v>
      </c>
    </row>
    <row r="142" spans="1:13" x14ac:dyDescent="0.25">
      <c r="A142" s="359" t="s">
        <v>1428</v>
      </c>
      <c r="B142" s="359" t="s">
        <v>844</v>
      </c>
      <c r="C142" s="359" t="s">
        <v>1322</v>
      </c>
      <c r="D142" s="359" t="s">
        <v>490</v>
      </c>
      <c r="E142" s="361">
        <v>7564.6258503400004</v>
      </c>
      <c r="F142" s="359" t="s">
        <v>1412</v>
      </c>
      <c r="G142" s="361">
        <v>6.7643737862816414E-6</v>
      </c>
      <c r="H142" s="359" t="s">
        <v>490</v>
      </c>
      <c r="I142" s="361">
        <v>1.4019166247963938E-4</v>
      </c>
      <c r="J142" s="359" t="s">
        <v>1322</v>
      </c>
      <c r="K142" s="359" t="s">
        <v>1277</v>
      </c>
      <c r="M142" t="str">
        <f t="shared" si="3"/>
        <v>Solids, total suspended</v>
      </c>
    </row>
    <row r="143" spans="1:13" x14ac:dyDescent="0.25">
      <c r="A143" s="359" t="s">
        <v>1428</v>
      </c>
      <c r="B143" s="359" t="s">
        <v>844</v>
      </c>
      <c r="C143" s="359" t="s">
        <v>1323</v>
      </c>
      <c r="D143" s="359" t="s">
        <v>1324</v>
      </c>
      <c r="E143" s="361">
        <v>174.66695849460001</v>
      </c>
      <c r="F143" s="359" t="s">
        <v>1412</v>
      </c>
      <c r="G143" s="361">
        <v>6.7643737862816414E-6</v>
      </c>
      <c r="H143" s="359" t="s">
        <v>490</v>
      </c>
      <c r="I143" s="361">
        <v>3.2370208092340162E-6</v>
      </c>
      <c r="J143" s="359" t="s">
        <v>1323</v>
      </c>
      <c r="K143" s="359" t="s">
        <v>1277</v>
      </c>
      <c r="M143" t="str">
        <f t="shared" si="3"/>
        <v>Sulfide, total (as S)</v>
      </c>
    </row>
    <row r="144" spans="1:13" ht="30" x14ac:dyDescent="0.25">
      <c r="A144" s="359" t="s">
        <v>1435</v>
      </c>
      <c r="B144" s="359" t="s">
        <v>888</v>
      </c>
      <c r="C144" s="359" t="s">
        <v>1268</v>
      </c>
      <c r="D144" s="359" t="s">
        <v>1269</v>
      </c>
      <c r="E144" s="360"/>
      <c r="F144" s="359" t="s">
        <v>1346</v>
      </c>
      <c r="G144" s="361">
        <v>4.4984255510571299E-6</v>
      </c>
      <c r="H144" s="359" t="s">
        <v>1412</v>
      </c>
      <c r="I144" s="361">
        <v>2.9790897689120069E-3</v>
      </c>
      <c r="J144" s="359" t="s">
        <v>1268</v>
      </c>
      <c r="K144" s="359" t="s">
        <v>1272</v>
      </c>
      <c r="M144" t="str">
        <f t="shared" si="3"/>
        <v>1,2,4-TRIMETHYLBENZENE</v>
      </c>
    </row>
    <row r="145" spans="1:13" ht="30" x14ac:dyDescent="0.25">
      <c r="A145" s="359" t="s">
        <v>1435</v>
      </c>
      <c r="B145" s="359" t="s">
        <v>888</v>
      </c>
      <c r="C145" s="359" t="s">
        <v>1313</v>
      </c>
      <c r="D145" s="359" t="s">
        <v>1312</v>
      </c>
      <c r="E145" s="360"/>
      <c r="F145" s="359" t="s">
        <v>1346</v>
      </c>
      <c r="G145" s="361">
        <v>4.4984255510571299E-6</v>
      </c>
      <c r="H145" s="359" t="s">
        <v>1436</v>
      </c>
      <c r="I145" s="361">
        <v>0.72019495163447755</v>
      </c>
      <c r="J145" s="359" t="s">
        <v>1313</v>
      </c>
      <c r="K145" s="359" t="s">
        <v>1272</v>
      </c>
      <c r="M145" t="str">
        <f t="shared" si="3"/>
        <v>AMMONIA</v>
      </c>
    </row>
    <row r="146" spans="1:13" ht="30" x14ac:dyDescent="0.25">
      <c r="A146" s="359" t="s">
        <v>1435</v>
      </c>
      <c r="B146" s="359" t="s">
        <v>888</v>
      </c>
      <c r="C146" s="359" t="s">
        <v>1273</v>
      </c>
      <c r="D146" s="359" t="s">
        <v>1274</v>
      </c>
      <c r="E146" s="360"/>
      <c r="F146" s="359" t="s">
        <v>1346</v>
      </c>
      <c r="G146" s="361">
        <v>4.4984255510571299E-6</v>
      </c>
      <c r="H146" s="359" t="s">
        <v>1412</v>
      </c>
      <c r="I146" s="361">
        <v>2.9790897689120069E-3</v>
      </c>
      <c r="J146" s="359" t="s">
        <v>1273</v>
      </c>
      <c r="K146" s="359" t="s">
        <v>1272</v>
      </c>
      <c r="M146" t="str">
        <f t="shared" si="3"/>
        <v>BENZENE</v>
      </c>
    </row>
    <row r="147" spans="1:13" ht="30" x14ac:dyDescent="0.25">
      <c r="A147" s="359" t="s">
        <v>1435</v>
      </c>
      <c r="B147" s="359" t="s">
        <v>888</v>
      </c>
      <c r="C147" s="359" t="s">
        <v>1352</v>
      </c>
      <c r="D147" s="359" t="s">
        <v>1353</v>
      </c>
      <c r="E147" s="360"/>
      <c r="F147" s="359" t="s">
        <v>1346</v>
      </c>
      <c r="G147" s="361">
        <v>4.4984255510571299E-6</v>
      </c>
      <c r="H147" s="359" t="s">
        <v>1286</v>
      </c>
      <c r="I147" s="361">
        <v>0</v>
      </c>
      <c r="J147" s="359" t="s">
        <v>1352</v>
      </c>
      <c r="K147" s="359" t="s">
        <v>1272</v>
      </c>
      <c r="M147" t="str">
        <f t="shared" si="3"/>
        <v>BENZO(G,H,I)PERYLENE</v>
      </c>
    </row>
    <row r="148" spans="1:13" ht="30" x14ac:dyDescent="0.25">
      <c r="A148" s="359" t="s">
        <v>1435</v>
      </c>
      <c r="B148" s="359" t="s">
        <v>888</v>
      </c>
      <c r="C148" s="359" t="s">
        <v>1437</v>
      </c>
      <c r="D148" s="359" t="s">
        <v>1438</v>
      </c>
      <c r="E148" s="360"/>
      <c r="F148" s="359" t="s">
        <v>1346</v>
      </c>
      <c r="G148" s="361">
        <v>4.4984255510571299E-6</v>
      </c>
      <c r="H148" s="359" t="s">
        <v>1439</v>
      </c>
      <c r="I148" s="361">
        <v>5.9805227110908528E-2</v>
      </c>
      <c r="J148" s="359" t="s">
        <v>1437</v>
      </c>
      <c r="K148" s="359" t="s">
        <v>1272</v>
      </c>
      <c r="M148" t="str">
        <f t="shared" si="3"/>
        <v>CHROMIUM AND CHROMIUM COMPOUNDS</v>
      </c>
    </row>
    <row r="149" spans="1:13" ht="30" x14ac:dyDescent="0.25">
      <c r="A149" s="359" t="s">
        <v>1435</v>
      </c>
      <c r="B149" s="359" t="s">
        <v>888</v>
      </c>
      <c r="C149" s="359" t="s">
        <v>1440</v>
      </c>
      <c r="D149" s="359" t="s">
        <v>1441</v>
      </c>
      <c r="E149" s="360"/>
      <c r="F149" s="359" t="s">
        <v>1346</v>
      </c>
      <c r="G149" s="361">
        <v>4.4984255510571299E-6</v>
      </c>
      <c r="H149" s="359" t="s">
        <v>1442</v>
      </c>
      <c r="I149" s="361">
        <v>1.7874538613472039E-2</v>
      </c>
      <c r="J149" s="359" t="s">
        <v>1440</v>
      </c>
      <c r="K149" s="359" t="s">
        <v>1272</v>
      </c>
      <c r="M149" t="str">
        <f t="shared" si="3"/>
        <v>COPPER AND COPPER COMPOUNDS</v>
      </c>
    </row>
    <row r="150" spans="1:13" ht="30" x14ac:dyDescent="0.25">
      <c r="A150" s="359" t="s">
        <v>1435</v>
      </c>
      <c r="B150" s="359" t="s">
        <v>888</v>
      </c>
      <c r="C150" s="359" t="s">
        <v>1443</v>
      </c>
      <c r="D150" s="359" t="s">
        <v>1444</v>
      </c>
      <c r="E150" s="360"/>
      <c r="F150" s="359" t="s">
        <v>1346</v>
      </c>
      <c r="G150" s="361">
        <v>4.4984255510571299E-6</v>
      </c>
      <c r="H150" s="359" t="s">
        <v>1346</v>
      </c>
      <c r="I150" s="361">
        <v>3.7238622111400083E-3</v>
      </c>
      <c r="J150" s="359" t="s">
        <v>1445</v>
      </c>
      <c r="K150" s="359" t="s">
        <v>1272</v>
      </c>
      <c r="M150" t="str">
        <f t="shared" si="3"/>
        <v>CRESOL(S)</v>
      </c>
    </row>
    <row r="151" spans="1:13" ht="30" x14ac:dyDescent="0.25">
      <c r="A151" s="359" t="s">
        <v>1435</v>
      </c>
      <c r="B151" s="359" t="s">
        <v>888</v>
      </c>
      <c r="C151" s="359" t="s">
        <v>1284</v>
      </c>
      <c r="D151" s="359" t="s">
        <v>1285</v>
      </c>
      <c r="E151" s="360"/>
      <c r="F151" s="359" t="s">
        <v>1346</v>
      </c>
      <c r="G151" s="361">
        <v>4.4984255510571299E-6</v>
      </c>
      <c r="H151" s="359" t="s">
        <v>1333</v>
      </c>
      <c r="I151" s="361">
        <v>7.4477244222800171E-4</v>
      </c>
      <c r="J151" s="359" t="s">
        <v>1287</v>
      </c>
      <c r="K151" s="359" t="s">
        <v>1272</v>
      </c>
      <c r="M151" t="str">
        <f t="shared" si="3"/>
        <v>ISOPROPYLBENZENE</v>
      </c>
    </row>
    <row r="152" spans="1:13" ht="30" x14ac:dyDescent="0.25">
      <c r="A152" s="359" t="s">
        <v>1435</v>
      </c>
      <c r="B152" s="359" t="s">
        <v>888</v>
      </c>
      <c r="C152" s="359" t="s">
        <v>1291</v>
      </c>
      <c r="D152" s="359" t="s">
        <v>1292</v>
      </c>
      <c r="E152" s="360"/>
      <c r="F152" s="359" t="s">
        <v>1346</v>
      </c>
      <c r="G152" s="361">
        <v>4.4984255510571299E-6</v>
      </c>
      <c r="H152" s="359" t="s">
        <v>1270</v>
      </c>
      <c r="I152" s="361">
        <v>1.4895448844560034E-3</v>
      </c>
      <c r="J152" s="359" t="s">
        <v>1291</v>
      </c>
      <c r="K152" s="359" t="s">
        <v>1272</v>
      </c>
      <c r="M152" t="str">
        <f t="shared" si="3"/>
        <v>CYCLOHEXANE</v>
      </c>
    </row>
    <row r="153" spans="1:13" ht="30" x14ac:dyDescent="0.25">
      <c r="A153" s="359" t="s">
        <v>1435</v>
      </c>
      <c r="B153" s="359" t="s">
        <v>888</v>
      </c>
      <c r="C153" s="359" t="s">
        <v>1362</v>
      </c>
      <c r="D153" s="359" t="s">
        <v>1363</v>
      </c>
      <c r="E153" s="360"/>
      <c r="F153" s="359" t="s">
        <v>1346</v>
      </c>
      <c r="G153" s="361">
        <v>4.4984255510571299E-6</v>
      </c>
      <c r="H153" s="359" t="s">
        <v>1286</v>
      </c>
      <c r="I153" s="361">
        <v>0</v>
      </c>
      <c r="J153" s="359" t="s">
        <v>1362</v>
      </c>
      <c r="K153" s="359" t="s">
        <v>1272</v>
      </c>
      <c r="M153" t="str">
        <f t="shared" si="3"/>
        <v>DIOXIN AND DIOXIN-LIKE COMPOUNDS</v>
      </c>
    </row>
    <row r="154" spans="1:13" ht="30" x14ac:dyDescent="0.25">
      <c r="A154" s="359" t="s">
        <v>1435</v>
      </c>
      <c r="B154" s="359" t="s">
        <v>888</v>
      </c>
      <c r="C154" s="359" t="s">
        <v>1295</v>
      </c>
      <c r="D154" s="359" t="s">
        <v>1296</v>
      </c>
      <c r="E154" s="360"/>
      <c r="F154" s="359" t="s">
        <v>1346</v>
      </c>
      <c r="G154" s="361">
        <v>4.4984255510571299E-6</v>
      </c>
      <c r="H154" s="359" t="s">
        <v>1446</v>
      </c>
      <c r="I154" s="361">
        <v>8.9372693067360195E-4</v>
      </c>
      <c r="J154" s="359" t="s">
        <v>1295</v>
      </c>
      <c r="K154" s="359" t="s">
        <v>1272</v>
      </c>
      <c r="M154" t="str">
        <f t="shared" si="3"/>
        <v>ETHYLBENZENE</v>
      </c>
    </row>
    <row r="155" spans="1:13" ht="30" x14ac:dyDescent="0.25">
      <c r="A155" s="359" t="s">
        <v>1435</v>
      </c>
      <c r="B155" s="359" t="s">
        <v>888</v>
      </c>
      <c r="C155" s="359" t="s">
        <v>1297</v>
      </c>
      <c r="D155" s="359" t="s">
        <v>1298</v>
      </c>
      <c r="E155" s="360"/>
      <c r="F155" s="359" t="s">
        <v>1346</v>
      </c>
      <c r="G155" s="361">
        <v>4.4984255510571299E-6</v>
      </c>
      <c r="H155" s="359" t="s">
        <v>1364</v>
      </c>
      <c r="I155" s="361">
        <v>2.4577490593524053E-2</v>
      </c>
      <c r="J155" s="359" t="s">
        <v>1297</v>
      </c>
      <c r="K155" s="359" t="s">
        <v>1272</v>
      </c>
      <c r="M155" t="str">
        <f t="shared" si="3"/>
        <v>LEAD AND LEAD COMPOUNDS</v>
      </c>
    </row>
    <row r="156" spans="1:13" ht="30" x14ac:dyDescent="0.25">
      <c r="A156" s="359" t="s">
        <v>1435</v>
      </c>
      <c r="B156" s="359" t="s">
        <v>888</v>
      </c>
      <c r="C156" s="359" t="s">
        <v>1447</v>
      </c>
      <c r="D156" s="359" t="s">
        <v>1448</v>
      </c>
      <c r="E156" s="360"/>
      <c r="F156" s="359" t="s">
        <v>1346</v>
      </c>
      <c r="G156" s="361">
        <v>4.4984255510571299E-6</v>
      </c>
      <c r="H156" s="359" t="s">
        <v>1449</v>
      </c>
      <c r="I156" s="361">
        <v>0.84010331483318579</v>
      </c>
      <c r="J156" s="359" t="s">
        <v>1447</v>
      </c>
      <c r="K156" s="359" t="s">
        <v>1272</v>
      </c>
      <c r="M156" t="str">
        <f t="shared" si="3"/>
        <v>MANGANESE AND MANGANESE COMPOUNDS</v>
      </c>
    </row>
    <row r="157" spans="1:13" ht="30" x14ac:dyDescent="0.25">
      <c r="A157" s="359" t="s">
        <v>1435</v>
      </c>
      <c r="B157" s="359" t="s">
        <v>888</v>
      </c>
      <c r="C157" s="359" t="s">
        <v>1300</v>
      </c>
      <c r="D157" s="359" t="s">
        <v>1301</v>
      </c>
      <c r="E157" s="360"/>
      <c r="F157" s="359" t="s">
        <v>1346</v>
      </c>
      <c r="G157" s="361">
        <v>4.4984255510571299E-6</v>
      </c>
      <c r="H157" s="359" t="s">
        <v>1271</v>
      </c>
      <c r="I157" s="361">
        <v>5.9581795378240137E-3</v>
      </c>
      <c r="J157" s="359" t="s">
        <v>1300</v>
      </c>
      <c r="K157" s="359" t="s">
        <v>1272</v>
      </c>
      <c r="M157" t="str">
        <f t="shared" si="3"/>
        <v>MERCURY AND MERCURY COMPOUNDS</v>
      </c>
    </row>
    <row r="158" spans="1:13" ht="30" x14ac:dyDescent="0.25">
      <c r="A158" s="359" t="s">
        <v>1435</v>
      </c>
      <c r="B158" s="359" t="s">
        <v>888</v>
      </c>
      <c r="C158" s="359" t="s">
        <v>1375</v>
      </c>
      <c r="D158" s="359" t="s">
        <v>1376</v>
      </c>
      <c r="E158" s="360"/>
      <c r="F158" s="359" t="s">
        <v>1346</v>
      </c>
      <c r="G158" s="361">
        <v>4.4984255510571299E-6</v>
      </c>
      <c r="H158" s="359" t="s">
        <v>1450</v>
      </c>
      <c r="I158" s="361">
        <v>2.3832718151296055E-2</v>
      </c>
      <c r="J158" s="359" t="s">
        <v>1375</v>
      </c>
      <c r="K158" s="359" t="s">
        <v>1272</v>
      </c>
      <c r="M158" t="str">
        <f t="shared" si="3"/>
        <v>METHANOL</v>
      </c>
    </row>
    <row r="159" spans="1:13" ht="30" x14ac:dyDescent="0.25">
      <c r="A159" s="359" t="s">
        <v>1435</v>
      </c>
      <c r="B159" s="359" t="s">
        <v>888</v>
      </c>
      <c r="C159" s="359" t="s">
        <v>1303</v>
      </c>
      <c r="D159" s="359" t="s">
        <v>1304</v>
      </c>
      <c r="E159" s="360"/>
      <c r="F159" s="359" t="s">
        <v>1346</v>
      </c>
      <c r="G159" s="361">
        <v>4.4984255510571299E-6</v>
      </c>
      <c r="H159" s="359" t="s">
        <v>1271</v>
      </c>
      <c r="I159" s="361">
        <v>5.9581795378240137E-3</v>
      </c>
      <c r="J159" s="359" t="s">
        <v>1303</v>
      </c>
      <c r="K159" s="359" t="s">
        <v>1272</v>
      </c>
      <c r="M159" t="str">
        <f t="shared" si="3"/>
        <v>NAPHTHALENE</v>
      </c>
    </row>
    <row r="160" spans="1:13" ht="30" x14ac:dyDescent="0.25">
      <c r="A160" s="359" t="s">
        <v>1435</v>
      </c>
      <c r="B160" s="359" t="s">
        <v>888</v>
      </c>
      <c r="C160" s="359" t="s">
        <v>1305</v>
      </c>
      <c r="D160" s="359" t="s">
        <v>1306</v>
      </c>
      <c r="E160" s="360"/>
      <c r="F160" s="359" t="s">
        <v>1346</v>
      </c>
      <c r="G160" s="361">
        <v>4.4984255510571299E-6</v>
      </c>
      <c r="H160" s="359" t="s">
        <v>1451</v>
      </c>
      <c r="I160" s="361">
        <v>1.1171586633420024E-2</v>
      </c>
      <c r="J160" s="359" t="s">
        <v>1305</v>
      </c>
      <c r="K160" s="359" t="s">
        <v>1272</v>
      </c>
      <c r="M160" t="str">
        <f t="shared" si="3"/>
        <v>N-HEXANE</v>
      </c>
    </row>
    <row r="161" spans="1:13" ht="30" x14ac:dyDescent="0.25">
      <c r="A161" s="359" t="s">
        <v>1435</v>
      </c>
      <c r="B161" s="359" t="s">
        <v>888</v>
      </c>
      <c r="C161" s="359" t="s">
        <v>1384</v>
      </c>
      <c r="D161" s="359" t="s">
        <v>1385</v>
      </c>
      <c r="E161" s="360"/>
      <c r="F161" s="359" t="s">
        <v>1346</v>
      </c>
      <c r="G161" s="361">
        <v>4.4984255510571299E-6</v>
      </c>
      <c r="H161" s="359" t="s">
        <v>1452</v>
      </c>
      <c r="I161" s="361">
        <v>0.32293333095006155</v>
      </c>
      <c r="J161" s="359" t="s">
        <v>1384</v>
      </c>
      <c r="K161" s="359" t="s">
        <v>1272</v>
      </c>
      <c r="M161" t="str">
        <f t="shared" si="3"/>
        <v>NICKEL AND NICKEL COMPOUNDS</v>
      </c>
    </row>
    <row r="162" spans="1:13" ht="30" x14ac:dyDescent="0.25">
      <c r="A162" s="359" t="s">
        <v>1435</v>
      </c>
      <c r="B162" s="359" t="s">
        <v>888</v>
      </c>
      <c r="C162" s="359" t="s">
        <v>1307</v>
      </c>
      <c r="D162" s="359" t="s">
        <v>1308</v>
      </c>
      <c r="E162" s="360"/>
      <c r="F162" s="359" t="s">
        <v>1346</v>
      </c>
      <c r="G162" s="361">
        <v>4.4984255510571299E-6</v>
      </c>
      <c r="H162" s="359" t="s">
        <v>1453</v>
      </c>
      <c r="I162" s="361">
        <v>21.889606849523197</v>
      </c>
      <c r="J162" s="359" t="s">
        <v>1310</v>
      </c>
      <c r="K162" s="359" t="s">
        <v>1272</v>
      </c>
      <c r="M162" t="str">
        <f t="shared" si="3"/>
        <v>NITRATE</v>
      </c>
    </row>
    <row r="163" spans="1:13" ht="30" x14ac:dyDescent="0.25">
      <c r="A163" s="359" t="s">
        <v>1435</v>
      </c>
      <c r="B163" s="359" t="s">
        <v>888</v>
      </c>
      <c r="C163" s="359" t="s">
        <v>1388</v>
      </c>
      <c r="D163" s="359" t="s">
        <v>1389</v>
      </c>
      <c r="E163" s="360"/>
      <c r="F163" s="359" t="s">
        <v>1346</v>
      </c>
      <c r="G163" s="361">
        <v>4.4984255510571299E-6</v>
      </c>
      <c r="H163" s="359" t="s">
        <v>1286</v>
      </c>
      <c r="I163" s="361">
        <v>0</v>
      </c>
      <c r="J163" s="359" t="s">
        <v>1388</v>
      </c>
      <c r="K163" s="359" t="s">
        <v>1272</v>
      </c>
      <c r="M163" t="str">
        <f t="shared" si="3"/>
        <v>PHENANTHRENE</v>
      </c>
    </row>
    <row r="164" spans="1:13" ht="30" x14ac:dyDescent="0.25">
      <c r="A164" s="359" t="s">
        <v>1435</v>
      </c>
      <c r="B164" s="359" t="s">
        <v>888</v>
      </c>
      <c r="C164" s="359" t="s">
        <v>1315</v>
      </c>
      <c r="D164" s="359" t="s">
        <v>1316</v>
      </c>
      <c r="E164" s="360"/>
      <c r="F164" s="359" t="s">
        <v>1346</v>
      </c>
      <c r="G164" s="361">
        <v>4.4984255510571299E-6</v>
      </c>
      <c r="H164" s="359" t="s">
        <v>1454</v>
      </c>
      <c r="I164" s="361">
        <v>0.29939852177565668</v>
      </c>
      <c r="J164" s="359" t="s">
        <v>1315</v>
      </c>
      <c r="K164" s="359" t="s">
        <v>1272</v>
      </c>
      <c r="M164" t="str">
        <f t="shared" si="3"/>
        <v>PHENOL</v>
      </c>
    </row>
    <row r="165" spans="1:13" ht="30" x14ac:dyDescent="0.25">
      <c r="A165" s="359" t="s">
        <v>1435</v>
      </c>
      <c r="B165" s="359" t="s">
        <v>888</v>
      </c>
      <c r="C165" s="359" t="s">
        <v>1319</v>
      </c>
      <c r="D165" s="359" t="s">
        <v>1320</v>
      </c>
      <c r="E165" s="360"/>
      <c r="F165" s="359" t="s">
        <v>1346</v>
      </c>
      <c r="G165" s="361">
        <v>4.4984255510571299E-6</v>
      </c>
      <c r="H165" s="359" t="s">
        <v>1286</v>
      </c>
      <c r="I165" s="361">
        <v>0</v>
      </c>
      <c r="J165" s="359" t="s">
        <v>1319</v>
      </c>
      <c r="K165" s="359" t="s">
        <v>1272</v>
      </c>
      <c r="M165" t="str">
        <f t="shared" si="3"/>
        <v>POLYCYCLIC AROMATIC COMPOUNDS</v>
      </c>
    </row>
    <row r="166" spans="1:13" ht="30" x14ac:dyDescent="0.25">
      <c r="A166" s="359" t="s">
        <v>1435</v>
      </c>
      <c r="B166" s="359" t="s">
        <v>888</v>
      </c>
      <c r="C166" s="359" t="s">
        <v>1325</v>
      </c>
      <c r="D166" s="359" t="s">
        <v>1326</v>
      </c>
      <c r="E166" s="360"/>
      <c r="F166" s="359" t="s">
        <v>1346</v>
      </c>
      <c r="G166" s="361">
        <v>4.4984255510571299E-6</v>
      </c>
      <c r="H166" s="359" t="s">
        <v>1455</v>
      </c>
      <c r="I166" s="361">
        <v>1.0426814191192024E-2</v>
      </c>
      <c r="J166" s="359" t="s">
        <v>1325</v>
      </c>
      <c r="K166" s="359" t="s">
        <v>1272</v>
      </c>
      <c r="M166" t="str">
        <f t="shared" si="3"/>
        <v>TOLUENE</v>
      </c>
    </row>
    <row r="167" spans="1:13" ht="30" x14ac:dyDescent="0.25">
      <c r="A167" s="359" t="s">
        <v>1435</v>
      </c>
      <c r="B167" s="359" t="s">
        <v>888</v>
      </c>
      <c r="C167" s="359" t="s">
        <v>1327</v>
      </c>
      <c r="D167" s="359" t="s">
        <v>1328</v>
      </c>
      <c r="E167" s="360"/>
      <c r="F167" s="359" t="s">
        <v>1346</v>
      </c>
      <c r="G167" s="361">
        <v>4.4984255510571299E-6</v>
      </c>
      <c r="H167" s="359" t="s">
        <v>1286</v>
      </c>
      <c r="I167" s="361">
        <v>0</v>
      </c>
      <c r="J167" s="359" t="s">
        <v>1329</v>
      </c>
      <c r="K167" s="359" t="s">
        <v>1272</v>
      </c>
      <c r="M167" t="str">
        <f t="shared" si="3"/>
        <v>XYLENES</v>
      </c>
    </row>
    <row r="168" spans="1:13" ht="30" x14ac:dyDescent="0.25">
      <c r="A168" s="359" t="s">
        <v>1456</v>
      </c>
      <c r="B168" s="359" t="s">
        <v>694</v>
      </c>
      <c r="C168" s="359" t="s">
        <v>1276</v>
      </c>
      <c r="D168" s="359" t="s">
        <v>490</v>
      </c>
      <c r="E168" s="361">
        <v>112431.29251699999</v>
      </c>
      <c r="F168" s="359" t="s">
        <v>1412</v>
      </c>
      <c r="G168" s="361">
        <v>2.5990903183885641E-6</v>
      </c>
      <c r="H168" s="359" t="s">
        <v>490</v>
      </c>
      <c r="I168" s="361">
        <v>8.0060022976670496E-4</v>
      </c>
      <c r="J168" s="359" t="s">
        <v>1276</v>
      </c>
      <c r="K168" s="359" t="s">
        <v>1277</v>
      </c>
      <c r="M168" t="str">
        <f t="shared" si="3"/>
        <v>BOD, 5-day, 20 deg. C</v>
      </c>
    </row>
    <row r="169" spans="1:13" ht="30" x14ac:dyDescent="0.25">
      <c r="A169" s="359" t="s">
        <v>1456</v>
      </c>
      <c r="B169" s="359" t="s">
        <v>694</v>
      </c>
      <c r="C169" s="359" t="s">
        <v>1278</v>
      </c>
      <c r="D169" s="359" t="s">
        <v>1279</v>
      </c>
      <c r="E169" s="361">
        <v>8874.64408</v>
      </c>
      <c r="F169" s="359" t="s">
        <v>1412</v>
      </c>
      <c r="G169" s="361">
        <v>2.5990903183885641E-6</v>
      </c>
      <c r="H169" s="359" t="s">
        <v>490</v>
      </c>
      <c r="I169" s="361">
        <v>6.3194524678006532E-5</v>
      </c>
      <c r="J169" s="359" t="s">
        <v>1278</v>
      </c>
      <c r="K169" s="359" t="s">
        <v>1277</v>
      </c>
      <c r="M169" t="str">
        <f t="shared" si="3"/>
        <v>Carbon, tot organic (TOC)</v>
      </c>
    </row>
    <row r="170" spans="1:13" ht="30" x14ac:dyDescent="0.25">
      <c r="A170" s="359" t="s">
        <v>1456</v>
      </c>
      <c r="B170" s="359" t="s">
        <v>694</v>
      </c>
      <c r="C170" s="359" t="s">
        <v>1457</v>
      </c>
      <c r="D170" s="359" t="s">
        <v>490</v>
      </c>
      <c r="E170" s="361">
        <v>1139583.2199500001</v>
      </c>
      <c r="F170" s="359" t="s">
        <v>1412</v>
      </c>
      <c r="G170" s="361">
        <v>2.5990903183885641E-6</v>
      </c>
      <c r="H170" s="359" t="s">
        <v>490</v>
      </c>
      <c r="I170" s="361">
        <v>8.1147389423838652E-3</v>
      </c>
      <c r="J170" s="359" t="s">
        <v>1457</v>
      </c>
      <c r="K170" s="359" t="s">
        <v>1277</v>
      </c>
      <c r="M170" t="str">
        <f t="shared" si="3"/>
        <v>Chemical Oxygen Demand (COD)</v>
      </c>
    </row>
    <row r="171" spans="1:13" ht="30" x14ac:dyDescent="0.25">
      <c r="A171" s="359" t="s">
        <v>1456</v>
      </c>
      <c r="B171" s="359" t="s">
        <v>694</v>
      </c>
      <c r="C171" s="359" t="s">
        <v>1416</v>
      </c>
      <c r="D171" s="359" t="s">
        <v>1417</v>
      </c>
      <c r="E171" s="361">
        <v>0</v>
      </c>
      <c r="F171" s="359" t="s">
        <v>1412</v>
      </c>
      <c r="G171" s="361">
        <v>2.5990903183885641E-6</v>
      </c>
      <c r="H171" s="359" t="s">
        <v>490</v>
      </c>
      <c r="I171" s="361">
        <v>0</v>
      </c>
      <c r="J171" s="359" t="s">
        <v>1418</v>
      </c>
      <c r="K171" s="359" t="s">
        <v>1277</v>
      </c>
      <c r="M171" t="str">
        <f t="shared" si="3"/>
        <v>CHLORINE</v>
      </c>
    </row>
    <row r="172" spans="1:13" ht="30" x14ac:dyDescent="0.25">
      <c r="A172" s="359" t="s">
        <v>1456</v>
      </c>
      <c r="B172" s="359" t="s">
        <v>694</v>
      </c>
      <c r="C172" s="359" t="s">
        <v>1458</v>
      </c>
      <c r="D172" s="359" t="s">
        <v>1281</v>
      </c>
      <c r="E172" s="361">
        <v>0</v>
      </c>
      <c r="F172" s="359" t="s">
        <v>1412</v>
      </c>
      <c r="G172" s="361">
        <v>2.5990903183885641E-6</v>
      </c>
      <c r="H172" s="359" t="s">
        <v>490</v>
      </c>
      <c r="I172" s="361">
        <v>0</v>
      </c>
      <c r="J172" s="359" t="s">
        <v>1458</v>
      </c>
      <c r="K172" s="359" t="s">
        <v>1277</v>
      </c>
      <c r="M172" t="str">
        <f t="shared" si="3"/>
        <v>Chromium, hexavalent dissolved (as Cr)</v>
      </c>
    </row>
    <row r="173" spans="1:13" ht="30" x14ac:dyDescent="0.25">
      <c r="A173" s="359" t="s">
        <v>1456</v>
      </c>
      <c r="B173" s="359" t="s">
        <v>694</v>
      </c>
      <c r="C173" s="359" t="s">
        <v>1282</v>
      </c>
      <c r="D173" s="359" t="s">
        <v>1283</v>
      </c>
      <c r="E173" s="361">
        <v>0</v>
      </c>
      <c r="F173" s="359" t="s">
        <v>1412</v>
      </c>
      <c r="G173" s="361">
        <v>2.5990903183885641E-6</v>
      </c>
      <c r="H173" s="359" t="s">
        <v>490</v>
      </c>
      <c r="I173" s="361">
        <v>0</v>
      </c>
      <c r="J173" s="359" t="s">
        <v>1282</v>
      </c>
      <c r="K173" s="359" t="s">
        <v>1277</v>
      </c>
      <c r="M173" t="str">
        <f t="shared" si="3"/>
        <v>Chromium, total (as Cr)</v>
      </c>
    </row>
    <row r="174" spans="1:13" ht="30" x14ac:dyDescent="0.25">
      <c r="A174" s="359" t="s">
        <v>1456</v>
      </c>
      <c r="B174" s="359" t="s">
        <v>694</v>
      </c>
      <c r="C174" s="359" t="s">
        <v>1468</v>
      </c>
      <c r="D174" s="359" t="s">
        <v>1459</v>
      </c>
      <c r="E174" s="361">
        <v>0.21471292517000001</v>
      </c>
      <c r="F174" s="359" t="s">
        <v>1412</v>
      </c>
      <c r="G174" s="361">
        <v>2.5990903183885641E-6</v>
      </c>
      <c r="H174" s="359" t="s">
        <v>490</v>
      </c>
      <c r="I174" s="361">
        <v>1.5289268083348913E-9</v>
      </c>
      <c r="J174" s="359" t="s">
        <v>1468</v>
      </c>
      <c r="K174" s="359" t="s">
        <v>1277</v>
      </c>
      <c r="M174" t="str">
        <f t="shared" si="3"/>
        <v>Mercury, total (as Hg)</v>
      </c>
    </row>
    <row r="175" spans="1:13" ht="30" x14ac:dyDescent="0.25">
      <c r="A175" s="359" t="s">
        <v>1456</v>
      </c>
      <c r="B175" s="359" t="s">
        <v>694</v>
      </c>
      <c r="C175" s="359" t="s">
        <v>1311</v>
      </c>
      <c r="D175" s="359" t="s">
        <v>1312</v>
      </c>
      <c r="E175" s="361">
        <v>0</v>
      </c>
      <c r="F175" s="359" t="s">
        <v>1412</v>
      </c>
      <c r="G175" s="361">
        <v>2.5990903183885641E-6</v>
      </c>
      <c r="H175" s="359" t="s">
        <v>490</v>
      </c>
      <c r="I175" s="361">
        <v>0</v>
      </c>
      <c r="J175" s="359" t="s">
        <v>1313</v>
      </c>
      <c r="K175" s="359" t="s">
        <v>1277</v>
      </c>
      <c r="M175" t="str">
        <f t="shared" si="3"/>
        <v>AMMONIA</v>
      </c>
    </row>
    <row r="176" spans="1:13" ht="30" x14ac:dyDescent="0.25">
      <c r="A176" s="359" t="s">
        <v>1456</v>
      </c>
      <c r="B176" s="359" t="s">
        <v>694</v>
      </c>
      <c r="C176" s="359" t="s">
        <v>1460</v>
      </c>
      <c r="D176" s="359" t="s">
        <v>490</v>
      </c>
      <c r="E176" s="361">
        <v>42933.406619099995</v>
      </c>
      <c r="F176" s="359" t="s">
        <v>1412</v>
      </c>
      <c r="G176" s="361">
        <v>2.5990903183885641E-6</v>
      </c>
      <c r="H176" s="359" t="s">
        <v>490</v>
      </c>
      <c r="I176" s="361">
        <v>3.0572000405244463E-4</v>
      </c>
      <c r="J176" s="359" t="s">
        <v>1460</v>
      </c>
      <c r="K176" s="359" t="s">
        <v>1277</v>
      </c>
      <c r="M176" t="str">
        <f t="shared" si="3"/>
        <v>Oil and grease, hexane extr method</v>
      </c>
    </row>
    <row r="177" spans="1:13" ht="30" x14ac:dyDescent="0.25">
      <c r="A177" s="359" t="s">
        <v>1456</v>
      </c>
      <c r="B177" s="359" t="s">
        <v>694</v>
      </c>
      <c r="C177" s="359" t="s">
        <v>1318</v>
      </c>
      <c r="D177" s="359" t="s">
        <v>490</v>
      </c>
      <c r="E177" s="361">
        <v>0</v>
      </c>
      <c r="F177" s="359" t="s">
        <v>1412</v>
      </c>
      <c r="G177" s="361">
        <v>2.5990903183885641E-6</v>
      </c>
      <c r="H177" s="359" t="s">
        <v>490</v>
      </c>
      <c r="I177" s="361">
        <v>0</v>
      </c>
      <c r="J177" s="359" t="s">
        <v>1318</v>
      </c>
      <c r="K177" s="359" t="s">
        <v>1277</v>
      </c>
      <c r="M177" t="str">
        <f t="shared" si="3"/>
        <v>Phenolics, total recoverable</v>
      </c>
    </row>
    <row r="178" spans="1:13" ht="30" x14ac:dyDescent="0.25">
      <c r="A178" s="359" t="s">
        <v>1456</v>
      </c>
      <c r="B178" s="359" t="s">
        <v>694</v>
      </c>
      <c r="C178" s="359" t="s">
        <v>1461</v>
      </c>
      <c r="D178" s="359" t="s">
        <v>1462</v>
      </c>
      <c r="E178" s="361">
        <v>4095.95289</v>
      </c>
      <c r="F178" s="359" t="s">
        <v>1412</v>
      </c>
      <c r="G178" s="361">
        <v>2.5990903183885641E-6</v>
      </c>
      <c r="H178" s="359" t="s">
        <v>490</v>
      </c>
      <c r="I178" s="361">
        <v>2.9166442468423725E-5</v>
      </c>
      <c r="J178" s="359" t="s">
        <v>1463</v>
      </c>
      <c r="K178" s="359" t="s">
        <v>1277</v>
      </c>
      <c r="M178" t="str">
        <f t="shared" si="3"/>
        <v>PHOSPHORUS</v>
      </c>
    </row>
    <row r="179" spans="1:13" ht="30" x14ac:dyDescent="0.25">
      <c r="A179" s="359" t="s">
        <v>1456</v>
      </c>
      <c r="B179" s="359" t="s">
        <v>694</v>
      </c>
      <c r="C179" s="359" t="s">
        <v>1322</v>
      </c>
      <c r="D179" s="359" t="s">
        <v>490</v>
      </c>
      <c r="E179" s="361">
        <v>415775.05668899999</v>
      </c>
      <c r="F179" s="359" t="s">
        <v>1412</v>
      </c>
      <c r="G179" s="361">
        <v>2.5990903183885641E-6</v>
      </c>
      <c r="H179" s="359" t="s">
        <v>490</v>
      </c>
      <c r="I179" s="361">
        <v>2.9606491081310585E-3</v>
      </c>
      <c r="J179" s="359" t="s">
        <v>1322</v>
      </c>
      <c r="K179" s="359" t="s">
        <v>1277</v>
      </c>
      <c r="M179" t="str">
        <f t="shared" si="3"/>
        <v>Solids, total suspended</v>
      </c>
    </row>
    <row r="180" spans="1:13" ht="30" x14ac:dyDescent="0.25">
      <c r="A180" s="359" t="s">
        <v>1456</v>
      </c>
      <c r="B180" s="359" t="s">
        <v>694</v>
      </c>
      <c r="C180" s="359" t="s">
        <v>1323</v>
      </c>
      <c r="D180" s="359" t="s">
        <v>1324</v>
      </c>
      <c r="E180" s="361">
        <v>203.80952381</v>
      </c>
      <c r="F180" s="359" t="s">
        <v>1412</v>
      </c>
      <c r="G180" s="361">
        <v>2.5990903183885641E-6</v>
      </c>
      <c r="H180" s="359" t="s">
        <v>490</v>
      </c>
      <c r="I180" s="361">
        <v>1.4512859181642591E-6</v>
      </c>
      <c r="J180" s="359" t="s">
        <v>1323</v>
      </c>
      <c r="K180" s="359" t="s">
        <v>1277</v>
      </c>
      <c r="M180" t="str">
        <f t="shared" si="3"/>
        <v>Sulfide, total (as S)</v>
      </c>
    </row>
    <row r="181" spans="1:13" ht="30" x14ac:dyDescent="0.25">
      <c r="A181" s="359" t="s">
        <v>1456</v>
      </c>
      <c r="B181" s="359" t="s">
        <v>694</v>
      </c>
      <c r="C181" s="359" t="s">
        <v>1464</v>
      </c>
      <c r="D181" s="359" t="s">
        <v>1465</v>
      </c>
      <c r="E181" s="361">
        <v>5295.1020408200002</v>
      </c>
      <c r="F181" s="359" t="s">
        <v>1412</v>
      </c>
      <c r="G181" s="361">
        <v>2.5990903183885641E-6</v>
      </c>
      <c r="H181" s="359" t="s">
        <v>490</v>
      </c>
      <c r="I181" s="361">
        <v>3.7705338216917234E-5</v>
      </c>
      <c r="J181" s="359" t="s">
        <v>1464</v>
      </c>
      <c r="K181" s="359" t="s">
        <v>1277</v>
      </c>
      <c r="M181" t="str">
        <f t="shared" si="3"/>
        <v>Vanadium, total recoverable</v>
      </c>
    </row>
    <row r="182" spans="1:13" ht="45" x14ac:dyDescent="0.25">
      <c r="A182" s="359" t="s">
        <v>1466</v>
      </c>
      <c r="B182" s="359" t="s">
        <v>741</v>
      </c>
      <c r="C182" s="359" t="s">
        <v>1273</v>
      </c>
      <c r="D182" s="359" t="s">
        <v>1274</v>
      </c>
      <c r="E182" s="360"/>
      <c r="F182" s="359" t="s">
        <v>1333</v>
      </c>
      <c r="G182" s="361">
        <v>2.2339016092743355E-6</v>
      </c>
      <c r="H182" s="359" t="s">
        <v>1346</v>
      </c>
      <c r="I182" s="361">
        <v>1.8492562990681583E-3</v>
      </c>
      <c r="J182" s="359" t="s">
        <v>1273</v>
      </c>
      <c r="K182" s="359" t="s">
        <v>1272</v>
      </c>
      <c r="M182" t="str">
        <f t="shared" si="3"/>
        <v>BENZENE</v>
      </c>
    </row>
    <row r="183" spans="1:13" ht="45" x14ac:dyDescent="0.25">
      <c r="A183" s="359" t="s">
        <v>1466</v>
      </c>
      <c r="B183" s="359" t="s">
        <v>741</v>
      </c>
      <c r="C183" s="359" t="s">
        <v>1276</v>
      </c>
      <c r="D183" s="359" t="s">
        <v>490</v>
      </c>
      <c r="E183" s="361">
        <v>2647.2191539999999</v>
      </c>
      <c r="F183" s="359" t="s">
        <v>1333</v>
      </c>
      <c r="G183" s="361">
        <v>2.2339016092743355E-6</v>
      </c>
      <c r="H183" s="359" t="s">
        <v>490</v>
      </c>
      <c r="I183" s="361">
        <v>1.6201718159513546E-5</v>
      </c>
      <c r="J183" s="359" t="s">
        <v>1276</v>
      </c>
      <c r="K183" s="359" t="s">
        <v>1277</v>
      </c>
      <c r="M183" t="str">
        <f t="shared" si="3"/>
        <v>BOD, 5-day, 20 deg. C</v>
      </c>
    </row>
    <row r="184" spans="1:13" ht="45" x14ac:dyDescent="0.25">
      <c r="A184" s="359" t="s">
        <v>1466</v>
      </c>
      <c r="B184" s="359" t="s">
        <v>741</v>
      </c>
      <c r="C184" s="359" t="s">
        <v>1278</v>
      </c>
      <c r="D184" s="359" t="s">
        <v>1279</v>
      </c>
      <c r="E184" s="361">
        <v>906.072114478</v>
      </c>
      <c r="F184" s="359" t="s">
        <v>1333</v>
      </c>
      <c r="G184" s="361">
        <v>2.2339016092743355E-6</v>
      </c>
      <c r="H184" s="359" t="s">
        <v>490</v>
      </c>
      <c r="I184" s="361">
        <v>5.5454135743863129E-6</v>
      </c>
      <c r="J184" s="359" t="s">
        <v>1278</v>
      </c>
      <c r="K184" s="359" t="s">
        <v>1277</v>
      </c>
      <c r="M184" t="str">
        <f t="shared" si="3"/>
        <v>Carbon, tot organic (TOC)</v>
      </c>
    </row>
    <row r="185" spans="1:13" ht="45" x14ac:dyDescent="0.25">
      <c r="A185" s="359" t="s">
        <v>1466</v>
      </c>
      <c r="B185" s="359" t="s">
        <v>741</v>
      </c>
      <c r="C185" s="359" t="s">
        <v>1280</v>
      </c>
      <c r="D185" s="359" t="s">
        <v>1281</v>
      </c>
      <c r="E185" s="361">
        <v>2.83764172336</v>
      </c>
      <c r="F185" s="359" t="s">
        <v>1333</v>
      </c>
      <c r="G185" s="361">
        <v>2.2339016092743355E-6</v>
      </c>
      <c r="H185" s="359" t="s">
        <v>490</v>
      </c>
      <c r="I185" s="361">
        <v>1.7367157294131241E-8</v>
      </c>
      <c r="J185" s="359" t="s">
        <v>1280</v>
      </c>
      <c r="K185" s="359" t="s">
        <v>1277</v>
      </c>
      <c r="M185" t="str">
        <f t="shared" si="3"/>
        <v>Chromium, hexavalent (as Cr)</v>
      </c>
    </row>
    <row r="186" spans="1:13" ht="45" x14ac:dyDescent="0.25">
      <c r="A186" s="359" t="s">
        <v>1466</v>
      </c>
      <c r="B186" s="359" t="s">
        <v>741</v>
      </c>
      <c r="C186" s="359" t="s">
        <v>1282</v>
      </c>
      <c r="D186" s="359" t="s">
        <v>1283</v>
      </c>
      <c r="E186" s="361">
        <v>2.9219954648500002</v>
      </c>
      <c r="F186" s="359" t="s">
        <v>1333</v>
      </c>
      <c r="G186" s="361">
        <v>2.2339016092743355E-6</v>
      </c>
      <c r="H186" s="359" t="s">
        <v>490</v>
      </c>
      <c r="I186" s="361">
        <v>1.7883425674577329E-8</v>
      </c>
      <c r="J186" s="359" t="s">
        <v>1282</v>
      </c>
      <c r="K186" s="359" t="s">
        <v>1277</v>
      </c>
      <c r="M186" t="str">
        <f t="shared" si="3"/>
        <v>Chromium, total (as Cr)</v>
      </c>
    </row>
    <row r="187" spans="1:13" ht="45" x14ac:dyDescent="0.25">
      <c r="A187" s="359" t="s">
        <v>1466</v>
      </c>
      <c r="B187" s="359" t="s">
        <v>741</v>
      </c>
      <c r="C187" s="359" t="s">
        <v>1467</v>
      </c>
      <c r="D187" s="359" t="s">
        <v>1441</v>
      </c>
      <c r="E187" s="361">
        <v>5.9013536054999998</v>
      </c>
      <c r="F187" s="359" t="s">
        <v>1333</v>
      </c>
      <c r="G187" s="361">
        <v>2.2339016092743355E-6</v>
      </c>
      <c r="H187" s="359" t="s">
        <v>490</v>
      </c>
      <c r="I187" s="361">
        <v>3.6117926893762606E-8</v>
      </c>
      <c r="J187" s="359" t="s">
        <v>1467</v>
      </c>
      <c r="K187" s="359" t="s">
        <v>1277</v>
      </c>
      <c r="M187" t="str">
        <f t="shared" si="3"/>
        <v>Copper, total (as Cu)</v>
      </c>
    </row>
    <row r="188" spans="1:13" ht="45" x14ac:dyDescent="0.25">
      <c r="A188" s="359" t="s">
        <v>1466</v>
      </c>
      <c r="B188" s="359" t="s">
        <v>741</v>
      </c>
      <c r="C188" s="359" t="s">
        <v>1291</v>
      </c>
      <c r="D188" s="359" t="s">
        <v>1292</v>
      </c>
      <c r="E188" s="360"/>
      <c r="F188" s="359" t="s">
        <v>1333</v>
      </c>
      <c r="G188" s="361">
        <v>2.2339016092743355E-6</v>
      </c>
      <c r="H188" s="359" t="s">
        <v>1346</v>
      </c>
      <c r="I188" s="361">
        <v>1.8492562990681583E-3</v>
      </c>
      <c r="J188" s="359" t="s">
        <v>1291</v>
      </c>
      <c r="K188" s="359" t="s">
        <v>1272</v>
      </c>
      <c r="M188" t="str">
        <f t="shared" si="3"/>
        <v>CYCLOHEXANE</v>
      </c>
    </row>
    <row r="189" spans="1:13" ht="45" x14ac:dyDescent="0.25">
      <c r="A189" s="359" t="s">
        <v>1466</v>
      </c>
      <c r="B189" s="359" t="s">
        <v>741</v>
      </c>
      <c r="C189" s="359" t="s">
        <v>1295</v>
      </c>
      <c r="D189" s="359" t="s">
        <v>1296</v>
      </c>
      <c r="E189" s="360"/>
      <c r="F189" s="359" t="s">
        <v>1333</v>
      </c>
      <c r="G189" s="361">
        <v>2.2339016092743355E-6</v>
      </c>
      <c r="H189" s="359" t="s">
        <v>1346</v>
      </c>
      <c r="I189" s="361">
        <v>1.8492562990681583E-3</v>
      </c>
      <c r="J189" s="359" t="s">
        <v>1295</v>
      </c>
      <c r="K189" s="359" t="s">
        <v>1272</v>
      </c>
      <c r="M189" t="str">
        <f t="shared" si="3"/>
        <v>ETHYLBENZENE</v>
      </c>
    </row>
    <row r="190" spans="1:13" ht="45" x14ac:dyDescent="0.25">
      <c r="A190" s="359" t="s">
        <v>1466</v>
      </c>
      <c r="B190" s="359" t="s">
        <v>741</v>
      </c>
      <c r="C190" s="359" t="s">
        <v>1468</v>
      </c>
      <c r="D190" s="359" t="s">
        <v>1459</v>
      </c>
      <c r="E190" s="361">
        <v>3.183642985E-2</v>
      </c>
      <c r="F190" s="359" t="s">
        <v>1333</v>
      </c>
      <c r="G190" s="361">
        <v>2.2339016092743355E-6</v>
      </c>
      <c r="H190" s="359" t="s">
        <v>490</v>
      </c>
      <c r="I190" s="361">
        <v>1.9484781335743697E-10</v>
      </c>
      <c r="J190" s="359" t="s">
        <v>1468</v>
      </c>
      <c r="K190" s="359" t="s">
        <v>1277</v>
      </c>
      <c r="M190" t="str">
        <f t="shared" si="3"/>
        <v>Mercury, total (as Hg)</v>
      </c>
    </row>
    <row r="191" spans="1:13" ht="45" x14ac:dyDescent="0.25">
      <c r="A191" s="359" t="s">
        <v>1466</v>
      </c>
      <c r="B191" s="359" t="s">
        <v>741</v>
      </c>
      <c r="C191" s="359" t="s">
        <v>1303</v>
      </c>
      <c r="D191" s="359" t="s">
        <v>1304</v>
      </c>
      <c r="E191" s="360"/>
      <c r="F191" s="359" t="s">
        <v>1333</v>
      </c>
      <c r="G191" s="361">
        <v>2.2339016092743355E-6</v>
      </c>
      <c r="H191" s="359" t="s">
        <v>1346</v>
      </c>
      <c r="I191" s="361">
        <v>1.8492562990681583E-3</v>
      </c>
      <c r="J191" s="359" t="s">
        <v>1303</v>
      </c>
      <c r="K191" s="359" t="s">
        <v>1272</v>
      </c>
      <c r="M191" t="str">
        <f t="shared" si="3"/>
        <v>NAPHTHALENE</v>
      </c>
    </row>
    <row r="192" spans="1:13" ht="45" x14ac:dyDescent="0.25">
      <c r="A192" s="359" t="s">
        <v>1466</v>
      </c>
      <c r="B192" s="359" t="s">
        <v>741</v>
      </c>
      <c r="C192" s="359" t="s">
        <v>1305</v>
      </c>
      <c r="D192" s="359" t="s">
        <v>1306</v>
      </c>
      <c r="E192" s="360"/>
      <c r="F192" s="359" t="s">
        <v>1333</v>
      </c>
      <c r="G192" s="361">
        <v>2.2339016092743355E-6</v>
      </c>
      <c r="H192" s="359" t="s">
        <v>1346</v>
      </c>
      <c r="I192" s="361">
        <v>1.8492562990681583E-3</v>
      </c>
      <c r="J192" s="359" t="s">
        <v>1305</v>
      </c>
      <c r="K192" s="359" t="s">
        <v>1272</v>
      </c>
      <c r="M192" t="str">
        <f t="shared" si="3"/>
        <v>N-HEXANE</v>
      </c>
    </row>
    <row r="193" spans="1:13" ht="45" x14ac:dyDescent="0.25">
      <c r="A193" s="359" t="s">
        <v>1466</v>
      </c>
      <c r="B193" s="359" t="s">
        <v>741</v>
      </c>
      <c r="C193" s="359" t="s">
        <v>1311</v>
      </c>
      <c r="D193" s="359" t="s">
        <v>1312</v>
      </c>
      <c r="E193" s="361">
        <v>797.51473922900004</v>
      </c>
      <c r="F193" s="359" t="s">
        <v>1333</v>
      </c>
      <c r="G193" s="361">
        <v>2.2339016092743355E-6</v>
      </c>
      <c r="H193" s="359" t="s">
        <v>490</v>
      </c>
      <c r="I193" s="361">
        <v>4.8810122174894937E-6</v>
      </c>
      <c r="J193" s="359" t="s">
        <v>1313</v>
      </c>
      <c r="K193" s="359" t="s">
        <v>1277</v>
      </c>
      <c r="M193" t="str">
        <f t="shared" si="3"/>
        <v>AMMONIA</v>
      </c>
    </row>
    <row r="194" spans="1:13" ht="45" x14ac:dyDescent="0.25">
      <c r="A194" s="359" t="s">
        <v>1466</v>
      </c>
      <c r="B194" s="359" t="s">
        <v>741</v>
      </c>
      <c r="C194" s="359" t="s">
        <v>1314</v>
      </c>
      <c r="D194" s="359" t="s">
        <v>490</v>
      </c>
      <c r="E194" s="361">
        <v>1814.4961827499999</v>
      </c>
      <c r="F194" s="359" t="s">
        <v>1333</v>
      </c>
      <c r="G194" s="361">
        <v>2.2339016092743355E-6</v>
      </c>
      <c r="H194" s="359" t="s">
        <v>490</v>
      </c>
      <c r="I194" s="361">
        <v>1.1105221760732503E-5</v>
      </c>
      <c r="J194" s="359" t="s">
        <v>1314</v>
      </c>
      <c r="K194" s="359" t="s">
        <v>1277</v>
      </c>
      <c r="M194" t="str">
        <f t="shared" si="3"/>
        <v>Oil and grease</v>
      </c>
    </row>
    <row r="195" spans="1:13" ht="45" x14ac:dyDescent="0.25">
      <c r="A195" s="359" t="s">
        <v>1466</v>
      </c>
      <c r="B195" s="359" t="s">
        <v>741</v>
      </c>
      <c r="C195" s="359" t="s">
        <v>1457</v>
      </c>
      <c r="D195" s="359" t="s">
        <v>490</v>
      </c>
      <c r="E195" s="361">
        <v>42927.8004535</v>
      </c>
      <c r="F195" s="359" t="s">
        <v>1333</v>
      </c>
      <c r="G195" s="361">
        <v>2.2339016092743355E-6</v>
      </c>
      <c r="H195" s="359" t="s">
        <v>490</v>
      </c>
      <c r="I195" s="361">
        <v>2.6273008908405808E-4</v>
      </c>
      <c r="J195" s="359" t="s">
        <v>1457</v>
      </c>
      <c r="K195" s="359" t="s">
        <v>1277</v>
      </c>
      <c r="M195" t="str">
        <f t="shared" si="3"/>
        <v>Chemical Oxygen Demand (COD)</v>
      </c>
    </row>
    <row r="196" spans="1:13" ht="45" x14ac:dyDescent="0.25">
      <c r="A196" s="359" t="s">
        <v>1466</v>
      </c>
      <c r="B196" s="359" t="s">
        <v>741</v>
      </c>
      <c r="C196" s="359" t="s">
        <v>1318</v>
      </c>
      <c r="D196" s="359" t="s">
        <v>490</v>
      </c>
      <c r="E196" s="361">
        <v>9.2344671201799997</v>
      </c>
      <c r="F196" s="359" t="s">
        <v>1333</v>
      </c>
      <c r="G196" s="361">
        <v>2.2339016092743355E-6</v>
      </c>
      <c r="H196" s="359" t="s">
        <v>490</v>
      </c>
      <c r="I196" s="361">
        <v>5.6517509480989151E-8</v>
      </c>
      <c r="J196" s="359" t="s">
        <v>1318</v>
      </c>
      <c r="K196" s="359" t="s">
        <v>1277</v>
      </c>
      <c r="M196" t="str">
        <f t="shared" si="3"/>
        <v>Phenolics, total recoverable</v>
      </c>
    </row>
    <row r="197" spans="1:13" ht="45" x14ac:dyDescent="0.25">
      <c r="A197" s="359" t="s">
        <v>1466</v>
      </c>
      <c r="B197" s="359" t="s">
        <v>741</v>
      </c>
      <c r="C197" s="359" t="s">
        <v>1322</v>
      </c>
      <c r="D197" s="359" t="s">
        <v>490</v>
      </c>
      <c r="E197" s="361">
        <v>5838.2663989399998</v>
      </c>
      <c r="F197" s="359" t="s">
        <v>1333</v>
      </c>
      <c r="G197" s="361">
        <v>2.2339016092743355E-6</v>
      </c>
      <c r="H197" s="359" t="s">
        <v>490</v>
      </c>
      <c r="I197" s="361">
        <v>3.5731815627299573E-5</v>
      </c>
      <c r="J197" s="359" t="s">
        <v>1322</v>
      </c>
      <c r="K197" s="359" t="s">
        <v>1277</v>
      </c>
      <c r="M197" t="str">
        <f t="shared" si="3"/>
        <v>Solids, total suspended</v>
      </c>
    </row>
    <row r="198" spans="1:13" ht="45" x14ac:dyDescent="0.25">
      <c r="A198" s="359" t="s">
        <v>1466</v>
      </c>
      <c r="B198" s="359" t="s">
        <v>741</v>
      </c>
      <c r="C198" s="359" t="s">
        <v>1323</v>
      </c>
      <c r="D198" s="359" t="s">
        <v>1324</v>
      </c>
      <c r="E198" s="361">
        <v>16.110204081599999</v>
      </c>
      <c r="F198" s="359" t="s">
        <v>1333</v>
      </c>
      <c r="G198" s="361">
        <v>2.2339016092743355E-6</v>
      </c>
      <c r="H198" s="359" t="s">
        <v>490</v>
      </c>
      <c r="I198" s="361">
        <v>9.8598933763353984E-8</v>
      </c>
      <c r="J198" s="359" t="s">
        <v>1323</v>
      </c>
      <c r="K198" s="359" t="s">
        <v>1277</v>
      </c>
      <c r="M198" t="str">
        <f t="shared" ref="M198:M261" si="4">IF(J198="",C198,J198)</f>
        <v>Sulfide, total (as S)</v>
      </c>
    </row>
    <row r="199" spans="1:13" ht="45" x14ac:dyDescent="0.25">
      <c r="A199" s="359" t="s">
        <v>1466</v>
      </c>
      <c r="B199" s="359" t="s">
        <v>741</v>
      </c>
      <c r="C199" s="359" t="s">
        <v>1325</v>
      </c>
      <c r="D199" s="359" t="s">
        <v>1326</v>
      </c>
      <c r="E199" s="360"/>
      <c r="F199" s="359" t="s">
        <v>1333</v>
      </c>
      <c r="G199" s="361">
        <v>2.2339016092743355E-6</v>
      </c>
      <c r="H199" s="359" t="s">
        <v>1346</v>
      </c>
      <c r="I199" s="361">
        <v>1.8492562990681583E-3</v>
      </c>
      <c r="J199" s="359" t="s">
        <v>1325</v>
      </c>
      <c r="K199" s="359" t="s">
        <v>1272</v>
      </c>
      <c r="M199" t="str">
        <f t="shared" si="4"/>
        <v>TOLUENE</v>
      </c>
    </row>
    <row r="200" spans="1:13" ht="45" x14ac:dyDescent="0.25">
      <c r="A200" s="359" t="s">
        <v>1466</v>
      </c>
      <c r="B200" s="359" t="s">
        <v>741</v>
      </c>
      <c r="C200" s="359" t="s">
        <v>1327</v>
      </c>
      <c r="D200" s="359" t="s">
        <v>1328</v>
      </c>
      <c r="E200" s="360"/>
      <c r="F200" s="359" t="s">
        <v>1333</v>
      </c>
      <c r="G200" s="361">
        <v>2.2339016092743355E-6</v>
      </c>
      <c r="H200" s="359" t="s">
        <v>1346</v>
      </c>
      <c r="I200" s="361">
        <v>1.8492562990681583E-3</v>
      </c>
      <c r="J200" s="359" t="s">
        <v>1329</v>
      </c>
      <c r="K200" s="359" t="s">
        <v>1272</v>
      </c>
      <c r="M200" t="str">
        <f t="shared" si="4"/>
        <v>XYLENES</v>
      </c>
    </row>
    <row r="201" spans="1:13" ht="30" x14ac:dyDescent="0.25">
      <c r="A201" s="359" t="s">
        <v>1469</v>
      </c>
      <c r="B201" s="359" t="s">
        <v>714</v>
      </c>
      <c r="C201" s="359" t="s">
        <v>1268</v>
      </c>
      <c r="D201" s="359" t="s">
        <v>1269</v>
      </c>
      <c r="E201" s="360"/>
      <c r="F201" s="359" t="s">
        <v>1333</v>
      </c>
      <c r="G201" s="361">
        <v>1.0346491664007448E-4</v>
      </c>
      <c r="H201" s="359" t="s">
        <v>1286</v>
      </c>
      <c r="I201" s="361">
        <v>0</v>
      </c>
      <c r="J201" s="359" t="s">
        <v>1268</v>
      </c>
      <c r="K201" s="359" t="s">
        <v>1272</v>
      </c>
      <c r="M201" t="str">
        <f t="shared" si="4"/>
        <v>1,2,4-TRIMETHYLBENZENE</v>
      </c>
    </row>
    <row r="202" spans="1:13" ht="30" x14ac:dyDescent="0.25">
      <c r="A202" s="359" t="s">
        <v>1469</v>
      </c>
      <c r="B202" s="359" t="s">
        <v>714</v>
      </c>
      <c r="C202" s="359" t="s">
        <v>1273</v>
      </c>
      <c r="D202" s="359" t="s">
        <v>1274</v>
      </c>
      <c r="E202" s="360"/>
      <c r="F202" s="359" t="s">
        <v>1333</v>
      </c>
      <c r="G202" s="361">
        <v>1.0346491664007448E-4</v>
      </c>
      <c r="H202" s="359" t="s">
        <v>1286</v>
      </c>
      <c r="I202" s="361">
        <v>0</v>
      </c>
      <c r="J202" s="359" t="s">
        <v>1273</v>
      </c>
      <c r="K202" s="359" t="s">
        <v>1272</v>
      </c>
      <c r="M202" t="str">
        <f t="shared" si="4"/>
        <v>BENZENE</v>
      </c>
    </row>
    <row r="203" spans="1:13" ht="30" x14ac:dyDescent="0.25">
      <c r="A203" s="359" t="s">
        <v>1469</v>
      </c>
      <c r="B203" s="359" t="s">
        <v>714</v>
      </c>
      <c r="C203" s="359" t="s">
        <v>1276</v>
      </c>
      <c r="D203" s="359" t="s">
        <v>490</v>
      </c>
      <c r="E203" s="361">
        <v>1577.98639456</v>
      </c>
      <c r="F203" s="359" t="s">
        <v>1333</v>
      </c>
      <c r="G203" s="361">
        <v>1.0346491664007448E-4</v>
      </c>
      <c r="H203" s="359" t="s">
        <v>490</v>
      </c>
      <c r="I203" s="361">
        <v>4.4730474184197829E-4</v>
      </c>
      <c r="J203" s="359" t="s">
        <v>1276</v>
      </c>
      <c r="K203" s="359" t="s">
        <v>1277</v>
      </c>
      <c r="M203" t="str">
        <f t="shared" si="4"/>
        <v>BOD, 5-day, 20 deg. C</v>
      </c>
    </row>
    <row r="204" spans="1:13" ht="30" x14ac:dyDescent="0.25">
      <c r="A204" s="359" t="s">
        <v>1469</v>
      </c>
      <c r="B204" s="359" t="s">
        <v>714</v>
      </c>
      <c r="C204" s="359" t="s">
        <v>1278</v>
      </c>
      <c r="D204" s="359" t="s">
        <v>1279</v>
      </c>
      <c r="E204" s="361">
        <v>887.31801933999998</v>
      </c>
      <c r="F204" s="359" t="s">
        <v>1333</v>
      </c>
      <c r="G204" s="361">
        <v>1.0346491664007448E-4</v>
      </c>
      <c r="H204" s="359" t="s">
        <v>490</v>
      </c>
      <c r="I204" s="361">
        <v>2.5152406823081942E-4</v>
      </c>
      <c r="J204" s="359" t="s">
        <v>1278</v>
      </c>
      <c r="K204" s="359" t="s">
        <v>1277</v>
      </c>
      <c r="M204" t="str">
        <f t="shared" si="4"/>
        <v>Carbon, tot organic (TOC)</v>
      </c>
    </row>
    <row r="205" spans="1:13" ht="30" x14ac:dyDescent="0.25">
      <c r="A205" s="359" t="s">
        <v>1469</v>
      </c>
      <c r="B205" s="359" t="s">
        <v>714</v>
      </c>
      <c r="C205" s="359" t="s">
        <v>1291</v>
      </c>
      <c r="D205" s="359" t="s">
        <v>1292</v>
      </c>
      <c r="E205" s="360"/>
      <c r="F205" s="359" t="s">
        <v>1333</v>
      </c>
      <c r="G205" s="361">
        <v>1.0346491664007448E-4</v>
      </c>
      <c r="H205" s="359" t="s">
        <v>1286</v>
      </c>
      <c r="I205" s="361">
        <v>0</v>
      </c>
      <c r="J205" s="359" t="s">
        <v>1291</v>
      </c>
      <c r="K205" s="359" t="s">
        <v>1272</v>
      </c>
      <c r="M205" t="str">
        <f t="shared" si="4"/>
        <v>CYCLOHEXANE</v>
      </c>
    </row>
    <row r="206" spans="1:13" ht="30" x14ac:dyDescent="0.25">
      <c r="A206" s="359" t="s">
        <v>1469</v>
      </c>
      <c r="B206" s="359" t="s">
        <v>714</v>
      </c>
      <c r="C206" s="359" t="s">
        <v>1295</v>
      </c>
      <c r="D206" s="359" t="s">
        <v>1296</v>
      </c>
      <c r="E206" s="360"/>
      <c r="F206" s="359" t="s">
        <v>1333</v>
      </c>
      <c r="G206" s="361">
        <v>1.0346491664007448E-4</v>
      </c>
      <c r="H206" s="359" t="s">
        <v>1286</v>
      </c>
      <c r="I206" s="361">
        <v>0</v>
      </c>
      <c r="J206" s="359" t="s">
        <v>1295</v>
      </c>
      <c r="K206" s="359" t="s">
        <v>1272</v>
      </c>
      <c r="M206" t="str">
        <f t="shared" si="4"/>
        <v>ETHYLBENZENE</v>
      </c>
    </row>
    <row r="207" spans="1:13" ht="30" x14ac:dyDescent="0.25">
      <c r="A207" s="359" t="s">
        <v>1469</v>
      </c>
      <c r="B207" s="359" t="s">
        <v>714</v>
      </c>
      <c r="C207" s="359" t="s">
        <v>1297</v>
      </c>
      <c r="D207" s="359" t="s">
        <v>1298</v>
      </c>
      <c r="E207" s="360"/>
      <c r="F207" s="359" t="s">
        <v>1333</v>
      </c>
      <c r="G207" s="361">
        <v>1.0346491664007448E-4</v>
      </c>
      <c r="H207" s="359" t="s">
        <v>1470</v>
      </c>
      <c r="I207" s="361">
        <v>7.023280765303069E-3</v>
      </c>
      <c r="J207" s="359" t="s">
        <v>1297</v>
      </c>
      <c r="K207" s="359" t="s">
        <v>1272</v>
      </c>
      <c r="M207" t="str">
        <f t="shared" si="4"/>
        <v>LEAD AND LEAD COMPOUNDS</v>
      </c>
    </row>
    <row r="208" spans="1:13" ht="30" x14ac:dyDescent="0.25">
      <c r="A208" s="359" t="s">
        <v>1469</v>
      </c>
      <c r="B208" s="359" t="s">
        <v>714</v>
      </c>
      <c r="C208" s="359" t="s">
        <v>1305</v>
      </c>
      <c r="D208" s="359" t="s">
        <v>1306</v>
      </c>
      <c r="E208" s="360"/>
      <c r="F208" s="359" t="s">
        <v>1333</v>
      </c>
      <c r="G208" s="361">
        <v>1.0346491664007448E-4</v>
      </c>
      <c r="H208" s="359" t="s">
        <v>1286</v>
      </c>
      <c r="I208" s="361">
        <v>0</v>
      </c>
      <c r="J208" s="359" t="s">
        <v>1305</v>
      </c>
      <c r="K208" s="359" t="s">
        <v>1272</v>
      </c>
      <c r="M208" t="str">
        <f t="shared" si="4"/>
        <v>N-HEXANE</v>
      </c>
    </row>
    <row r="209" spans="1:13" ht="30" x14ac:dyDescent="0.25">
      <c r="A209" s="359" t="s">
        <v>1469</v>
      </c>
      <c r="B209" s="359" t="s">
        <v>714</v>
      </c>
      <c r="C209" s="359" t="s">
        <v>1384</v>
      </c>
      <c r="D209" s="359" t="s">
        <v>1385</v>
      </c>
      <c r="E209" s="360"/>
      <c r="F209" s="359" t="s">
        <v>1333</v>
      </c>
      <c r="G209" s="361">
        <v>1.0346491664007448E-4</v>
      </c>
      <c r="H209" s="359" t="s">
        <v>1471</v>
      </c>
      <c r="I209" s="361">
        <v>0.10277971851663029</v>
      </c>
      <c r="J209" s="359" t="s">
        <v>1384</v>
      </c>
      <c r="K209" s="359" t="s">
        <v>1272</v>
      </c>
      <c r="M209" t="str">
        <f t="shared" si="4"/>
        <v>NICKEL AND NICKEL COMPOUNDS</v>
      </c>
    </row>
    <row r="210" spans="1:13" ht="30" x14ac:dyDescent="0.25">
      <c r="A210" s="359" t="s">
        <v>1469</v>
      </c>
      <c r="B210" s="359" t="s">
        <v>714</v>
      </c>
      <c r="C210" s="359" t="s">
        <v>1311</v>
      </c>
      <c r="D210" s="359" t="s">
        <v>1312</v>
      </c>
      <c r="E210" s="361">
        <v>32.338321995500003</v>
      </c>
      <c r="F210" s="359" t="s">
        <v>1333</v>
      </c>
      <c r="G210" s="361">
        <v>1.0346491664007448E-4</v>
      </c>
      <c r="H210" s="359" t="s">
        <v>490</v>
      </c>
      <c r="I210" s="361">
        <v>9.1667994234090265E-6</v>
      </c>
      <c r="J210" s="359" t="s">
        <v>1313</v>
      </c>
      <c r="K210" s="359" t="s">
        <v>1277</v>
      </c>
      <c r="M210" t="str">
        <f t="shared" si="4"/>
        <v>AMMONIA</v>
      </c>
    </row>
    <row r="211" spans="1:13" ht="30" x14ac:dyDescent="0.25">
      <c r="A211" s="359" t="s">
        <v>1469</v>
      </c>
      <c r="B211" s="359" t="s">
        <v>714</v>
      </c>
      <c r="C211" s="359" t="s">
        <v>1314</v>
      </c>
      <c r="D211" s="359" t="s">
        <v>490</v>
      </c>
      <c r="E211" s="361">
        <v>33.820158094100002</v>
      </c>
      <c r="F211" s="359" t="s">
        <v>1333</v>
      </c>
      <c r="G211" s="361">
        <v>1.0346491664007448E-4</v>
      </c>
      <c r="H211" s="359" t="s">
        <v>490</v>
      </c>
      <c r="I211" s="361">
        <v>9.5868488711238271E-6</v>
      </c>
      <c r="J211" s="359" t="s">
        <v>1314</v>
      </c>
      <c r="K211" s="359" t="s">
        <v>1277</v>
      </c>
      <c r="M211" t="str">
        <f t="shared" si="4"/>
        <v>Oil and grease</v>
      </c>
    </row>
    <row r="212" spans="1:13" ht="30" x14ac:dyDescent="0.25">
      <c r="A212" s="359" t="s">
        <v>1469</v>
      </c>
      <c r="B212" s="359" t="s">
        <v>714</v>
      </c>
      <c r="C212" s="359" t="s">
        <v>1457</v>
      </c>
      <c r="D212" s="359" t="s">
        <v>490</v>
      </c>
      <c r="E212" s="361">
        <v>4543.3709750600001</v>
      </c>
      <c r="F212" s="359" t="s">
        <v>1333</v>
      </c>
      <c r="G212" s="361">
        <v>1.0346491664007448E-4</v>
      </c>
      <c r="H212" s="359" t="s">
        <v>490</v>
      </c>
      <c r="I212" s="361">
        <v>1.2878890389027859E-3</v>
      </c>
      <c r="J212" s="359" t="s">
        <v>1457</v>
      </c>
      <c r="K212" s="359" t="s">
        <v>1277</v>
      </c>
      <c r="M212" t="str">
        <f t="shared" si="4"/>
        <v>Chemical Oxygen Demand (COD)</v>
      </c>
    </row>
    <row r="213" spans="1:13" ht="30" x14ac:dyDescent="0.25">
      <c r="A213" s="359" t="s">
        <v>1469</v>
      </c>
      <c r="B213" s="359" t="s">
        <v>714</v>
      </c>
      <c r="C213" s="359" t="s">
        <v>1318</v>
      </c>
      <c r="D213" s="359" t="s">
        <v>490</v>
      </c>
      <c r="E213" s="361">
        <v>1.7650793650800001</v>
      </c>
      <c r="F213" s="359" t="s">
        <v>1333</v>
      </c>
      <c r="G213" s="361">
        <v>1.0346491664007448E-4</v>
      </c>
      <c r="H213" s="359" t="s">
        <v>490</v>
      </c>
      <c r="I213" s="361">
        <v>5.0033914896196656E-7</v>
      </c>
      <c r="J213" s="359" t="s">
        <v>1318</v>
      </c>
      <c r="K213" s="359" t="s">
        <v>1277</v>
      </c>
      <c r="M213" t="str">
        <f t="shared" si="4"/>
        <v>Phenolics, total recoverable</v>
      </c>
    </row>
    <row r="214" spans="1:13" ht="30" x14ac:dyDescent="0.25">
      <c r="A214" s="359" t="s">
        <v>1469</v>
      </c>
      <c r="B214" s="359" t="s">
        <v>714</v>
      </c>
      <c r="C214" s="359" t="s">
        <v>1319</v>
      </c>
      <c r="D214" s="359" t="s">
        <v>1320</v>
      </c>
      <c r="E214" s="360"/>
      <c r="F214" s="359" t="s">
        <v>1333</v>
      </c>
      <c r="G214" s="361">
        <v>1.0346491664007448E-4</v>
      </c>
      <c r="H214" s="359" t="s">
        <v>1286</v>
      </c>
      <c r="I214" s="361">
        <v>0</v>
      </c>
      <c r="J214" s="359" t="s">
        <v>1319</v>
      </c>
      <c r="K214" s="359" t="s">
        <v>1272</v>
      </c>
      <c r="M214" t="str">
        <f t="shared" si="4"/>
        <v>POLYCYCLIC AROMATIC COMPOUNDS</v>
      </c>
    </row>
    <row r="215" spans="1:13" ht="30" x14ac:dyDescent="0.25">
      <c r="A215" s="359" t="s">
        <v>1469</v>
      </c>
      <c r="B215" s="359" t="s">
        <v>714</v>
      </c>
      <c r="C215" s="359" t="s">
        <v>1322</v>
      </c>
      <c r="D215" s="359" t="s">
        <v>490</v>
      </c>
      <c r="E215" s="361">
        <v>4201.1537415000003</v>
      </c>
      <c r="F215" s="359" t="s">
        <v>1333</v>
      </c>
      <c r="G215" s="361">
        <v>1.0346491664007448E-4</v>
      </c>
      <c r="H215" s="359" t="s">
        <v>490</v>
      </c>
      <c r="I215" s="361">
        <v>1.1908822511135194E-3</v>
      </c>
      <c r="J215" s="359" t="s">
        <v>1322</v>
      </c>
      <c r="K215" s="359" t="s">
        <v>1277</v>
      </c>
      <c r="M215" t="str">
        <f t="shared" si="4"/>
        <v>Solids, total suspended</v>
      </c>
    </row>
    <row r="216" spans="1:13" ht="30" x14ac:dyDescent="0.25">
      <c r="A216" s="359" t="s">
        <v>1469</v>
      </c>
      <c r="B216" s="359" t="s">
        <v>714</v>
      </c>
      <c r="C216" s="359" t="s">
        <v>1323</v>
      </c>
      <c r="D216" s="359" t="s">
        <v>1324</v>
      </c>
      <c r="E216" s="361">
        <v>1.87029478458</v>
      </c>
      <c r="F216" s="359" t="s">
        <v>1333</v>
      </c>
      <c r="G216" s="361">
        <v>1.0346491664007448E-4</v>
      </c>
      <c r="H216" s="359" t="s">
        <v>490</v>
      </c>
      <c r="I216" s="361">
        <v>5.3016409309297468E-7</v>
      </c>
      <c r="J216" s="359" t="s">
        <v>1323</v>
      </c>
      <c r="K216" s="359" t="s">
        <v>1277</v>
      </c>
      <c r="M216" t="str">
        <f t="shared" si="4"/>
        <v>Sulfide, total (as S)</v>
      </c>
    </row>
    <row r="217" spans="1:13" ht="30" x14ac:dyDescent="0.25">
      <c r="A217" s="359" t="s">
        <v>1469</v>
      </c>
      <c r="B217" s="359" t="s">
        <v>714</v>
      </c>
      <c r="C217" s="359" t="s">
        <v>1325</v>
      </c>
      <c r="D217" s="359" t="s">
        <v>1326</v>
      </c>
      <c r="E217" s="360"/>
      <c r="F217" s="359" t="s">
        <v>1333</v>
      </c>
      <c r="G217" s="361">
        <v>1.0346491664007448E-4</v>
      </c>
      <c r="H217" s="359" t="s">
        <v>1286</v>
      </c>
      <c r="I217" s="361">
        <v>0</v>
      </c>
      <c r="J217" s="359" t="s">
        <v>1325</v>
      </c>
      <c r="K217" s="359" t="s">
        <v>1272</v>
      </c>
      <c r="M217" t="str">
        <f t="shared" si="4"/>
        <v>TOLUENE</v>
      </c>
    </row>
    <row r="218" spans="1:13" ht="30" x14ac:dyDescent="0.25">
      <c r="A218" s="359" t="s">
        <v>1469</v>
      </c>
      <c r="B218" s="359" t="s">
        <v>714</v>
      </c>
      <c r="C218" s="359" t="s">
        <v>1327</v>
      </c>
      <c r="D218" s="359" t="s">
        <v>1328</v>
      </c>
      <c r="E218" s="360"/>
      <c r="F218" s="359" t="s">
        <v>1333</v>
      </c>
      <c r="G218" s="361">
        <v>1.0346491664007448E-4</v>
      </c>
      <c r="H218" s="359" t="s">
        <v>1286</v>
      </c>
      <c r="I218" s="361">
        <v>0</v>
      </c>
      <c r="J218" s="359" t="s">
        <v>1329</v>
      </c>
      <c r="K218" s="359" t="s">
        <v>1272</v>
      </c>
      <c r="M218" t="str">
        <f t="shared" si="4"/>
        <v>XYLENES</v>
      </c>
    </row>
    <row r="219" spans="1:13" ht="30" x14ac:dyDescent="0.25">
      <c r="A219" s="359" t="s">
        <v>1469</v>
      </c>
      <c r="B219" s="359" t="s">
        <v>714</v>
      </c>
      <c r="C219" s="359" t="s">
        <v>1342</v>
      </c>
      <c r="D219" s="359" t="s">
        <v>1343</v>
      </c>
      <c r="E219" s="360"/>
      <c r="F219" s="359" t="s">
        <v>1333</v>
      </c>
      <c r="G219" s="361">
        <v>1.0346491664007448E-4</v>
      </c>
      <c r="H219" s="359" t="s">
        <v>1346</v>
      </c>
      <c r="I219" s="361">
        <v>8.5649765430525243E-2</v>
      </c>
      <c r="J219" s="359" t="s">
        <v>1342</v>
      </c>
      <c r="K219" s="359" t="s">
        <v>1272</v>
      </c>
      <c r="M219" t="str">
        <f t="shared" si="4"/>
        <v>ZINC AND ZINC COMPOUNDS</v>
      </c>
    </row>
    <row r="220" spans="1:13" ht="45" x14ac:dyDescent="0.25">
      <c r="A220" s="359" t="s">
        <v>1472</v>
      </c>
      <c r="B220" s="359" t="s">
        <v>722</v>
      </c>
      <c r="C220" s="359" t="s">
        <v>1268</v>
      </c>
      <c r="D220" s="359" t="s">
        <v>1269</v>
      </c>
      <c r="E220" s="360"/>
      <c r="F220" s="359" t="s">
        <v>1473</v>
      </c>
      <c r="G220" s="361">
        <v>2.8083334516591648E-5</v>
      </c>
      <c r="H220" s="359" t="s">
        <v>1275</v>
      </c>
      <c r="I220" s="361">
        <v>3.2546910863599593E-2</v>
      </c>
      <c r="J220" s="359" t="s">
        <v>1268</v>
      </c>
      <c r="K220" s="359" t="s">
        <v>1272</v>
      </c>
      <c r="M220" t="str">
        <f t="shared" si="4"/>
        <v>1,2,4-TRIMETHYLBENZENE</v>
      </c>
    </row>
    <row r="221" spans="1:13" ht="45" x14ac:dyDescent="0.25">
      <c r="A221" s="359" t="s">
        <v>1472</v>
      </c>
      <c r="B221" s="359" t="s">
        <v>722</v>
      </c>
      <c r="C221" s="359" t="s">
        <v>1273</v>
      </c>
      <c r="D221" s="359" t="s">
        <v>1274</v>
      </c>
      <c r="E221" s="360"/>
      <c r="F221" s="359" t="s">
        <v>1473</v>
      </c>
      <c r="G221" s="361">
        <v>2.8083334516591648E-5</v>
      </c>
      <c r="H221" s="359" t="s">
        <v>1351</v>
      </c>
      <c r="I221" s="361">
        <v>6.0444263032399234E-2</v>
      </c>
      <c r="J221" s="359" t="s">
        <v>1273</v>
      </c>
      <c r="K221" s="359" t="s">
        <v>1272</v>
      </c>
      <c r="M221" t="str">
        <f t="shared" si="4"/>
        <v>BENZENE</v>
      </c>
    </row>
    <row r="222" spans="1:13" ht="45" x14ac:dyDescent="0.25">
      <c r="A222" s="359" t="s">
        <v>1472</v>
      </c>
      <c r="B222" s="359" t="s">
        <v>722</v>
      </c>
      <c r="C222" s="359" t="s">
        <v>1276</v>
      </c>
      <c r="D222" s="359" t="s">
        <v>490</v>
      </c>
      <c r="E222" s="361">
        <v>76367.800453499993</v>
      </c>
      <c r="F222" s="359" t="s">
        <v>1473</v>
      </c>
      <c r="G222" s="361">
        <v>2.8083334516591648E-5</v>
      </c>
      <c r="H222" s="359" t="s">
        <v>490</v>
      </c>
      <c r="I222" s="361">
        <v>5.8757876340601633E-3</v>
      </c>
      <c r="J222" s="359" t="s">
        <v>1276</v>
      </c>
      <c r="K222" s="359" t="s">
        <v>1277</v>
      </c>
      <c r="M222" t="str">
        <f t="shared" si="4"/>
        <v>BOD, 5-day, 20 deg. C</v>
      </c>
    </row>
    <row r="223" spans="1:13" ht="45" x14ac:dyDescent="0.25">
      <c r="A223" s="359" t="s">
        <v>1472</v>
      </c>
      <c r="B223" s="359" t="s">
        <v>722</v>
      </c>
      <c r="C223" s="359" t="s">
        <v>1278</v>
      </c>
      <c r="D223" s="359" t="s">
        <v>1279</v>
      </c>
      <c r="E223" s="361">
        <v>113556.20512899999</v>
      </c>
      <c r="F223" s="359" t="s">
        <v>1473</v>
      </c>
      <c r="G223" s="361">
        <v>2.8083334516591648E-5</v>
      </c>
      <c r="H223" s="359" t="s">
        <v>490</v>
      </c>
      <c r="I223" s="361">
        <v>8.7370873837600196E-3</v>
      </c>
      <c r="J223" s="359" t="s">
        <v>1278</v>
      </c>
      <c r="K223" s="359" t="s">
        <v>1277</v>
      </c>
      <c r="M223" t="str">
        <f t="shared" si="4"/>
        <v>Carbon, tot organic (TOC)</v>
      </c>
    </row>
    <row r="224" spans="1:13" ht="45" x14ac:dyDescent="0.25">
      <c r="A224" s="359" t="s">
        <v>1472</v>
      </c>
      <c r="B224" s="359" t="s">
        <v>722</v>
      </c>
      <c r="C224" s="359" t="s">
        <v>1291</v>
      </c>
      <c r="D224" s="359" t="s">
        <v>1292</v>
      </c>
      <c r="E224" s="360"/>
      <c r="F224" s="359" t="s">
        <v>1473</v>
      </c>
      <c r="G224" s="361">
        <v>2.8083334516591648E-5</v>
      </c>
      <c r="H224" s="359" t="s">
        <v>1412</v>
      </c>
      <c r="I224" s="361">
        <v>1.8598234779199765E-2</v>
      </c>
      <c r="J224" s="359" t="s">
        <v>1291</v>
      </c>
      <c r="K224" s="359" t="s">
        <v>1272</v>
      </c>
      <c r="M224" t="str">
        <f t="shared" si="4"/>
        <v>CYCLOHEXANE</v>
      </c>
    </row>
    <row r="225" spans="1:13" ht="45" x14ac:dyDescent="0.25">
      <c r="A225" s="359" t="s">
        <v>1472</v>
      </c>
      <c r="B225" s="359" t="s">
        <v>722</v>
      </c>
      <c r="C225" s="359" t="s">
        <v>1295</v>
      </c>
      <c r="D225" s="359" t="s">
        <v>1296</v>
      </c>
      <c r="E225" s="360"/>
      <c r="F225" s="359" t="s">
        <v>1473</v>
      </c>
      <c r="G225" s="361">
        <v>2.8083334516591648E-5</v>
      </c>
      <c r="H225" s="359" t="s">
        <v>1270</v>
      </c>
      <c r="I225" s="361">
        <v>9.2991173895998827E-3</v>
      </c>
      <c r="J225" s="359" t="s">
        <v>1295</v>
      </c>
      <c r="K225" s="359" t="s">
        <v>1272</v>
      </c>
      <c r="M225" t="str">
        <f t="shared" si="4"/>
        <v>ETHYLBENZENE</v>
      </c>
    </row>
    <row r="226" spans="1:13" ht="45" x14ac:dyDescent="0.25">
      <c r="A226" s="359" t="s">
        <v>1472</v>
      </c>
      <c r="B226" s="359" t="s">
        <v>722</v>
      </c>
      <c r="C226" s="359" t="s">
        <v>1297</v>
      </c>
      <c r="D226" s="359" t="s">
        <v>1298</v>
      </c>
      <c r="E226" s="360"/>
      <c r="F226" s="359" t="s">
        <v>1473</v>
      </c>
      <c r="G226" s="361">
        <v>2.8083334516591648E-5</v>
      </c>
      <c r="H226" s="359" t="s">
        <v>1286</v>
      </c>
      <c r="I226" s="361">
        <v>0</v>
      </c>
      <c r="J226" s="359" t="s">
        <v>1297</v>
      </c>
      <c r="K226" s="359" t="s">
        <v>1272</v>
      </c>
      <c r="M226" t="str">
        <f t="shared" si="4"/>
        <v>LEAD AND LEAD COMPOUNDS</v>
      </c>
    </row>
    <row r="227" spans="1:13" ht="45" x14ac:dyDescent="0.25">
      <c r="A227" s="359" t="s">
        <v>1472</v>
      </c>
      <c r="B227" s="359" t="s">
        <v>722</v>
      </c>
      <c r="C227" s="359" t="s">
        <v>1303</v>
      </c>
      <c r="D227" s="359" t="s">
        <v>1304</v>
      </c>
      <c r="E227" s="360"/>
      <c r="F227" s="359" t="s">
        <v>1473</v>
      </c>
      <c r="G227" s="361">
        <v>2.8083334516591648E-5</v>
      </c>
      <c r="H227" s="359" t="s">
        <v>1286</v>
      </c>
      <c r="I227" s="361">
        <v>0</v>
      </c>
      <c r="J227" s="359" t="s">
        <v>1303</v>
      </c>
      <c r="K227" s="359" t="s">
        <v>1272</v>
      </c>
      <c r="M227" t="str">
        <f t="shared" si="4"/>
        <v>NAPHTHALENE</v>
      </c>
    </row>
    <row r="228" spans="1:13" ht="45" x14ac:dyDescent="0.25">
      <c r="A228" s="359" t="s">
        <v>1472</v>
      </c>
      <c r="B228" s="359" t="s">
        <v>722</v>
      </c>
      <c r="C228" s="359" t="s">
        <v>1305</v>
      </c>
      <c r="D228" s="359" t="s">
        <v>1306</v>
      </c>
      <c r="E228" s="360"/>
      <c r="F228" s="359" t="s">
        <v>1473</v>
      </c>
      <c r="G228" s="361">
        <v>2.8083334516591648E-5</v>
      </c>
      <c r="H228" s="359" t="s">
        <v>1346</v>
      </c>
      <c r="I228" s="361">
        <v>2.3247793473999707E-2</v>
      </c>
      <c r="J228" s="359" t="s">
        <v>1305</v>
      </c>
      <c r="K228" s="359" t="s">
        <v>1272</v>
      </c>
      <c r="M228" t="str">
        <f t="shared" si="4"/>
        <v>N-HEXANE</v>
      </c>
    </row>
    <row r="229" spans="1:13" ht="45" x14ac:dyDescent="0.25">
      <c r="A229" s="359" t="s">
        <v>1472</v>
      </c>
      <c r="B229" s="359" t="s">
        <v>722</v>
      </c>
      <c r="C229" s="359" t="s">
        <v>1311</v>
      </c>
      <c r="D229" s="359" t="s">
        <v>1312</v>
      </c>
      <c r="E229" s="361">
        <v>31799.092970500002</v>
      </c>
      <c r="F229" s="359" t="s">
        <v>1473</v>
      </c>
      <c r="G229" s="361">
        <v>2.8083334516591648E-5</v>
      </c>
      <c r="H229" s="359" t="s">
        <v>490</v>
      </c>
      <c r="I229" s="361">
        <v>2.4466426444239714E-3</v>
      </c>
      <c r="J229" s="359" t="s">
        <v>1313</v>
      </c>
      <c r="K229" s="359" t="s">
        <v>1277</v>
      </c>
      <c r="M229" t="str">
        <f t="shared" si="4"/>
        <v>AMMONIA</v>
      </c>
    </row>
    <row r="230" spans="1:13" ht="45" x14ac:dyDescent="0.25">
      <c r="A230" s="359" t="s">
        <v>1472</v>
      </c>
      <c r="B230" s="359" t="s">
        <v>722</v>
      </c>
      <c r="C230" s="359" t="s">
        <v>1314</v>
      </c>
      <c r="D230" s="359" t="s">
        <v>490</v>
      </c>
      <c r="E230" s="361">
        <v>70435.729244000002</v>
      </c>
      <c r="F230" s="359" t="s">
        <v>1473</v>
      </c>
      <c r="G230" s="361">
        <v>2.8083334516591648E-5</v>
      </c>
      <c r="H230" s="359" t="s">
        <v>490</v>
      </c>
      <c r="I230" s="361">
        <v>5.4193702637789836E-3</v>
      </c>
      <c r="J230" s="359" t="s">
        <v>1314</v>
      </c>
      <c r="K230" s="359" t="s">
        <v>1277</v>
      </c>
      <c r="M230" t="str">
        <f t="shared" si="4"/>
        <v>Oil and grease</v>
      </c>
    </row>
    <row r="231" spans="1:13" ht="45" x14ac:dyDescent="0.25">
      <c r="A231" s="359" t="s">
        <v>1472</v>
      </c>
      <c r="B231" s="359" t="s">
        <v>722</v>
      </c>
      <c r="C231" s="359" t="s">
        <v>1457</v>
      </c>
      <c r="D231" s="359" t="s">
        <v>490</v>
      </c>
      <c r="E231" s="361">
        <v>470143.310658</v>
      </c>
      <c r="F231" s="359" t="s">
        <v>1473</v>
      </c>
      <c r="G231" s="361">
        <v>2.8083334516591648E-5</v>
      </c>
      <c r="H231" s="359" t="s">
        <v>490</v>
      </c>
      <c r="I231" s="361">
        <v>3.6173128394373921E-2</v>
      </c>
      <c r="J231" s="359" t="s">
        <v>1457</v>
      </c>
      <c r="K231" s="359" t="s">
        <v>1277</v>
      </c>
      <c r="M231" t="str">
        <f t="shared" si="4"/>
        <v>Chemical Oxygen Demand (COD)</v>
      </c>
    </row>
    <row r="232" spans="1:13" ht="45" x14ac:dyDescent="0.25">
      <c r="A232" s="359" t="s">
        <v>1472</v>
      </c>
      <c r="B232" s="359" t="s">
        <v>722</v>
      </c>
      <c r="C232" s="359" t="s">
        <v>1318</v>
      </c>
      <c r="D232" s="359" t="s">
        <v>490</v>
      </c>
      <c r="E232" s="361">
        <v>50.018140589600002</v>
      </c>
      <c r="F232" s="359" t="s">
        <v>1473</v>
      </c>
      <c r="G232" s="361">
        <v>2.8083334516591648E-5</v>
      </c>
      <c r="H232" s="359" t="s">
        <v>490</v>
      </c>
      <c r="I232" s="361">
        <v>3.848427874179856E-6</v>
      </c>
      <c r="J232" s="359" t="s">
        <v>1318</v>
      </c>
      <c r="K232" s="359" t="s">
        <v>1277</v>
      </c>
      <c r="M232" t="str">
        <f t="shared" si="4"/>
        <v>Phenolics, total recoverable</v>
      </c>
    </row>
    <row r="233" spans="1:13" ht="45" x14ac:dyDescent="0.25">
      <c r="A233" s="359" t="s">
        <v>1472</v>
      </c>
      <c r="B233" s="359" t="s">
        <v>722</v>
      </c>
      <c r="C233" s="359" t="s">
        <v>1322</v>
      </c>
      <c r="D233" s="359" t="s">
        <v>490</v>
      </c>
      <c r="E233" s="361">
        <v>80473.015872999997</v>
      </c>
      <c r="F233" s="359" t="s">
        <v>1473</v>
      </c>
      <c r="G233" s="361">
        <v>2.8083334516591648E-5</v>
      </c>
      <c r="H233" s="359" t="s">
        <v>490</v>
      </c>
      <c r="I233" s="361">
        <v>6.1916455460834198E-3</v>
      </c>
      <c r="J233" s="359" t="s">
        <v>1322</v>
      </c>
      <c r="K233" s="359" t="s">
        <v>1277</v>
      </c>
      <c r="M233" t="str">
        <f t="shared" si="4"/>
        <v>Solids, total suspended</v>
      </c>
    </row>
    <row r="234" spans="1:13" ht="45" x14ac:dyDescent="0.25">
      <c r="A234" s="359" t="s">
        <v>1472</v>
      </c>
      <c r="B234" s="359" t="s">
        <v>722</v>
      </c>
      <c r="C234" s="359" t="s">
        <v>1323</v>
      </c>
      <c r="D234" s="359" t="s">
        <v>1324</v>
      </c>
      <c r="E234" s="361">
        <v>320.99773242600003</v>
      </c>
      <c r="F234" s="359" t="s">
        <v>1473</v>
      </c>
      <c r="G234" s="361">
        <v>2.8083334516591648E-5</v>
      </c>
      <c r="H234" s="359" t="s">
        <v>490</v>
      </c>
      <c r="I234" s="361">
        <v>2.4697771777497909E-5</v>
      </c>
      <c r="J234" s="359" t="s">
        <v>1323</v>
      </c>
      <c r="K234" s="359" t="s">
        <v>1277</v>
      </c>
      <c r="M234" t="str">
        <f t="shared" si="4"/>
        <v>Sulfide, total (as S)</v>
      </c>
    </row>
    <row r="235" spans="1:13" ht="45" x14ac:dyDescent="0.25">
      <c r="A235" s="359" t="s">
        <v>1472</v>
      </c>
      <c r="B235" s="359" t="s">
        <v>722</v>
      </c>
      <c r="C235" s="359" t="s">
        <v>1325</v>
      </c>
      <c r="D235" s="359" t="s">
        <v>1326</v>
      </c>
      <c r="E235" s="360"/>
      <c r="F235" s="359" t="s">
        <v>1473</v>
      </c>
      <c r="G235" s="361">
        <v>2.8083334516591648E-5</v>
      </c>
      <c r="H235" s="359" t="s">
        <v>1364</v>
      </c>
      <c r="I235" s="361">
        <v>0.15343543692839806</v>
      </c>
      <c r="J235" s="359" t="s">
        <v>1325</v>
      </c>
      <c r="K235" s="359" t="s">
        <v>1272</v>
      </c>
      <c r="M235" t="str">
        <f t="shared" si="4"/>
        <v>TOLUENE</v>
      </c>
    </row>
    <row r="236" spans="1:13" ht="45" x14ac:dyDescent="0.25">
      <c r="A236" s="359" t="s">
        <v>1472</v>
      </c>
      <c r="B236" s="359" t="s">
        <v>722</v>
      </c>
      <c r="C236" s="359" t="s">
        <v>1327</v>
      </c>
      <c r="D236" s="359" t="s">
        <v>1328</v>
      </c>
      <c r="E236" s="360"/>
      <c r="F236" s="359" t="s">
        <v>1473</v>
      </c>
      <c r="G236" s="361">
        <v>2.8083334516591648E-5</v>
      </c>
      <c r="H236" s="359" t="s">
        <v>1474</v>
      </c>
      <c r="I236" s="361">
        <v>8.3692056506398937E-2</v>
      </c>
      <c r="J236" s="359" t="s">
        <v>1329</v>
      </c>
      <c r="K236" s="359" t="s">
        <v>1272</v>
      </c>
      <c r="M236" t="str">
        <f t="shared" si="4"/>
        <v>XYLENES</v>
      </c>
    </row>
    <row r="237" spans="1:13" x14ac:dyDescent="0.25">
      <c r="A237" s="359" t="s">
        <v>1475</v>
      </c>
      <c r="B237" s="359" t="s">
        <v>891</v>
      </c>
      <c r="C237" s="359" t="s">
        <v>1268</v>
      </c>
      <c r="D237" s="359" t="s">
        <v>1269</v>
      </c>
      <c r="E237" s="360"/>
      <c r="F237" s="359" t="s">
        <v>1270</v>
      </c>
      <c r="G237" s="361">
        <v>3.0075187969924811E-5</v>
      </c>
      <c r="H237" s="359" t="s">
        <v>1286</v>
      </c>
      <c r="I237" s="361">
        <v>0</v>
      </c>
      <c r="J237" s="359" t="s">
        <v>1268</v>
      </c>
      <c r="K237" s="359" t="s">
        <v>1272</v>
      </c>
      <c r="M237" t="str">
        <f t="shared" si="4"/>
        <v>1,2,4-TRIMETHYLBENZENE</v>
      </c>
    </row>
    <row r="238" spans="1:13" x14ac:dyDescent="0.25">
      <c r="A238" s="359" t="s">
        <v>1475</v>
      </c>
      <c r="B238" s="359" t="s">
        <v>891</v>
      </c>
      <c r="C238" s="359" t="s">
        <v>1331</v>
      </c>
      <c r="D238" s="359" t="s">
        <v>1332</v>
      </c>
      <c r="E238" s="361">
        <v>0.72706064999999998</v>
      </c>
      <c r="F238" s="359" t="s">
        <v>1270</v>
      </c>
      <c r="G238" s="361">
        <v>3.0075187969924811E-5</v>
      </c>
      <c r="H238" s="359" t="s">
        <v>490</v>
      </c>
      <c r="I238" s="361">
        <v>5.9908180039138945E-8</v>
      </c>
      <c r="J238" s="359" t="s">
        <v>1331</v>
      </c>
      <c r="K238" s="359" t="s">
        <v>1277</v>
      </c>
      <c r="M238" t="str">
        <f t="shared" si="4"/>
        <v>Arsenic, total (as As)</v>
      </c>
    </row>
    <row r="239" spans="1:13" x14ac:dyDescent="0.25">
      <c r="A239" s="359" t="s">
        <v>1475</v>
      </c>
      <c r="B239" s="359" t="s">
        <v>891</v>
      </c>
      <c r="C239" s="359" t="s">
        <v>1273</v>
      </c>
      <c r="D239" s="359" t="s">
        <v>1274</v>
      </c>
      <c r="E239" s="360"/>
      <c r="F239" s="359" t="s">
        <v>1270</v>
      </c>
      <c r="G239" s="361">
        <v>3.0075187969924811E-5</v>
      </c>
      <c r="H239" s="359" t="s">
        <v>1413</v>
      </c>
      <c r="I239" s="361">
        <v>3.4855350296270475E-3</v>
      </c>
      <c r="J239" s="359" t="s">
        <v>1273</v>
      </c>
      <c r="K239" s="359" t="s">
        <v>1272</v>
      </c>
      <c r="M239" t="str">
        <f t="shared" si="4"/>
        <v>BENZENE</v>
      </c>
    </row>
    <row r="240" spans="1:13" x14ac:dyDescent="0.25">
      <c r="A240" s="359" t="s">
        <v>1475</v>
      </c>
      <c r="B240" s="359" t="s">
        <v>891</v>
      </c>
      <c r="C240" s="359" t="s">
        <v>1276</v>
      </c>
      <c r="D240" s="359" t="s">
        <v>490</v>
      </c>
      <c r="E240" s="361">
        <v>55.440787499999999</v>
      </c>
      <c r="F240" s="359" t="s">
        <v>1270</v>
      </c>
      <c r="G240" s="361">
        <v>3.0075187969924811E-5</v>
      </c>
      <c r="H240" s="359" t="s">
        <v>490</v>
      </c>
      <c r="I240" s="361">
        <v>4.5681975486661861E-6</v>
      </c>
      <c r="J240" s="359" t="s">
        <v>1276</v>
      </c>
      <c r="K240" s="359" t="s">
        <v>1277</v>
      </c>
      <c r="M240" t="str">
        <f t="shared" si="4"/>
        <v>BOD, 5-day, 20 deg. C</v>
      </c>
    </row>
    <row r="241" spans="1:13" x14ac:dyDescent="0.25">
      <c r="A241" s="359" t="s">
        <v>1475</v>
      </c>
      <c r="B241" s="359" t="s">
        <v>891</v>
      </c>
      <c r="C241" s="359" t="s">
        <v>1476</v>
      </c>
      <c r="D241" s="359" t="s">
        <v>1477</v>
      </c>
      <c r="E241" s="361">
        <v>143202.93904999999</v>
      </c>
      <c r="F241" s="359" t="s">
        <v>1270</v>
      </c>
      <c r="G241" s="361">
        <v>3.0075187969924811E-5</v>
      </c>
      <c r="H241" s="359" t="s">
        <v>490</v>
      </c>
      <c r="I241" s="361">
        <v>1.1799603588423111E-2</v>
      </c>
      <c r="J241" s="359" t="s">
        <v>1476</v>
      </c>
      <c r="K241" s="359" t="s">
        <v>1277</v>
      </c>
      <c r="M241" t="str">
        <f t="shared" si="4"/>
        <v>Chloride (as Cl)</v>
      </c>
    </row>
    <row r="242" spans="1:13" x14ac:dyDescent="0.25">
      <c r="A242" s="359" t="s">
        <v>1475</v>
      </c>
      <c r="B242" s="359" t="s">
        <v>891</v>
      </c>
      <c r="C242" s="359" t="s">
        <v>1282</v>
      </c>
      <c r="D242" s="359" t="s">
        <v>1283</v>
      </c>
      <c r="E242" s="361">
        <v>0.17959183673500001</v>
      </c>
      <c r="F242" s="359" t="s">
        <v>1270</v>
      </c>
      <c r="G242" s="361">
        <v>3.0075187969924811E-5</v>
      </c>
      <c r="H242" s="359" t="s">
        <v>490</v>
      </c>
      <c r="I242" s="361">
        <v>1.4797967801833351E-8</v>
      </c>
      <c r="J242" s="359" t="s">
        <v>1282</v>
      </c>
      <c r="K242" s="359" t="s">
        <v>1277</v>
      </c>
      <c r="M242" t="str">
        <f t="shared" si="4"/>
        <v>Chromium, total (as Cr)</v>
      </c>
    </row>
    <row r="243" spans="1:13" x14ac:dyDescent="0.25">
      <c r="A243" s="359" t="s">
        <v>1475</v>
      </c>
      <c r="B243" s="359" t="s">
        <v>891</v>
      </c>
      <c r="C243" s="359" t="s">
        <v>1467</v>
      </c>
      <c r="D243" s="359" t="s">
        <v>1441</v>
      </c>
      <c r="E243" s="361">
        <v>1.530654E-2</v>
      </c>
      <c r="F243" s="359" t="s">
        <v>1270</v>
      </c>
      <c r="G243" s="361">
        <v>3.0075187969924811E-5</v>
      </c>
      <c r="H243" s="359" t="s">
        <v>490</v>
      </c>
      <c r="I243" s="361">
        <v>1.2612248429292409E-9</v>
      </c>
      <c r="J243" s="359" t="s">
        <v>1467</v>
      </c>
      <c r="K243" s="359" t="s">
        <v>1277</v>
      </c>
      <c r="M243" t="str">
        <f t="shared" si="4"/>
        <v>Copper, total (as Cu)</v>
      </c>
    </row>
    <row r="244" spans="1:13" x14ac:dyDescent="0.25">
      <c r="A244" s="359" t="s">
        <v>1475</v>
      </c>
      <c r="B244" s="359" t="s">
        <v>891</v>
      </c>
      <c r="C244" s="359" t="s">
        <v>1291</v>
      </c>
      <c r="D244" s="359" t="s">
        <v>1292</v>
      </c>
      <c r="E244" s="360"/>
      <c r="F244" s="359" t="s">
        <v>1270</v>
      </c>
      <c r="G244" s="361">
        <v>3.0075187969924811E-5</v>
      </c>
      <c r="H244" s="359" t="s">
        <v>1286</v>
      </c>
      <c r="I244" s="361">
        <v>0</v>
      </c>
      <c r="J244" s="359" t="s">
        <v>1291</v>
      </c>
      <c r="K244" s="359" t="s">
        <v>1272</v>
      </c>
      <c r="M244" t="str">
        <f t="shared" si="4"/>
        <v>CYCLOHEXANE</v>
      </c>
    </row>
    <row r="245" spans="1:13" x14ac:dyDescent="0.25">
      <c r="A245" s="359" t="s">
        <v>1475</v>
      </c>
      <c r="B245" s="359" t="s">
        <v>891</v>
      </c>
      <c r="C245" s="359" t="s">
        <v>1295</v>
      </c>
      <c r="D245" s="359" t="s">
        <v>1296</v>
      </c>
      <c r="E245" s="360"/>
      <c r="F245" s="359" t="s">
        <v>1270</v>
      </c>
      <c r="G245" s="361">
        <v>3.0075187969924811E-5</v>
      </c>
      <c r="H245" s="359" t="s">
        <v>1286</v>
      </c>
      <c r="I245" s="361">
        <v>0</v>
      </c>
      <c r="J245" s="359" t="s">
        <v>1295</v>
      </c>
      <c r="K245" s="359" t="s">
        <v>1272</v>
      </c>
      <c r="M245" t="str">
        <f t="shared" si="4"/>
        <v>ETHYLBENZENE</v>
      </c>
    </row>
    <row r="246" spans="1:13" x14ac:dyDescent="0.25">
      <c r="A246" s="359" t="s">
        <v>1475</v>
      </c>
      <c r="B246" s="359" t="s">
        <v>891</v>
      </c>
      <c r="C246" s="359" t="s">
        <v>1478</v>
      </c>
      <c r="D246" s="359" t="s">
        <v>490</v>
      </c>
      <c r="E246" s="361">
        <v>11987.0193</v>
      </c>
      <c r="F246" s="359" t="s">
        <v>1270</v>
      </c>
      <c r="G246" s="361">
        <v>3.0075187969924811E-5</v>
      </c>
      <c r="H246" s="359" t="s">
        <v>490</v>
      </c>
      <c r="I246" s="361">
        <v>9.8770372231949733E-4</v>
      </c>
      <c r="J246" s="359" t="s">
        <v>1478</v>
      </c>
      <c r="K246" s="359" t="s">
        <v>1277</v>
      </c>
      <c r="M246" t="str">
        <f t="shared" si="4"/>
        <v>Hardness, total (as CaCO3)</v>
      </c>
    </row>
    <row r="247" spans="1:13" x14ac:dyDescent="0.25">
      <c r="A247" s="359" t="s">
        <v>1475</v>
      </c>
      <c r="B247" s="359" t="s">
        <v>891</v>
      </c>
      <c r="C247" s="359" t="s">
        <v>1297</v>
      </c>
      <c r="D247" s="359" t="s">
        <v>1298</v>
      </c>
      <c r="E247" s="360"/>
      <c r="F247" s="359" t="s">
        <v>1270</v>
      </c>
      <c r="G247" s="361">
        <v>3.0075187969924811E-5</v>
      </c>
      <c r="H247" s="359" t="s">
        <v>1286</v>
      </c>
      <c r="I247" s="361">
        <v>0</v>
      </c>
      <c r="J247" s="359" t="s">
        <v>1297</v>
      </c>
      <c r="K247" s="359" t="s">
        <v>1272</v>
      </c>
      <c r="M247" t="str">
        <f t="shared" si="4"/>
        <v>LEAD AND LEAD COMPOUNDS</v>
      </c>
    </row>
    <row r="248" spans="1:13" x14ac:dyDescent="0.25">
      <c r="A248" s="359" t="s">
        <v>1475</v>
      </c>
      <c r="B248" s="359" t="s">
        <v>891</v>
      </c>
      <c r="C248" s="359" t="s">
        <v>1300</v>
      </c>
      <c r="D248" s="359" t="s">
        <v>1301</v>
      </c>
      <c r="E248" s="360"/>
      <c r="F248" s="359" t="s">
        <v>1270</v>
      </c>
      <c r="G248" s="361">
        <v>3.0075187969924811E-5</v>
      </c>
      <c r="H248" s="359" t="s">
        <v>1286</v>
      </c>
      <c r="I248" s="361">
        <v>0</v>
      </c>
      <c r="J248" s="359" t="s">
        <v>1300</v>
      </c>
      <c r="K248" s="359" t="s">
        <v>1272</v>
      </c>
      <c r="M248" t="str">
        <f t="shared" si="4"/>
        <v>MERCURY AND MERCURY COMPOUNDS</v>
      </c>
    </row>
    <row r="249" spans="1:13" x14ac:dyDescent="0.25">
      <c r="A249" s="359" t="s">
        <v>1475</v>
      </c>
      <c r="B249" s="359" t="s">
        <v>891</v>
      </c>
      <c r="C249" s="359" t="s">
        <v>1468</v>
      </c>
      <c r="D249" s="359" t="s">
        <v>1459</v>
      </c>
      <c r="E249" s="361">
        <v>1.3404596425E-4</v>
      </c>
      <c r="F249" s="359" t="s">
        <v>1270</v>
      </c>
      <c r="G249" s="361">
        <v>3.0075187969924811E-5</v>
      </c>
      <c r="H249" s="359" t="s">
        <v>490</v>
      </c>
      <c r="I249" s="361">
        <v>1.1045089236790606E-11</v>
      </c>
      <c r="J249" s="359" t="s">
        <v>1468</v>
      </c>
      <c r="K249" s="359" t="s">
        <v>1277</v>
      </c>
      <c r="M249" t="str">
        <f t="shared" si="4"/>
        <v>Mercury, total (as Hg)</v>
      </c>
    </row>
    <row r="250" spans="1:13" x14ac:dyDescent="0.25">
      <c r="A250" s="359" t="s">
        <v>1475</v>
      </c>
      <c r="B250" s="359" t="s">
        <v>891</v>
      </c>
      <c r="C250" s="359" t="s">
        <v>1305</v>
      </c>
      <c r="D250" s="359" t="s">
        <v>1306</v>
      </c>
      <c r="E250" s="360"/>
      <c r="F250" s="359" t="s">
        <v>1270</v>
      </c>
      <c r="G250" s="361">
        <v>3.0075187969924811E-5</v>
      </c>
      <c r="H250" s="359" t="s">
        <v>1286</v>
      </c>
      <c r="I250" s="361">
        <v>0</v>
      </c>
      <c r="J250" s="359" t="s">
        <v>1305</v>
      </c>
      <c r="K250" s="359" t="s">
        <v>1272</v>
      </c>
      <c r="M250" t="str">
        <f t="shared" si="4"/>
        <v>N-HEXANE</v>
      </c>
    </row>
    <row r="251" spans="1:13" x14ac:dyDescent="0.25">
      <c r="A251" s="359" t="s">
        <v>1475</v>
      </c>
      <c r="B251" s="359" t="s">
        <v>891</v>
      </c>
      <c r="C251" s="359" t="s">
        <v>1633</v>
      </c>
      <c r="D251" s="359" t="s">
        <v>1479</v>
      </c>
      <c r="E251" s="361">
        <v>0.149238765</v>
      </c>
      <c r="F251" s="359" t="s">
        <v>1270</v>
      </c>
      <c r="G251" s="361">
        <v>3.0075187969924811E-5</v>
      </c>
      <c r="H251" s="359" t="s">
        <v>490</v>
      </c>
      <c r="I251" s="361">
        <v>1.2296942218560099E-8</v>
      </c>
      <c r="J251" s="359" t="s">
        <v>1633</v>
      </c>
      <c r="K251" s="359" t="s">
        <v>1277</v>
      </c>
      <c r="M251" t="str">
        <f t="shared" si="4"/>
        <v>Nickel, total (as Ni)</v>
      </c>
    </row>
    <row r="252" spans="1:13" x14ac:dyDescent="0.25">
      <c r="A252" s="359" t="s">
        <v>1475</v>
      </c>
      <c r="B252" s="359" t="s">
        <v>891</v>
      </c>
      <c r="C252" s="359" t="s">
        <v>1311</v>
      </c>
      <c r="D252" s="359" t="s">
        <v>1312</v>
      </c>
      <c r="E252" s="361">
        <v>44.785936800000002</v>
      </c>
      <c r="F252" s="359" t="s">
        <v>1270</v>
      </c>
      <c r="G252" s="361">
        <v>3.0075187969924811E-5</v>
      </c>
      <c r="H252" s="359" t="s">
        <v>490</v>
      </c>
      <c r="I252" s="361">
        <v>3.6902615552580084E-6</v>
      </c>
      <c r="J252" s="359" t="s">
        <v>1313</v>
      </c>
      <c r="K252" s="359" t="s">
        <v>1277</v>
      </c>
      <c r="M252" t="str">
        <f t="shared" si="4"/>
        <v>AMMONIA</v>
      </c>
    </row>
    <row r="253" spans="1:13" x14ac:dyDescent="0.25">
      <c r="A253" s="359" t="s">
        <v>1475</v>
      </c>
      <c r="B253" s="359" t="s">
        <v>891</v>
      </c>
      <c r="C253" s="359" t="s">
        <v>1460</v>
      </c>
      <c r="D253" s="359" t="s">
        <v>490</v>
      </c>
      <c r="E253" s="361">
        <v>853.30411026010006</v>
      </c>
      <c r="F253" s="359" t="s">
        <v>1270</v>
      </c>
      <c r="G253" s="361">
        <v>3.0075187969924811E-5</v>
      </c>
      <c r="H253" s="359" t="s">
        <v>490</v>
      </c>
      <c r="I253" s="361">
        <v>7.0310360305703997E-5</v>
      </c>
      <c r="J253" s="359" t="s">
        <v>1460</v>
      </c>
      <c r="K253" s="359" t="s">
        <v>1277</v>
      </c>
      <c r="M253" t="str">
        <f t="shared" si="4"/>
        <v>Oil and grease, hexane extr method</v>
      </c>
    </row>
    <row r="254" spans="1:13" x14ac:dyDescent="0.25">
      <c r="A254" s="359" t="s">
        <v>1475</v>
      </c>
      <c r="B254" s="359" t="s">
        <v>891</v>
      </c>
      <c r="C254" s="359" t="s">
        <v>1457</v>
      </c>
      <c r="D254" s="359" t="s">
        <v>490</v>
      </c>
      <c r="E254" s="361">
        <v>22170.634920600001</v>
      </c>
      <c r="F254" s="359" t="s">
        <v>1270</v>
      </c>
      <c r="G254" s="361">
        <v>3.0075187969924811E-5</v>
      </c>
      <c r="H254" s="359" t="s">
        <v>490</v>
      </c>
      <c r="I254" s="361">
        <v>1.8268109935606139E-3</v>
      </c>
      <c r="J254" s="359" t="s">
        <v>1457</v>
      </c>
      <c r="K254" s="359" t="s">
        <v>1277</v>
      </c>
      <c r="M254" t="str">
        <f t="shared" si="4"/>
        <v>Chemical Oxygen Demand (COD)</v>
      </c>
    </row>
    <row r="255" spans="1:13" x14ac:dyDescent="0.25">
      <c r="A255" s="359" t="s">
        <v>1475</v>
      </c>
      <c r="B255" s="359" t="s">
        <v>891</v>
      </c>
      <c r="C255" s="359" t="s">
        <v>1480</v>
      </c>
      <c r="D255" s="359" t="s">
        <v>1481</v>
      </c>
      <c r="E255" s="361">
        <v>1836.0686780000001</v>
      </c>
      <c r="F255" s="359" t="s">
        <v>1270</v>
      </c>
      <c r="G255" s="361">
        <v>3.0075187969924811E-5</v>
      </c>
      <c r="H255" s="359" t="s">
        <v>490</v>
      </c>
      <c r="I255" s="361">
        <v>1.5128797429189413E-4</v>
      </c>
      <c r="J255" s="359" t="s">
        <v>1480</v>
      </c>
      <c r="K255" s="359" t="s">
        <v>1277</v>
      </c>
      <c r="M255" t="str">
        <f t="shared" si="4"/>
        <v>Oxygen, dissolved (DO)</v>
      </c>
    </row>
    <row r="256" spans="1:13" x14ac:dyDescent="0.25">
      <c r="A256" s="359" t="s">
        <v>1475</v>
      </c>
      <c r="B256" s="359" t="s">
        <v>891</v>
      </c>
      <c r="C256" s="359" t="s">
        <v>1482</v>
      </c>
      <c r="D256" s="359" t="s">
        <v>490</v>
      </c>
      <c r="E256" s="361">
        <v>5.6235827664400002E-2</v>
      </c>
      <c r="F256" s="359" t="s">
        <v>1270</v>
      </c>
      <c r="G256" s="361">
        <v>3.0075187969924811E-5</v>
      </c>
      <c r="H256" s="359" t="s">
        <v>490</v>
      </c>
      <c r="I256" s="361">
        <v>4.633707089455145E-9</v>
      </c>
      <c r="J256" s="359" t="s">
        <v>1482</v>
      </c>
      <c r="K256" s="359" t="s">
        <v>1277</v>
      </c>
      <c r="M256" t="str">
        <f t="shared" si="4"/>
        <v>Phenols</v>
      </c>
    </row>
    <row r="257" spans="1:13" x14ac:dyDescent="0.25">
      <c r="A257" s="359" t="s">
        <v>1475</v>
      </c>
      <c r="B257" s="359" t="s">
        <v>891</v>
      </c>
      <c r="C257" s="359" t="s">
        <v>1461</v>
      </c>
      <c r="D257" s="359" t="s">
        <v>1462</v>
      </c>
      <c r="E257" s="361">
        <v>114.4981425</v>
      </c>
      <c r="F257" s="359" t="s">
        <v>1270</v>
      </c>
      <c r="G257" s="361">
        <v>3.0075187969924811E-5</v>
      </c>
      <c r="H257" s="359" t="s">
        <v>490</v>
      </c>
      <c r="I257" s="361">
        <v>9.4343922134102378E-6</v>
      </c>
      <c r="J257" s="359" t="s">
        <v>1463</v>
      </c>
      <c r="K257" s="359" t="s">
        <v>1277</v>
      </c>
      <c r="M257" t="str">
        <f t="shared" si="4"/>
        <v>PHOSPHORUS</v>
      </c>
    </row>
    <row r="258" spans="1:13" x14ac:dyDescent="0.25">
      <c r="A258" s="359" t="s">
        <v>1475</v>
      </c>
      <c r="B258" s="359" t="s">
        <v>891</v>
      </c>
      <c r="C258" s="359" t="s">
        <v>1319</v>
      </c>
      <c r="D258" s="359" t="s">
        <v>1320</v>
      </c>
      <c r="E258" s="360"/>
      <c r="F258" s="359" t="s">
        <v>1270</v>
      </c>
      <c r="G258" s="361">
        <v>3.0075187969924811E-5</v>
      </c>
      <c r="H258" s="359" t="s">
        <v>1286</v>
      </c>
      <c r="I258" s="361">
        <v>0</v>
      </c>
      <c r="J258" s="359" t="s">
        <v>1319</v>
      </c>
      <c r="K258" s="359" t="s">
        <v>1272</v>
      </c>
      <c r="M258" t="str">
        <f t="shared" si="4"/>
        <v>POLYCYCLIC AROMATIC COMPOUNDS</v>
      </c>
    </row>
    <row r="259" spans="1:13" x14ac:dyDescent="0.25">
      <c r="A259" s="359" t="s">
        <v>1475</v>
      </c>
      <c r="B259" s="359" t="s">
        <v>891</v>
      </c>
      <c r="C259" s="359" t="s">
        <v>1432</v>
      </c>
      <c r="D259" s="359" t="s">
        <v>1427</v>
      </c>
      <c r="E259" s="361">
        <v>3.4543378580000001</v>
      </c>
      <c r="F259" s="359" t="s">
        <v>1270</v>
      </c>
      <c r="G259" s="361">
        <v>3.0075187969924811E-5</v>
      </c>
      <c r="H259" s="359" t="s">
        <v>490</v>
      </c>
      <c r="I259" s="361">
        <v>2.8462975449582861E-7</v>
      </c>
      <c r="J259" s="359" t="s">
        <v>1432</v>
      </c>
      <c r="K259" s="359" t="s">
        <v>1277</v>
      </c>
      <c r="M259" t="str">
        <f t="shared" si="4"/>
        <v>Selenium, total (as Se)</v>
      </c>
    </row>
    <row r="260" spans="1:13" x14ac:dyDescent="0.25">
      <c r="A260" s="359" t="s">
        <v>1475</v>
      </c>
      <c r="B260" s="359" t="s">
        <v>891</v>
      </c>
      <c r="C260" s="359" t="s">
        <v>1322</v>
      </c>
      <c r="D260" s="359" t="s">
        <v>490</v>
      </c>
      <c r="E260" s="361">
        <v>444.12785005000001</v>
      </c>
      <c r="F260" s="359" t="s">
        <v>1270</v>
      </c>
      <c r="G260" s="361">
        <v>3.0075187969924811E-5</v>
      </c>
      <c r="H260" s="359" t="s">
        <v>490</v>
      </c>
      <c r="I260" s="361">
        <v>3.6595146775157069E-5</v>
      </c>
      <c r="J260" s="359" t="s">
        <v>1322</v>
      </c>
      <c r="K260" s="359" t="s">
        <v>1277</v>
      </c>
      <c r="M260" t="str">
        <f t="shared" si="4"/>
        <v>Solids, total suspended</v>
      </c>
    </row>
    <row r="261" spans="1:13" x14ac:dyDescent="0.25">
      <c r="A261" s="359" t="s">
        <v>1475</v>
      </c>
      <c r="B261" s="359" t="s">
        <v>891</v>
      </c>
      <c r="C261" s="359" t="s">
        <v>1325</v>
      </c>
      <c r="D261" s="359" t="s">
        <v>1326</v>
      </c>
      <c r="E261" s="360"/>
      <c r="F261" s="359" t="s">
        <v>1270</v>
      </c>
      <c r="G261" s="361">
        <v>3.0075187969924811E-5</v>
      </c>
      <c r="H261" s="359" t="s">
        <v>1286</v>
      </c>
      <c r="I261" s="361">
        <v>0</v>
      </c>
      <c r="J261" s="359" t="s">
        <v>1325</v>
      </c>
      <c r="K261" s="359" t="s">
        <v>1272</v>
      </c>
      <c r="M261" t="str">
        <f t="shared" si="4"/>
        <v>TOLUENE</v>
      </c>
    </row>
    <row r="262" spans="1:13" x14ac:dyDescent="0.25">
      <c r="A262" s="359" t="s">
        <v>1475</v>
      </c>
      <c r="B262" s="359" t="s">
        <v>891</v>
      </c>
      <c r="C262" s="359" t="s">
        <v>1327</v>
      </c>
      <c r="D262" s="359" t="s">
        <v>1328</v>
      </c>
      <c r="E262" s="360"/>
      <c r="F262" s="359" t="s">
        <v>1270</v>
      </c>
      <c r="G262" s="361">
        <v>3.0075187969924811E-5</v>
      </c>
      <c r="H262" s="359" t="s">
        <v>1286</v>
      </c>
      <c r="I262" s="361">
        <v>0</v>
      </c>
      <c r="J262" s="359" t="s">
        <v>1329</v>
      </c>
      <c r="K262" s="359" t="s">
        <v>1272</v>
      </c>
      <c r="M262" t="str">
        <f t="shared" ref="M262:M325" si="5">IF(J262="",C262,J262)</f>
        <v>XYLENES</v>
      </c>
    </row>
    <row r="263" spans="1:13" x14ac:dyDescent="0.25">
      <c r="A263" s="359" t="s">
        <v>1475</v>
      </c>
      <c r="B263" s="359" t="s">
        <v>891</v>
      </c>
      <c r="C263" s="359" t="s">
        <v>2035</v>
      </c>
      <c r="D263" s="359" t="s">
        <v>1343</v>
      </c>
      <c r="E263" s="361">
        <v>0.15306539999999999</v>
      </c>
      <c r="F263" s="359" t="s">
        <v>1270</v>
      </c>
      <c r="G263" s="361">
        <v>3.0075187969924811E-5</v>
      </c>
      <c r="H263" s="359" t="s">
        <v>490</v>
      </c>
      <c r="I263" s="361">
        <v>1.2612248429292408E-8</v>
      </c>
      <c r="J263" s="359" t="s">
        <v>2035</v>
      </c>
      <c r="K263" s="359" t="s">
        <v>1277</v>
      </c>
      <c r="M263" t="str">
        <f t="shared" si="5"/>
        <v>Zinc, total (as Cr)</v>
      </c>
    </row>
    <row r="264" spans="1:13" ht="30" x14ac:dyDescent="0.25">
      <c r="A264" s="359" t="s">
        <v>1483</v>
      </c>
      <c r="B264" s="359" t="s">
        <v>730</v>
      </c>
      <c r="C264" s="359" t="s">
        <v>1268</v>
      </c>
      <c r="D264" s="359" t="s">
        <v>1269</v>
      </c>
      <c r="E264" s="360"/>
      <c r="F264" s="359" t="s">
        <v>1412</v>
      </c>
      <c r="G264" s="361">
        <v>5.2006175030725275E-6</v>
      </c>
      <c r="H264" s="359" t="s">
        <v>1333</v>
      </c>
      <c r="I264" s="361">
        <v>8.6102938792591516E-4</v>
      </c>
      <c r="J264" s="359" t="s">
        <v>1268</v>
      </c>
      <c r="K264" s="359" t="s">
        <v>1272</v>
      </c>
      <c r="M264" t="str">
        <f t="shared" si="5"/>
        <v>1,2,4-TRIMETHYLBENZENE</v>
      </c>
    </row>
    <row r="265" spans="1:13" ht="30" x14ac:dyDescent="0.25">
      <c r="A265" s="359" t="s">
        <v>1483</v>
      </c>
      <c r="B265" s="359" t="s">
        <v>730</v>
      </c>
      <c r="C265" s="359" t="s">
        <v>1347</v>
      </c>
      <c r="D265" s="359" t="s">
        <v>1348</v>
      </c>
      <c r="E265" s="360"/>
      <c r="F265" s="359" t="s">
        <v>1412</v>
      </c>
      <c r="G265" s="361">
        <v>5.2006175030725275E-6</v>
      </c>
      <c r="H265" s="359" t="s">
        <v>1286</v>
      </c>
      <c r="I265" s="361">
        <v>0</v>
      </c>
      <c r="J265" s="359" t="s">
        <v>1347</v>
      </c>
      <c r="K265" s="359" t="s">
        <v>1272</v>
      </c>
      <c r="M265" t="str">
        <f t="shared" si="5"/>
        <v>1,3-BUTADIENE</v>
      </c>
    </row>
    <row r="266" spans="1:13" ht="30" x14ac:dyDescent="0.25">
      <c r="A266" s="359" t="s">
        <v>1483</v>
      </c>
      <c r="B266" s="359" t="s">
        <v>730</v>
      </c>
      <c r="C266" s="359" t="s">
        <v>260</v>
      </c>
      <c r="D266" s="359" t="s">
        <v>1274</v>
      </c>
      <c r="E266" s="361">
        <v>0</v>
      </c>
      <c r="F266" s="359" t="s">
        <v>1412</v>
      </c>
      <c r="G266" s="361">
        <v>5.2006175030725275E-6</v>
      </c>
      <c r="H266" s="359" t="s">
        <v>490</v>
      </c>
      <c r="I266" s="361">
        <v>0</v>
      </c>
      <c r="J266" s="359" t="s">
        <v>1273</v>
      </c>
      <c r="K266" s="359" t="s">
        <v>1277</v>
      </c>
      <c r="M266" t="str">
        <f t="shared" si="5"/>
        <v>BENZENE</v>
      </c>
    </row>
    <row r="267" spans="1:13" ht="30" x14ac:dyDescent="0.25">
      <c r="A267" s="359" t="s">
        <v>1483</v>
      </c>
      <c r="B267" s="359" t="s">
        <v>730</v>
      </c>
      <c r="C267" s="359" t="s">
        <v>1352</v>
      </c>
      <c r="D267" s="359" t="s">
        <v>1353</v>
      </c>
      <c r="E267" s="360"/>
      <c r="F267" s="359" t="s">
        <v>1412</v>
      </c>
      <c r="G267" s="361">
        <v>5.2006175030725275E-6</v>
      </c>
      <c r="H267" s="359" t="s">
        <v>1286</v>
      </c>
      <c r="I267" s="361">
        <v>0</v>
      </c>
      <c r="J267" s="359" t="s">
        <v>1352</v>
      </c>
      <c r="K267" s="359" t="s">
        <v>1272</v>
      </c>
      <c r="M267" t="str">
        <f t="shared" si="5"/>
        <v>BENZO(G,H,I)PERYLENE</v>
      </c>
    </row>
    <row r="268" spans="1:13" ht="30" x14ac:dyDescent="0.25">
      <c r="A268" s="359" t="s">
        <v>1483</v>
      </c>
      <c r="B268" s="359" t="s">
        <v>730</v>
      </c>
      <c r="C268" s="359" t="s">
        <v>1276</v>
      </c>
      <c r="D268" s="359" t="s">
        <v>490</v>
      </c>
      <c r="E268" s="361">
        <v>30491.609977399999</v>
      </c>
      <c r="F268" s="359" t="s">
        <v>1412</v>
      </c>
      <c r="G268" s="361">
        <v>5.2006175030725275E-6</v>
      </c>
      <c r="H268" s="359" t="s">
        <v>490</v>
      </c>
      <c r="I268" s="361">
        <v>4.3445260423377358E-4</v>
      </c>
      <c r="J268" s="359" t="s">
        <v>1276</v>
      </c>
      <c r="K268" s="359" t="s">
        <v>1277</v>
      </c>
      <c r="M268" t="str">
        <f t="shared" si="5"/>
        <v>BOD, 5-day, 20 deg. C</v>
      </c>
    </row>
    <row r="269" spans="1:13" ht="30" x14ac:dyDescent="0.25">
      <c r="A269" s="359" t="s">
        <v>1483</v>
      </c>
      <c r="B269" s="359" t="s">
        <v>730</v>
      </c>
      <c r="C269" s="359" t="s">
        <v>1484</v>
      </c>
      <c r="D269" s="359" t="s">
        <v>490</v>
      </c>
      <c r="E269" s="361">
        <v>0</v>
      </c>
      <c r="F269" s="359" t="s">
        <v>1412</v>
      </c>
      <c r="G269" s="361">
        <v>5.2006175030725275E-6</v>
      </c>
      <c r="H269" s="359" t="s">
        <v>490</v>
      </c>
      <c r="I269" s="361">
        <v>0</v>
      </c>
      <c r="J269" s="359" t="s">
        <v>1484</v>
      </c>
      <c r="K269" s="359" t="s">
        <v>1277</v>
      </c>
      <c r="M269" t="str">
        <f t="shared" si="5"/>
        <v>BTEX</v>
      </c>
    </row>
    <row r="270" spans="1:13" ht="30" x14ac:dyDescent="0.25">
      <c r="A270" s="359" t="s">
        <v>1483</v>
      </c>
      <c r="B270" s="359" t="s">
        <v>730</v>
      </c>
      <c r="C270" s="359" t="s">
        <v>1278</v>
      </c>
      <c r="D270" s="359" t="s">
        <v>1279</v>
      </c>
      <c r="E270" s="361">
        <v>12981.646772833001</v>
      </c>
      <c r="F270" s="359" t="s">
        <v>1412</v>
      </c>
      <c r="G270" s="361">
        <v>5.2006175030725275E-6</v>
      </c>
      <c r="H270" s="359" t="s">
        <v>490</v>
      </c>
      <c r="I270" s="361">
        <v>1.8496597102876793E-4</v>
      </c>
      <c r="J270" s="359" t="s">
        <v>1278</v>
      </c>
      <c r="K270" s="359" t="s">
        <v>1277</v>
      </c>
      <c r="M270" t="str">
        <f t="shared" si="5"/>
        <v>Carbon, tot organic (TOC)</v>
      </c>
    </row>
    <row r="271" spans="1:13" ht="30" x14ac:dyDescent="0.25">
      <c r="A271" s="359" t="s">
        <v>1483</v>
      </c>
      <c r="B271" s="359" t="s">
        <v>730</v>
      </c>
      <c r="C271" s="359" t="s">
        <v>1280</v>
      </c>
      <c r="D271" s="359" t="s">
        <v>1281</v>
      </c>
      <c r="E271" s="361">
        <v>11.24716553288</v>
      </c>
      <c r="F271" s="359" t="s">
        <v>1412</v>
      </c>
      <c r="G271" s="361">
        <v>5.2006175030725275E-6</v>
      </c>
      <c r="H271" s="359" t="s">
        <v>490</v>
      </c>
      <c r="I271" s="361">
        <v>1.602526189869857E-7</v>
      </c>
      <c r="J271" s="359" t="s">
        <v>1280</v>
      </c>
      <c r="K271" s="359" t="s">
        <v>1277</v>
      </c>
      <c r="M271" t="str">
        <f t="shared" si="5"/>
        <v>Chromium, hexavalent (as Cr)</v>
      </c>
    </row>
    <row r="272" spans="1:13" ht="30" x14ac:dyDescent="0.25">
      <c r="A272" s="359" t="s">
        <v>1483</v>
      </c>
      <c r="B272" s="359" t="s">
        <v>730</v>
      </c>
      <c r="C272" s="359" t="s">
        <v>1282</v>
      </c>
      <c r="D272" s="359" t="s">
        <v>1283</v>
      </c>
      <c r="E272" s="361">
        <v>2.72108843537</v>
      </c>
      <c r="F272" s="359" t="s">
        <v>1412</v>
      </c>
      <c r="G272" s="361">
        <v>5.2006175030725275E-6</v>
      </c>
      <c r="H272" s="359" t="s">
        <v>490</v>
      </c>
      <c r="I272" s="361">
        <v>3.8770794916146466E-8</v>
      </c>
      <c r="J272" s="359" t="s">
        <v>1282</v>
      </c>
      <c r="K272" s="359" t="s">
        <v>1277</v>
      </c>
      <c r="M272" t="str">
        <f t="shared" si="5"/>
        <v>Chromium, total (as Cr)</v>
      </c>
    </row>
    <row r="273" spans="1:13" ht="30" x14ac:dyDescent="0.25">
      <c r="A273" s="359" t="s">
        <v>1483</v>
      </c>
      <c r="B273" s="359" t="s">
        <v>730</v>
      </c>
      <c r="C273" s="359" t="s">
        <v>1485</v>
      </c>
      <c r="D273" s="359" t="s">
        <v>1486</v>
      </c>
      <c r="E273" s="360"/>
      <c r="F273" s="359" t="s">
        <v>1412</v>
      </c>
      <c r="G273" s="361">
        <v>5.2006175030725275E-6</v>
      </c>
      <c r="H273" s="359" t="s">
        <v>1487</v>
      </c>
      <c r="I273" s="361">
        <v>3.271911674118478E-2</v>
      </c>
      <c r="J273" s="359" t="s">
        <v>1485</v>
      </c>
      <c r="K273" s="359" t="s">
        <v>1272</v>
      </c>
      <c r="M273" t="str">
        <f t="shared" si="5"/>
        <v>COBALT AND COBALT COMPOUNDS</v>
      </c>
    </row>
    <row r="274" spans="1:13" ht="30" x14ac:dyDescent="0.25">
      <c r="A274" s="359" t="s">
        <v>1483</v>
      </c>
      <c r="B274" s="359" t="s">
        <v>730</v>
      </c>
      <c r="C274" s="359" t="s">
        <v>1284</v>
      </c>
      <c r="D274" s="359" t="s">
        <v>1285</v>
      </c>
      <c r="E274" s="360"/>
      <c r="F274" s="359" t="s">
        <v>1412</v>
      </c>
      <c r="G274" s="361">
        <v>5.2006175030725275E-6</v>
      </c>
      <c r="H274" s="359" t="s">
        <v>1286</v>
      </c>
      <c r="I274" s="361">
        <v>0</v>
      </c>
      <c r="J274" s="359" t="s">
        <v>1287</v>
      </c>
      <c r="K274" s="359" t="s">
        <v>1272</v>
      </c>
      <c r="M274" t="str">
        <f t="shared" si="5"/>
        <v>ISOPROPYLBENZENE</v>
      </c>
    </row>
    <row r="275" spans="1:13" ht="30" x14ac:dyDescent="0.25">
      <c r="A275" s="359" t="s">
        <v>1483</v>
      </c>
      <c r="B275" s="359" t="s">
        <v>730</v>
      </c>
      <c r="C275" s="359" t="s">
        <v>1291</v>
      </c>
      <c r="D275" s="359" t="s">
        <v>1292</v>
      </c>
      <c r="E275" s="360"/>
      <c r="F275" s="359" t="s">
        <v>1412</v>
      </c>
      <c r="G275" s="361">
        <v>5.2006175030725275E-6</v>
      </c>
      <c r="H275" s="359" t="s">
        <v>1286</v>
      </c>
      <c r="I275" s="361">
        <v>0</v>
      </c>
      <c r="J275" s="359" t="s">
        <v>1291</v>
      </c>
      <c r="K275" s="359" t="s">
        <v>1272</v>
      </c>
      <c r="M275" t="str">
        <f t="shared" si="5"/>
        <v>CYCLOHEXANE</v>
      </c>
    </row>
    <row r="276" spans="1:13" ht="30" x14ac:dyDescent="0.25">
      <c r="A276" s="359" t="s">
        <v>1483</v>
      </c>
      <c r="B276" s="359" t="s">
        <v>730</v>
      </c>
      <c r="C276" s="359" t="s">
        <v>1295</v>
      </c>
      <c r="D276" s="359" t="s">
        <v>1296</v>
      </c>
      <c r="E276" s="360"/>
      <c r="F276" s="359" t="s">
        <v>1412</v>
      </c>
      <c r="G276" s="361">
        <v>5.2006175030725275E-6</v>
      </c>
      <c r="H276" s="359" t="s">
        <v>1383</v>
      </c>
      <c r="I276" s="361">
        <v>1.635955837059239E-2</v>
      </c>
      <c r="J276" s="359" t="s">
        <v>1295</v>
      </c>
      <c r="K276" s="359" t="s">
        <v>1272</v>
      </c>
      <c r="M276" t="str">
        <f t="shared" si="5"/>
        <v>ETHYLBENZENE</v>
      </c>
    </row>
    <row r="277" spans="1:13" ht="30" x14ac:dyDescent="0.25">
      <c r="A277" s="359" t="s">
        <v>1483</v>
      </c>
      <c r="B277" s="359" t="s">
        <v>730</v>
      </c>
      <c r="C277" s="359" t="s">
        <v>1488</v>
      </c>
      <c r="D277" s="359" t="s">
        <v>1489</v>
      </c>
      <c r="E277" s="360"/>
      <c r="F277" s="359" t="s">
        <v>1412</v>
      </c>
      <c r="G277" s="361">
        <v>5.2006175030725275E-6</v>
      </c>
      <c r="H277" s="359" t="s">
        <v>1286</v>
      </c>
      <c r="I277" s="361">
        <v>0</v>
      </c>
      <c r="J277" s="359" t="s">
        <v>1490</v>
      </c>
      <c r="K277" s="359" t="s">
        <v>1272</v>
      </c>
      <c r="M277" t="str">
        <f t="shared" si="5"/>
        <v>HYDROFLUORIC ACID</v>
      </c>
    </row>
    <row r="278" spans="1:13" ht="30" x14ac:dyDescent="0.25">
      <c r="A278" s="359" t="s">
        <v>1483</v>
      </c>
      <c r="B278" s="359" t="s">
        <v>730</v>
      </c>
      <c r="C278" s="359" t="s">
        <v>1431</v>
      </c>
      <c r="D278" s="359" t="s">
        <v>1298</v>
      </c>
      <c r="E278" s="361">
        <v>0</v>
      </c>
      <c r="F278" s="359" t="s">
        <v>1412</v>
      </c>
      <c r="G278" s="361">
        <v>5.2006175030725275E-6</v>
      </c>
      <c r="H278" s="359" t="s">
        <v>490</v>
      </c>
      <c r="I278" s="361">
        <v>0</v>
      </c>
      <c r="J278" s="359" t="s">
        <v>1431</v>
      </c>
      <c r="K278" s="359" t="s">
        <v>1277</v>
      </c>
      <c r="M278" t="str">
        <f t="shared" si="5"/>
        <v>Lead, total (as Pb)</v>
      </c>
    </row>
    <row r="279" spans="1:13" ht="30" x14ac:dyDescent="0.25">
      <c r="A279" s="359" t="s">
        <v>1483</v>
      </c>
      <c r="B279" s="359" t="s">
        <v>730</v>
      </c>
      <c r="C279" s="359" t="s">
        <v>1300</v>
      </c>
      <c r="D279" s="359" t="s">
        <v>1301</v>
      </c>
      <c r="E279" s="360"/>
      <c r="F279" s="359" t="s">
        <v>1412</v>
      </c>
      <c r="G279" s="361">
        <v>5.2006175030725275E-6</v>
      </c>
      <c r="H279" s="359" t="s">
        <v>1491</v>
      </c>
      <c r="I279" s="361">
        <v>1.7220587758518305E-4</v>
      </c>
      <c r="J279" s="359" t="s">
        <v>1300</v>
      </c>
      <c r="K279" s="359" t="s">
        <v>1272</v>
      </c>
      <c r="M279" t="str">
        <f t="shared" si="5"/>
        <v>MERCURY AND MERCURY COMPOUNDS</v>
      </c>
    </row>
    <row r="280" spans="1:13" ht="30" x14ac:dyDescent="0.25">
      <c r="A280" s="359" t="s">
        <v>1483</v>
      </c>
      <c r="B280" s="359" t="s">
        <v>730</v>
      </c>
      <c r="C280" s="359" t="s">
        <v>1303</v>
      </c>
      <c r="D280" s="359" t="s">
        <v>1304</v>
      </c>
      <c r="E280" s="360"/>
      <c r="F280" s="359" t="s">
        <v>1412</v>
      </c>
      <c r="G280" s="361">
        <v>5.2006175030725275E-6</v>
      </c>
      <c r="H280" s="359" t="s">
        <v>1333</v>
      </c>
      <c r="I280" s="361">
        <v>8.6102938792591516E-4</v>
      </c>
      <c r="J280" s="359" t="s">
        <v>1303</v>
      </c>
      <c r="K280" s="359" t="s">
        <v>1272</v>
      </c>
      <c r="M280" t="str">
        <f t="shared" si="5"/>
        <v>NAPHTHALENE</v>
      </c>
    </row>
    <row r="281" spans="1:13" ht="30" x14ac:dyDescent="0.25">
      <c r="A281" s="359" t="s">
        <v>1483</v>
      </c>
      <c r="B281" s="359" t="s">
        <v>730</v>
      </c>
      <c r="C281" s="359" t="s">
        <v>1305</v>
      </c>
      <c r="D281" s="359" t="s">
        <v>1306</v>
      </c>
      <c r="E281" s="360"/>
      <c r="F281" s="359" t="s">
        <v>1412</v>
      </c>
      <c r="G281" s="361">
        <v>5.2006175030725275E-6</v>
      </c>
      <c r="H281" s="359" t="s">
        <v>1286</v>
      </c>
      <c r="I281" s="361">
        <v>0</v>
      </c>
      <c r="J281" s="359" t="s">
        <v>1305</v>
      </c>
      <c r="K281" s="359" t="s">
        <v>1272</v>
      </c>
      <c r="M281" t="str">
        <f t="shared" si="5"/>
        <v>N-HEXANE</v>
      </c>
    </row>
    <row r="282" spans="1:13" ht="30" x14ac:dyDescent="0.25">
      <c r="A282" s="359" t="s">
        <v>1483</v>
      </c>
      <c r="B282" s="359" t="s">
        <v>730</v>
      </c>
      <c r="C282" s="359" t="s">
        <v>1384</v>
      </c>
      <c r="D282" s="359" t="s">
        <v>1385</v>
      </c>
      <c r="E282" s="360"/>
      <c r="F282" s="359" t="s">
        <v>1412</v>
      </c>
      <c r="G282" s="361">
        <v>5.2006175030725275E-6</v>
      </c>
      <c r="H282" s="359" t="s">
        <v>1492</v>
      </c>
      <c r="I282" s="361">
        <v>3.185808735325886E-2</v>
      </c>
      <c r="J282" s="359" t="s">
        <v>1384</v>
      </c>
      <c r="K282" s="359" t="s">
        <v>1272</v>
      </c>
      <c r="M282" t="str">
        <f t="shared" si="5"/>
        <v>NICKEL AND NICKEL COMPOUNDS</v>
      </c>
    </row>
    <row r="283" spans="1:13" ht="30" x14ac:dyDescent="0.25">
      <c r="A283" s="359" t="s">
        <v>1483</v>
      </c>
      <c r="B283" s="359" t="s">
        <v>730</v>
      </c>
      <c r="C283" s="359" t="s">
        <v>1307</v>
      </c>
      <c r="D283" s="359" t="s">
        <v>1308</v>
      </c>
      <c r="E283" s="360"/>
      <c r="F283" s="359" t="s">
        <v>1412</v>
      </c>
      <c r="G283" s="361">
        <v>5.2006175030725275E-6</v>
      </c>
      <c r="H283" s="359" t="s">
        <v>1493</v>
      </c>
      <c r="I283" s="361">
        <v>327.26091079226973</v>
      </c>
      <c r="J283" s="359" t="s">
        <v>1310</v>
      </c>
      <c r="K283" s="359" t="s">
        <v>1272</v>
      </c>
      <c r="M283" t="str">
        <f t="shared" si="5"/>
        <v>NITRATE</v>
      </c>
    </row>
    <row r="284" spans="1:13" ht="30" x14ac:dyDescent="0.25">
      <c r="A284" s="359" t="s">
        <v>1483</v>
      </c>
      <c r="B284" s="359" t="s">
        <v>730</v>
      </c>
      <c r="C284" s="359" t="s">
        <v>1311</v>
      </c>
      <c r="D284" s="359" t="s">
        <v>1312</v>
      </c>
      <c r="E284" s="361">
        <v>3191.8367346999999</v>
      </c>
      <c r="F284" s="359" t="s">
        <v>1412</v>
      </c>
      <c r="G284" s="361">
        <v>5.2006175030725275E-6</v>
      </c>
      <c r="H284" s="359" t="s">
        <v>490</v>
      </c>
      <c r="I284" s="361">
        <v>4.5478142436796394E-5</v>
      </c>
      <c r="J284" s="359" t="s">
        <v>1313</v>
      </c>
      <c r="K284" s="359" t="s">
        <v>1277</v>
      </c>
      <c r="M284" t="str">
        <f t="shared" si="5"/>
        <v>AMMONIA</v>
      </c>
    </row>
    <row r="285" spans="1:13" ht="30" x14ac:dyDescent="0.25">
      <c r="A285" s="359" t="s">
        <v>1483</v>
      </c>
      <c r="B285" s="359" t="s">
        <v>730</v>
      </c>
      <c r="C285" s="359" t="s">
        <v>1314</v>
      </c>
      <c r="D285" s="359" t="s">
        <v>490</v>
      </c>
      <c r="E285" s="361">
        <v>0</v>
      </c>
      <c r="F285" s="359" t="s">
        <v>1412</v>
      </c>
      <c r="G285" s="361">
        <v>5.2006175030725275E-6</v>
      </c>
      <c r="H285" s="359" t="s">
        <v>490</v>
      </c>
      <c r="I285" s="361">
        <v>0</v>
      </c>
      <c r="J285" s="359" t="s">
        <v>1314</v>
      </c>
      <c r="K285" s="359" t="s">
        <v>1277</v>
      </c>
      <c r="M285" t="str">
        <f t="shared" si="5"/>
        <v>Oil and grease</v>
      </c>
    </row>
    <row r="286" spans="1:13" ht="30" x14ac:dyDescent="0.25">
      <c r="A286" s="359" t="s">
        <v>1483</v>
      </c>
      <c r="B286" s="359" t="s">
        <v>730</v>
      </c>
      <c r="C286" s="359" t="s">
        <v>1457</v>
      </c>
      <c r="D286" s="359" t="s">
        <v>490</v>
      </c>
      <c r="E286" s="361">
        <v>553846.71201799996</v>
      </c>
      <c r="F286" s="359" t="s">
        <v>1412</v>
      </c>
      <c r="G286" s="361">
        <v>5.2006175030725275E-6</v>
      </c>
      <c r="H286" s="359" t="s">
        <v>490</v>
      </c>
      <c r="I286" s="361">
        <v>7.8913559028492616E-3</v>
      </c>
      <c r="J286" s="359" t="s">
        <v>1457</v>
      </c>
      <c r="K286" s="359" t="s">
        <v>1277</v>
      </c>
      <c r="M286" t="str">
        <f t="shared" si="5"/>
        <v>Chemical Oxygen Demand (COD)</v>
      </c>
    </row>
    <row r="287" spans="1:13" ht="30" x14ac:dyDescent="0.25">
      <c r="A287" s="359" t="s">
        <v>1483</v>
      </c>
      <c r="B287" s="359" t="s">
        <v>730</v>
      </c>
      <c r="C287" s="359" t="s">
        <v>1318</v>
      </c>
      <c r="D287" s="359" t="s">
        <v>490</v>
      </c>
      <c r="E287" s="361">
        <v>111.47392290240001</v>
      </c>
      <c r="F287" s="359" t="s">
        <v>1412</v>
      </c>
      <c r="G287" s="361">
        <v>5.2006175030725275E-6</v>
      </c>
      <c r="H287" s="359" t="s">
        <v>490</v>
      </c>
      <c r="I287" s="361">
        <v>1.5883102317325451E-6</v>
      </c>
      <c r="J287" s="359" t="s">
        <v>1318</v>
      </c>
      <c r="K287" s="359" t="s">
        <v>1277</v>
      </c>
      <c r="M287" t="str">
        <f t="shared" si="5"/>
        <v>Phenolics, total recoverable</v>
      </c>
    </row>
    <row r="288" spans="1:13" ht="30" x14ac:dyDescent="0.25">
      <c r="A288" s="359" t="s">
        <v>1483</v>
      </c>
      <c r="B288" s="359" t="s">
        <v>730</v>
      </c>
      <c r="C288" s="359" t="s">
        <v>1319</v>
      </c>
      <c r="D288" s="359" t="s">
        <v>1320</v>
      </c>
      <c r="E288" s="360"/>
      <c r="F288" s="359" t="s">
        <v>1412</v>
      </c>
      <c r="G288" s="361">
        <v>5.2006175030725275E-6</v>
      </c>
      <c r="H288" s="359" t="s">
        <v>1494</v>
      </c>
      <c r="I288" s="361">
        <v>1.1193382043036896E-4</v>
      </c>
      <c r="J288" s="359" t="s">
        <v>1319</v>
      </c>
      <c r="K288" s="359" t="s">
        <v>1272</v>
      </c>
      <c r="M288" t="str">
        <f t="shared" si="5"/>
        <v>POLYCYCLIC AROMATIC COMPOUNDS</v>
      </c>
    </row>
    <row r="289" spans="1:13" ht="30" x14ac:dyDescent="0.25">
      <c r="A289" s="359" t="s">
        <v>1483</v>
      </c>
      <c r="B289" s="359" t="s">
        <v>730</v>
      </c>
      <c r="C289" s="359" t="s">
        <v>1322</v>
      </c>
      <c r="D289" s="359" t="s">
        <v>490</v>
      </c>
      <c r="E289" s="361">
        <v>98526.077097600006</v>
      </c>
      <c r="F289" s="359" t="s">
        <v>1412</v>
      </c>
      <c r="G289" s="361">
        <v>5.2006175030725275E-6</v>
      </c>
      <c r="H289" s="359" t="s">
        <v>490</v>
      </c>
      <c r="I289" s="361">
        <v>1.4038258659256216E-3</v>
      </c>
      <c r="J289" s="359" t="s">
        <v>1322</v>
      </c>
      <c r="K289" s="359" t="s">
        <v>1277</v>
      </c>
      <c r="M289" t="str">
        <f t="shared" si="5"/>
        <v>Solids, total suspended</v>
      </c>
    </row>
    <row r="290" spans="1:13" ht="30" x14ac:dyDescent="0.25">
      <c r="A290" s="359" t="s">
        <v>1483</v>
      </c>
      <c r="B290" s="359" t="s">
        <v>730</v>
      </c>
      <c r="C290" s="359" t="s">
        <v>1392</v>
      </c>
      <c r="D290" s="359" t="s">
        <v>1393</v>
      </c>
      <c r="E290" s="360"/>
      <c r="F290" s="359" t="s">
        <v>1412</v>
      </c>
      <c r="G290" s="361">
        <v>5.2006175030725275E-6</v>
      </c>
      <c r="H290" s="359" t="s">
        <v>1286</v>
      </c>
      <c r="I290" s="361">
        <v>0</v>
      </c>
      <c r="J290" s="359" t="s">
        <v>1392</v>
      </c>
      <c r="K290" s="359" t="s">
        <v>1272</v>
      </c>
      <c r="M290" t="str">
        <f t="shared" si="5"/>
        <v>STYRENE</v>
      </c>
    </row>
    <row r="291" spans="1:13" ht="30" x14ac:dyDescent="0.25">
      <c r="A291" s="359" t="s">
        <v>1483</v>
      </c>
      <c r="B291" s="359" t="s">
        <v>730</v>
      </c>
      <c r="C291" s="359" t="s">
        <v>1323</v>
      </c>
      <c r="D291" s="359" t="s">
        <v>1324</v>
      </c>
      <c r="E291" s="361">
        <v>140.86167800460001</v>
      </c>
      <c r="F291" s="359" t="s">
        <v>1412</v>
      </c>
      <c r="G291" s="361">
        <v>5.2006175030725275E-6</v>
      </c>
      <c r="H291" s="359" t="s">
        <v>490</v>
      </c>
      <c r="I291" s="361">
        <v>2.0070348168298336E-6</v>
      </c>
      <c r="J291" s="359" t="s">
        <v>1323</v>
      </c>
      <c r="K291" s="359" t="s">
        <v>1277</v>
      </c>
      <c r="M291" t="str">
        <f t="shared" si="5"/>
        <v>Sulfide, total (as S)</v>
      </c>
    </row>
    <row r="292" spans="1:13" ht="30" x14ac:dyDescent="0.25">
      <c r="A292" s="359" t="s">
        <v>1483</v>
      </c>
      <c r="B292" s="359" t="s">
        <v>730</v>
      </c>
      <c r="C292" s="359" t="s">
        <v>1325</v>
      </c>
      <c r="D292" s="359" t="s">
        <v>1326</v>
      </c>
      <c r="E292" s="360"/>
      <c r="F292" s="359" t="s">
        <v>1412</v>
      </c>
      <c r="G292" s="361">
        <v>5.2006175030725275E-6</v>
      </c>
      <c r="H292" s="359" t="s">
        <v>1383</v>
      </c>
      <c r="I292" s="361">
        <v>1.635955837059239E-2</v>
      </c>
      <c r="J292" s="359" t="s">
        <v>1325</v>
      </c>
      <c r="K292" s="359" t="s">
        <v>1272</v>
      </c>
      <c r="M292" t="str">
        <f t="shared" si="5"/>
        <v>TOLUENE</v>
      </c>
    </row>
    <row r="293" spans="1:13" ht="30" x14ac:dyDescent="0.25">
      <c r="A293" s="359" t="s">
        <v>1483</v>
      </c>
      <c r="B293" s="359" t="s">
        <v>730</v>
      </c>
      <c r="C293" s="359" t="s">
        <v>1495</v>
      </c>
      <c r="D293" s="359" t="s">
        <v>1465</v>
      </c>
      <c r="E293" s="360"/>
      <c r="F293" s="359" t="s">
        <v>1412</v>
      </c>
      <c r="G293" s="361">
        <v>5.2006175030725275E-6</v>
      </c>
      <c r="H293" s="359" t="s">
        <v>1286</v>
      </c>
      <c r="I293" s="361">
        <v>0</v>
      </c>
      <c r="J293" s="359" t="s">
        <v>1495</v>
      </c>
      <c r="K293" s="359" t="s">
        <v>1272</v>
      </c>
      <c r="M293" t="str">
        <f t="shared" si="5"/>
        <v>VANADIUM AND VANADIUM COMPOUNDS</v>
      </c>
    </row>
    <row r="294" spans="1:13" ht="30" x14ac:dyDescent="0.25">
      <c r="A294" s="359" t="s">
        <v>1483</v>
      </c>
      <c r="B294" s="359" t="s">
        <v>730</v>
      </c>
      <c r="C294" s="359" t="s">
        <v>1327</v>
      </c>
      <c r="D294" s="359" t="s">
        <v>1328</v>
      </c>
      <c r="E294" s="360"/>
      <c r="F294" s="359" t="s">
        <v>1412</v>
      </c>
      <c r="G294" s="361">
        <v>5.2006175030725275E-6</v>
      </c>
      <c r="H294" s="359" t="s">
        <v>1496</v>
      </c>
      <c r="I294" s="361">
        <v>0.10418455593903572</v>
      </c>
      <c r="J294" s="359" t="s">
        <v>1329</v>
      </c>
      <c r="K294" s="359" t="s">
        <v>1272</v>
      </c>
      <c r="M294" t="str">
        <f t="shared" si="5"/>
        <v>XYLENES</v>
      </c>
    </row>
    <row r="295" spans="1:13" x14ac:dyDescent="0.25">
      <c r="A295" s="359" t="s">
        <v>1497</v>
      </c>
      <c r="B295" s="359" t="s">
        <v>682</v>
      </c>
      <c r="C295" s="359" t="s">
        <v>1268</v>
      </c>
      <c r="D295" s="359" t="s">
        <v>1269</v>
      </c>
      <c r="E295" s="360"/>
      <c r="F295" s="359" t="s">
        <v>1270</v>
      </c>
      <c r="G295" s="361">
        <v>1.8518518518518518E-5</v>
      </c>
      <c r="H295" s="359" t="s">
        <v>1383</v>
      </c>
      <c r="I295" s="361">
        <v>5.8253617856266864E-2</v>
      </c>
      <c r="J295" s="359" t="s">
        <v>1268</v>
      </c>
      <c r="K295" s="359" t="s">
        <v>1272</v>
      </c>
      <c r="M295" t="str">
        <f t="shared" si="5"/>
        <v>1,2,4-TRIMETHYLBENZENE</v>
      </c>
    </row>
    <row r="296" spans="1:13" x14ac:dyDescent="0.25">
      <c r="A296" s="359" t="s">
        <v>1497</v>
      </c>
      <c r="B296" s="359" t="s">
        <v>682</v>
      </c>
      <c r="C296" s="359" t="s">
        <v>1313</v>
      </c>
      <c r="D296" s="359" t="s">
        <v>1312</v>
      </c>
      <c r="E296" s="360"/>
      <c r="F296" s="359" t="s">
        <v>1270</v>
      </c>
      <c r="G296" s="361">
        <v>1.8518518518518518E-5</v>
      </c>
      <c r="H296" s="359" t="s">
        <v>1498</v>
      </c>
      <c r="I296" s="361">
        <v>4.9055678194751042</v>
      </c>
      <c r="J296" s="359" t="s">
        <v>1313</v>
      </c>
      <c r="K296" s="359" t="s">
        <v>1272</v>
      </c>
      <c r="M296" t="str">
        <f t="shared" si="5"/>
        <v>AMMONIA</v>
      </c>
    </row>
    <row r="297" spans="1:13" x14ac:dyDescent="0.25">
      <c r="A297" s="359" t="s">
        <v>1497</v>
      </c>
      <c r="B297" s="359" t="s">
        <v>682</v>
      </c>
      <c r="C297" s="359" t="s">
        <v>1273</v>
      </c>
      <c r="D297" s="359" t="s">
        <v>1274</v>
      </c>
      <c r="E297" s="360"/>
      <c r="F297" s="359" t="s">
        <v>1270</v>
      </c>
      <c r="G297" s="361">
        <v>1.8518518518518518E-5</v>
      </c>
      <c r="H297" s="359" t="s">
        <v>1383</v>
      </c>
      <c r="I297" s="361">
        <v>5.8253617856266864E-2</v>
      </c>
      <c r="J297" s="359" t="s">
        <v>1273</v>
      </c>
      <c r="K297" s="359" t="s">
        <v>1272</v>
      </c>
      <c r="M297" t="str">
        <f t="shared" si="5"/>
        <v>BENZENE</v>
      </c>
    </row>
    <row r="298" spans="1:13" x14ac:dyDescent="0.25">
      <c r="A298" s="359" t="s">
        <v>1497</v>
      </c>
      <c r="B298" s="359" t="s">
        <v>682</v>
      </c>
      <c r="C298" s="359" t="s">
        <v>1352</v>
      </c>
      <c r="D298" s="359" t="s">
        <v>1353</v>
      </c>
      <c r="E298" s="360"/>
      <c r="F298" s="359" t="s">
        <v>1270</v>
      </c>
      <c r="G298" s="361">
        <v>1.8518518518518518E-5</v>
      </c>
      <c r="H298" s="359" t="s">
        <v>1499</v>
      </c>
      <c r="I298" s="361">
        <v>9.1979396615158194E-4</v>
      </c>
      <c r="J298" s="359" t="s">
        <v>1352</v>
      </c>
      <c r="K298" s="359" t="s">
        <v>1272</v>
      </c>
      <c r="M298" t="str">
        <f t="shared" si="5"/>
        <v>BENZO(G,H,I)PERYLENE</v>
      </c>
    </row>
    <row r="299" spans="1:13" x14ac:dyDescent="0.25">
      <c r="A299" s="359" t="s">
        <v>1497</v>
      </c>
      <c r="B299" s="359" t="s">
        <v>682</v>
      </c>
      <c r="C299" s="359" t="s">
        <v>1276</v>
      </c>
      <c r="D299" s="359" t="s">
        <v>490</v>
      </c>
      <c r="E299" s="361">
        <v>16594.732126859999</v>
      </c>
      <c r="F299" s="359" t="s">
        <v>1270</v>
      </c>
      <c r="G299" s="361">
        <v>1.8518518518518518E-5</v>
      </c>
      <c r="H299" s="359" t="s">
        <v>490</v>
      </c>
      <c r="I299" s="361">
        <v>8.4194480603044135E-4</v>
      </c>
      <c r="J299" s="359" t="s">
        <v>1276</v>
      </c>
      <c r="K299" s="359" t="s">
        <v>1277</v>
      </c>
      <c r="M299" t="str">
        <f t="shared" si="5"/>
        <v>BOD, 5-day, 20 deg. C</v>
      </c>
    </row>
    <row r="300" spans="1:13" x14ac:dyDescent="0.25">
      <c r="A300" s="359" t="s">
        <v>1497</v>
      </c>
      <c r="B300" s="359" t="s">
        <v>682</v>
      </c>
      <c r="C300" s="359" t="s">
        <v>1278</v>
      </c>
      <c r="D300" s="359" t="s">
        <v>1279</v>
      </c>
      <c r="E300" s="361">
        <v>21234.709343300001</v>
      </c>
      <c r="F300" s="359" t="s">
        <v>1270</v>
      </c>
      <c r="G300" s="361">
        <v>1.8518518518518518E-5</v>
      </c>
      <c r="H300" s="359" t="s">
        <v>490</v>
      </c>
      <c r="I300" s="361">
        <v>1.0773571457787926E-3</v>
      </c>
      <c r="J300" s="359" t="s">
        <v>1278</v>
      </c>
      <c r="K300" s="359" t="s">
        <v>1277</v>
      </c>
      <c r="M300" t="str">
        <f t="shared" si="5"/>
        <v>Carbon, tot organic (TOC)</v>
      </c>
    </row>
    <row r="301" spans="1:13" x14ac:dyDescent="0.25">
      <c r="A301" s="359" t="s">
        <v>1497</v>
      </c>
      <c r="B301" s="359" t="s">
        <v>682</v>
      </c>
      <c r="C301" s="359" t="s">
        <v>1457</v>
      </c>
      <c r="D301" s="359" t="s">
        <v>490</v>
      </c>
      <c r="E301" s="361">
        <v>16791.313885939999</v>
      </c>
      <c r="F301" s="359" t="s">
        <v>1270</v>
      </c>
      <c r="G301" s="361">
        <v>1.8518518518518518E-5</v>
      </c>
      <c r="H301" s="359" t="s">
        <v>490</v>
      </c>
      <c r="I301" s="361">
        <v>8.5191851273160827E-4</v>
      </c>
      <c r="J301" s="359" t="s">
        <v>1457</v>
      </c>
      <c r="K301" s="359" t="s">
        <v>1277</v>
      </c>
      <c r="M301" t="str">
        <f t="shared" si="5"/>
        <v>Chemical Oxygen Demand (COD)</v>
      </c>
    </row>
    <row r="302" spans="1:13" x14ac:dyDescent="0.25">
      <c r="A302" s="359" t="s">
        <v>1497</v>
      </c>
      <c r="B302" s="359" t="s">
        <v>682</v>
      </c>
      <c r="C302" s="359" t="s">
        <v>1291</v>
      </c>
      <c r="D302" s="359" t="s">
        <v>1292</v>
      </c>
      <c r="E302" s="360"/>
      <c r="F302" s="359" t="s">
        <v>1270</v>
      </c>
      <c r="G302" s="361">
        <v>1.8518518518518518E-5</v>
      </c>
      <c r="H302" s="359" t="s">
        <v>1500</v>
      </c>
      <c r="I302" s="361">
        <v>3.06597988717194E-2</v>
      </c>
      <c r="J302" s="359" t="s">
        <v>1291</v>
      </c>
      <c r="K302" s="359" t="s">
        <v>1272</v>
      </c>
      <c r="M302" t="str">
        <f t="shared" si="5"/>
        <v>CYCLOHEXANE</v>
      </c>
    </row>
    <row r="303" spans="1:13" x14ac:dyDescent="0.25">
      <c r="A303" s="359" t="s">
        <v>1497</v>
      </c>
      <c r="B303" s="359" t="s">
        <v>682</v>
      </c>
      <c r="C303" s="359" t="s">
        <v>1295</v>
      </c>
      <c r="D303" s="359" t="s">
        <v>1296</v>
      </c>
      <c r="E303" s="360"/>
      <c r="F303" s="359" t="s">
        <v>1270</v>
      </c>
      <c r="G303" s="361">
        <v>1.8518518518518518E-5</v>
      </c>
      <c r="H303" s="359" t="s">
        <v>1383</v>
      </c>
      <c r="I303" s="361">
        <v>5.8253617856266864E-2</v>
      </c>
      <c r="J303" s="359" t="s">
        <v>1295</v>
      </c>
      <c r="K303" s="359" t="s">
        <v>1272</v>
      </c>
      <c r="M303" t="str">
        <f t="shared" si="5"/>
        <v>ETHYLBENZENE</v>
      </c>
    </row>
    <row r="304" spans="1:13" x14ac:dyDescent="0.25">
      <c r="A304" s="359" t="s">
        <v>1497</v>
      </c>
      <c r="B304" s="359" t="s">
        <v>682</v>
      </c>
      <c r="C304" s="359" t="s">
        <v>1297</v>
      </c>
      <c r="D304" s="359" t="s">
        <v>1298</v>
      </c>
      <c r="E304" s="360"/>
      <c r="F304" s="359" t="s">
        <v>1270</v>
      </c>
      <c r="G304" s="361">
        <v>1.8518518518518518E-5</v>
      </c>
      <c r="H304" s="359" t="s">
        <v>1383</v>
      </c>
      <c r="I304" s="361">
        <v>5.8253617856266864E-2</v>
      </c>
      <c r="J304" s="359" t="s">
        <v>1297</v>
      </c>
      <c r="K304" s="359" t="s">
        <v>1272</v>
      </c>
      <c r="M304" t="str">
        <f t="shared" si="5"/>
        <v>LEAD AND LEAD COMPOUNDS</v>
      </c>
    </row>
    <row r="305" spans="1:13" x14ac:dyDescent="0.25">
      <c r="A305" s="359" t="s">
        <v>1497</v>
      </c>
      <c r="B305" s="359" t="s">
        <v>682</v>
      </c>
      <c r="C305" s="359" t="s">
        <v>1300</v>
      </c>
      <c r="D305" s="359" t="s">
        <v>1301</v>
      </c>
      <c r="E305" s="360"/>
      <c r="F305" s="359" t="s">
        <v>1270</v>
      </c>
      <c r="G305" s="361">
        <v>1.8518518518518518E-5</v>
      </c>
      <c r="H305" s="359" t="s">
        <v>1501</v>
      </c>
      <c r="I305" s="361">
        <v>1.5023301447142506E-2</v>
      </c>
      <c r="J305" s="359" t="s">
        <v>1300</v>
      </c>
      <c r="K305" s="359" t="s">
        <v>1272</v>
      </c>
      <c r="M305" t="str">
        <f t="shared" si="5"/>
        <v>MERCURY AND MERCURY COMPOUNDS</v>
      </c>
    </row>
    <row r="306" spans="1:13" x14ac:dyDescent="0.25">
      <c r="A306" s="359" t="s">
        <v>1497</v>
      </c>
      <c r="B306" s="359" t="s">
        <v>682</v>
      </c>
      <c r="C306" s="359" t="s">
        <v>1303</v>
      </c>
      <c r="D306" s="359" t="s">
        <v>1304</v>
      </c>
      <c r="E306" s="360"/>
      <c r="F306" s="359" t="s">
        <v>1270</v>
      </c>
      <c r="G306" s="361">
        <v>1.8518518518518518E-5</v>
      </c>
      <c r="H306" s="359" t="s">
        <v>1383</v>
      </c>
      <c r="I306" s="361">
        <v>5.8253617856266864E-2</v>
      </c>
      <c r="J306" s="359" t="s">
        <v>1303</v>
      </c>
      <c r="K306" s="359" t="s">
        <v>1272</v>
      </c>
      <c r="M306" t="str">
        <f t="shared" si="5"/>
        <v>NAPHTHALENE</v>
      </c>
    </row>
    <row r="307" spans="1:13" x14ac:dyDescent="0.25">
      <c r="A307" s="359" t="s">
        <v>1497</v>
      </c>
      <c r="B307" s="359" t="s">
        <v>682</v>
      </c>
      <c r="C307" s="359" t="s">
        <v>1305</v>
      </c>
      <c r="D307" s="359" t="s">
        <v>1306</v>
      </c>
      <c r="E307" s="360"/>
      <c r="F307" s="359" t="s">
        <v>1270</v>
      </c>
      <c r="G307" s="361">
        <v>1.8518518518518518E-5</v>
      </c>
      <c r="H307" s="359" t="s">
        <v>1502</v>
      </c>
      <c r="I307" s="361">
        <v>0.14410105469708118</v>
      </c>
      <c r="J307" s="359" t="s">
        <v>1305</v>
      </c>
      <c r="K307" s="359" t="s">
        <v>1272</v>
      </c>
      <c r="M307" t="str">
        <f t="shared" si="5"/>
        <v>N-HEXANE</v>
      </c>
    </row>
    <row r="308" spans="1:13" x14ac:dyDescent="0.25">
      <c r="A308" s="359" t="s">
        <v>1497</v>
      </c>
      <c r="B308" s="359" t="s">
        <v>682</v>
      </c>
      <c r="C308" s="359" t="s">
        <v>1307</v>
      </c>
      <c r="D308" s="359" t="s">
        <v>1308</v>
      </c>
      <c r="E308" s="360"/>
      <c r="F308" s="359" t="s">
        <v>1270</v>
      </c>
      <c r="G308" s="361">
        <v>1.8518518518518518E-5</v>
      </c>
      <c r="H308" s="359" t="s">
        <v>1503</v>
      </c>
      <c r="I308" s="361">
        <v>42.923718420407155</v>
      </c>
      <c r="J308" s="359" t="s">
        <v>1310</v>
      </c>
      <c r="K308" s="359" t="s">
        <v>1272</v>
      </c>
      <c r="M308" t="str">
        <f t="shared" si="5"/>
        <v>NITRATE</v>
      </c>
    </row>
    <row r="309" spans="1:13" x14ac:dyDescent="0.25">
      <c r="A309" s="359" t="s">
        <v>1497</v>
      </c>
      <c r="B309" s="359" t="s">
        <v>682</v>
      </c>
      <c r="C309" s="359" t="s">
        <v>1504</v>
      </c>
      <c r="D309" s="359" t="s">
        <v>1505</v>
      </c>
      <c r="E309" s="361">
        <v>1577.6493836149998</v>
      </c>
      <c r="F309" s="359" t="s">
        <v>1270</v>
      </c>
      <c r="G309" s="361">
        <v>1.8518518518518518E-5</v>
      </c>
      <c r="H309" s="359" t="s">
        <v>490</v>
      </c>
      <c r="I309" s="361">
        <v>8.0043094044393698E-5</v>
      </c>
      <c r="J309" s="359" t="s">
        <v>1506</v>
      </c>
      <c r="K309" s="359" t="s">
        <v>1277</v>
      </c>
      <c r="M309" t="str">
        <f t="shared" si="5"/>
        <v>NITROGEN</v>
      </c>
    </row>
    <row r="310" spans="1:13" x14ac:dyDescent="0.25">
      <c r="A310" s="359" t="s">
        <v>1497</v>
      </c>
      <c r="B310" s="359" t="s">
        <v>682</v>
      </c>
      <c r="C310" s="359" t="s">
        <v>1507</v>
      </c>
      <c r="D310" s="359" t="s">
        <v>1508</v>
      </c>
      <c r="E310" s="361">
        <v>6294.4308389999997</v>
      </c>
      <c r="F310" s="359" t="s">
        <v>1270</v>
      </c>
      <c r="G310" s="361">
        <v>1.8518518518518518E-5</v>
      </c>
      <c r="H310" s="359" t="s">
        <v>490</v>
      </c>
      <c r="I310" s="361">
        <v>3.1935214809741244E-4</v>
      </c>
      <c r="J310" s="359" t="s">
        <v>1509</v>
      </c>
      <c r="K310" s="359" t="s">
        <v>1277</v>
      </c>
      <c r="M310" t="str">
        <f t="shared" si="5"/>
        <v>AMMONIUM</v>
      </c>
    </row>
    <row r="311" spans="1:13" x14ac:dyDescent="0.25">
      <c r="A311" s="359" t="s">
        <v>1497</v>
      </c>
      <c r="B311" s="359" t="s">
        <v>682</v>
      </c>
      <c r="C311" s="359" t="s">
        <v>1510</v>
      </c>
      <c r="D311" s="359" t="s">
        <v>1505</v>
      </c>
      <c r="E311" s="361">
        <v>1789.342255345</v>
      </c>
      <c r="F311" s="359" t="s">
        <v>1270</v>
      </c>
      <c r="G311" s="361">
        <v>1.8518518518518518E-5</v>
      </c>
      <c r="H311" s="359" t="s">
        <v>490</v>
      </c>
      <c r="I311" s="361">
        <v>9.0783473127600196E-5</v>
      </c>
      <c r="J311" s="359" t="s">
        <v>1506</v>
      </c>
      <c r="K311" s="359" t="s">
        <v>1277</v>
      </c>
      <c r="M311" t="str">
        <f t="shared" si="5"/>
        <v>NITROGEN</v>
      </c>
    </row>
    <row r="312" spans="1:13" x14ac:dyDescent="0.25">
      <c r="A312" s="359" t="s">
        <v>1497</v>
      </c>
      <c r="B312" s="359" t="s">
        <v>682</v>
      </c>
      <c r="C312" s="359" t="s">
        <v>1314</v>
      </c>
      <c r="D312" s="359" t="s">
        <v>490</v>
      </c>
      <c r="E312" s="361">
        <v>1733.51473923</v>
      </c>
      <c r="F312" s="359" t="s">
        <v>1270</v>
      </c>
      <c r="G312" s="361">
        <v>1.8518518518518518E-5</v>
      </c>
      <c r="H312" s="359" t="s">
        <v>490</v>
      </c>
      <c r="I312" s="361">
        <v>8.7951026850837145E-5</v>
      </c>
      <c r="J312" s="359" t="s">
        <v>1314</v>
      </c>
      <c r="K312" s="359" t="s">
        <v>1277</v>
      </c>
      <c r="M312" t="str">
        <f t="shared" si="5"/>
        <v>Oil and grease</v>
      </c>
    </row>
    <row r="313" spans="1:13" x14ac:dyDescent="0.25">
      <c r="A313" s="359" t="s">
        <v>1497</v>
      </c>
      <c r="B313" s="359" t="s">
        <v>682</v>
      </c>
      <c r="C313" s="359" t="s">
        <v>1318</v>
      </c>
      <c r="D313" s="359" t="s">
        <v>490</v>
      </c>
      <c r="E313" s="361">
        <v>39.732426303899999</v>
      </c>
      <c r="F313" s="359" t="s">
        <v>1270</v>
      </c>
      <c r="G313" s="361">
        <v>1.8518518518518518E-5</v>
      </c>
      <c r="H313" s="359" t="s">
        <v>490</v>
      </c>
      <c r="I313" s="361">
        <v>2.0158511569710804E-6</v>
      </c>
      <c r="J313" s="359" t="s">
        <v>1318</v>
      </c>
      <c r="K313" s="359" t="s">
        <v>1277</v>
      </c>
      <c r="M313" t="str">
        <f t="shared" si="5"/>
        <v>Phenolics, total recoverable</v>
      </c>
    </row>
    <row r="314" spans="1:13" x14ac:dyDescent="0.25">
      <c r="A314" s="359" t="s">
        <v>1497</v>
      </c>
      <c r="B314" s="359" t="s">
        <v>682</v>
      </c>
      <c r="C314" s="359" t="s">
        <v>1461</v>
      </c>
      <c r="D314" s="359" t="s">
        <v>1462</v>
      </c>
      <c r="E314" s="361">
        <v>113.2455425296</v>
      </c>
      <c r="F314" s="359" t="s">
        <v>1270</v>
      </c>
      <c r="G314" s="361">
        <v>1.8518518518518518E-5</v>
      </c>
      <c r="H314" s="359" t="s">
        <v>490</v>
      </c>
      <c r="I314" s="361">
        <v>5.7455881547234903E-6</v>
      </c>
      <c r="J314" s="359" t="s">
        <v>1463</v>
      </c>
      <c r="K314" s="359" t="s">
        <v>1277</v>
      </c>
      <c r="M314" t="str">
        <f t="shared" si="5"/>
        <v>PHOSPHORUS</v>
      </c>
    </row>
    <row r="315" spans="1:13" x14ac:dyDescent="0.25">
      <c r="A315" s="359" t="s">
        <v>1497</v>
      </c>
      <c r="B315" s="359" t="s">
        <v>682</v>
      </c>
      <c r="C315" s="359" t="s">
        <v>1319</v>
      </c>
      <c r="D315" s="359" t="s">
        <v>1320</v>
      </c>
      <c r="E315" s="360"/>
      <c r="F315" s="359" t="s">
        <v>1270</v>
      </c>
      <c r="G315" s="361">
        <v>1.8518518518518518E-5</v>
      </c>
      <c r="H315" s="359" t="s">
        <v>1511</v>
      </c>
      <c r="I315" s="361">
        <v>1.4167893058621537</v>
      </c>
      <c r="J315" s="359" t="s">
        <v>1319</v>
      </c>
      <c r="K315" s="359" t="s">
        <v>1272</v>
      </c>
      <c r="M315" t="str">
        <f t="shared" si="5"/>
        <v>POLYCYCLIC AROMATIC COMPOUNDS</v>
      </c>
    </row>
    <row r="316" spans="1:13" x14ac:dyDescent="0.25">
      <c r="A316" s="359" t="s">
        <v>1497</v>
      </c>
      <c r="B316" s="359" t="s">
        <v>682</v>
      </c>
      <c r="C316" s="359" t="s">
        <v>1322</v>
      </c>
      <c r="D316" s="359" t="s">
        <v>490</v>
      </c>
      <c r="E316" s="361">
        <v>77221.250520799993</v>
      </c>
      <c r="F316" s="359" t="s">
        <v>1270</v>
      </c>
      <c r="G316" s="361">
        <v>1.8518518518518518E-5</v>
      </c>
      <c r="H316" s="359" t="s">
        <v>490</v>
      </c>
      <c r="I316" s="361">
        <v>3.9178716651851846E-3</v>
      </c>
      <c r="J316" s="359" t="s">
        <v>1322</v>
      </c>
      <c r="K316" s="359" t="s">
        <v>1277</v>
      </c>
      <c r="M316" t="str">
        <f t="shared" si="5"/>
        <v>Solids, total suspended</v>
      </c>
    </row>
    <row r="317" spans="1:13" x14ac:dyDescent="0.25">
      <c r="A317" s="359" t="s">
        <v>1497</v>
      </c>
      <c r="B317" s="359" t="s">
        <v>682</v>
      </c>
      <c r="C317" s="359" t="s">
        <v>1323</v>
      </c>
      <c r="D317" s="359" t="s">
        <v>1324</v>
      </c>
      <c r="E317" s="361">
        <v>48.662131519299997</v>
      </c>
      <c r="F317" s="359" t="s">
        <v>1270</v>
      </c>
      <c r="G317" s="361">
        <v>1.8518518518518518E-5</v>
      </c>
      <c r="H317" s="359" t="s">
        <v>490</v>
      </c>
      <c r="I317" s="361">
        <v>2.4689057087417554E-6</v>
      </c>
      <c r="J317" s="359" t="s">
        <v>1323</v>
      </c>
      <c r="K317" s="359" t="s">
        <v>1277</v>
      </c>
      <c r="M317" t="str">
        <f t="shared" si="5"/>
        <v>Sulfide, total (as S)</v>
      </c>
    </row>
    <row r="318" spans="1:13" x14ac:dyDescent="0.25">
      <c r="A318" s="359" t="s">
        <v>1497</v>
      </c>
      <c r="B318" s="359" t="s">
        <v>682</v>
      </c>
      <c r="C318" s="359" t="s">
        <v>1325</v>
      </c>
      <c r="D318" s="359" t="s">
        <v>1326</v>
      </c>
      <c r="E318" s="360"/>
      <c r="F318" s="359" t="s">
        <v>1270</v>
      </c>
      <c r="G318" s="361">
        <v>1.8518518518518518E-5</v>
      </c>
      <c r="H318" s="359" t="s">
        <v>1383</v>
      </c>
      <c r="I318" s="361">
        <v>5.8253617856266864E-2</v>
      </c>
      <c r="J318" s="359" t="s">
        <v>1325</v>
      </c>
      <c r="K318" s="359" t="s">
        <v>1272</v>
      </c>
      <c r="M318" t="str">
        <f t="shared" si="5"/>
        <v>TOLUENE</v>
      </c>
    </row>
    <row r="319" spans="1:13" x14ac:dyDescent="0.25">
      <c r="A319" s="359" t="s">
        <v>1497</v>
      </c>
      <c r="B319" s="359" t="s">
        <v>682</v>
      </c>
      <c r="C319" s="359" t="s">
        <v>1327</v>
      </c>
      <c r="D319" s="359" t="s">
        <v>1328</v>
      </c>
      <c r="E319" s="360"/>
      <c r="F319" s="359" t="s">
        <v>1270</v>
      </c>
      <c r="G319" s="361">
        <v>1.8518518518518518E-5</v>
      </c>
      <c r="H319" s="359" t="s">
        <v>1512</v>
      </c>
      <c r="I319" s="361">
        <v>0.11957321559970566</v>
      </c>
      <c r="J319" s="359" t="s">
        <v>1329</v>
      </c>
      <c r="K319" s="359" t="s">
        <v>1272</v>
      </c>
      <c r="M319" t="str">
        <f t="shared" si="5"/>
        <v>XYLENES</v>
      </c>
    </row>
    <row r="320" spans="1:13" x14ac:dyDescent="0.25">
      <c r="A320" s="359" t="s">
        <v>1513</v>
      </c>
      <c r="B320" s="359" t="s">
        <v>646</v>
      </c>
      <c r="C320" s="359" t="s">
        <v>1268</v>
      </c>
      <c r="D320" s="359" t="s">
        <v>1269</v>
      </c>
      <c r="E320" s="360"/>
      <c r="F320" s="359" t="s">
        <v>1346</v>
      </c>
      <c r="G320" s="361">
        <v>3.5571439182905709E-6</v>
      </c>
      <c r="H320" s="359" t="s">
        <v>1514</v>
      </c>
      <c r="I320" s="361">
        <v>5.8893111229976335E-2</v>
      </c>
      <c r="J320" s="359" t="s">
        <v>1268</v>
      </c>
      <c r="K320" s="359" t="s">
        <v>1272</v>
      </c>
      <c r="M320" t="str">
        <f t="shared" si="5"/>
        <v>1,2,4-TRIMETHYLBENZENE</v>
      </c>
    </row>
    <row r="321" spans="1:13" x14ac:dyDescent="0.25">
      <c r="A321" s="359" t="s">
        <v>1513</v>
      </c>
      <c r="B321" s="359" t="s">
        <v>646</v>
      </c>
      <c r="C321" s="359" t="s">
        <v>1515</v>
      </c>
      <c r="D321" s="359" t="s">
        <v>1516</v>
      </c>
      <c r="E321" s="360"/>
      <c r="F321" s="359" t="s">
        <v>1346</v>
      </c>
      <c r="G321" s="361">
        <v>3.5571439182905709E-6</v>
      </c>
      <c r="H321" s="359" t="s">
        <v>1517</v>
      </c>
      <c r="I321" s="361">
        <v>1.0011828909095978E-2</v>
      </c>
      <c r="J321" s="359" t="s">
        <v>1515</v>
      </c>
      <c r="K321" s="359" t="s">
        <v>1272</v>
      </c>
      <c r="M321" t="str">
        <f t="shared" si="5"/>
        <v>2,4-DIMETHYLPHENOL</v>
      </c>
    </row>
    <row r="322" spans="1:13" x14ac:dyDescent="0.25">
      <c r="A322" s="359" t="s">
        <v>1513</v>
      </c>
      <c r="B322" s="359" t="s">
        <v>646</v>
      </c>
      <c r="C322" s="359" t="s">
        <v>1313</v>
      </c>
      <c r="D322" s="359" t="s">
        <v>1312</v>
      </c>
      <c r="E322" s="360"/>
      <c r="F322" s="359" t="s">
        <v>1346</v>
      </c>
      <c r="G322" s="361">
        <v>3.5571439182905709E-6</v>
      </c>
      <c r="H322" s="359" t="s">
        <v>1518</v>
      </c>
      <c r="I322" s="361">
        <v>1.2956484470594793</v>
      </c>
      <c r="J322" s="359" t="s">
        <v>1313</v>
      </c>
      <c r="K322" s="359" t="s">
        <v>1272</v>
      </c>
      <c r="M322" t="str">
        <f t="shared" si="5"/>
        <v>AMMONIA</v>
      </c>
    </row>
    <row r="323" spans="1:13" x14ac:dyDescent="0.25">
      <c r="A323" s="359" t="s">
        <v>1513</v>
      </c>
      <c r="B323" s="359" t="s">
        <v>646</v>
      </c>
      <c r="C323" s="359" t="s">
        <v>1273</v>
      </c>
      <c r="D323" s="359" t="s">
        <v>1274</v>
      </c>
      <c r="E323" s="360"/>
      <c r="F323" s="359" t="s">
        <v>1346</v>
      </c>
      <c r="G323" s="361">
        <v>3.5571439182905709E-6</v>
      </c>
      <c r="H323" s="359" t="s">
        <v>1500</v>
      </c>
      <c r="I323" s="361">
        <v>5.8893111229976342E-3</v>
      </c>
      <c r="J323" s="359" t="s">
        <v>1273</v>
      </c>
      <c r="K323" s="359" t="s">
        <v>1272</v>
      </c>
      <c r="M323" t="str">
        <f t="shared" si="5"/>
        <v>BENZENE</v>
      </c>
    </row>
    <row r="324" spans="1:13" x14ac:dyDescent="0.25">
      <c r="A324" s="359" t="s">
        <v>1513</v>
      </c>
      <c r="B324" s="359" t="s">
        <v>646</v>
      </c>
      <c r="C324" s="359" t="s">
        <v>1352</v>
      </c>
      <c r="D324" s="359" t="s">
        <v>1353</v>
      </c>
      <c r="E324" s="360"/>
      <c r="F324" s="359" t="s">
        <v>1346</v>
      </c>
      <c r="G324" s="361">
        <v>3.5571439182905709E-6</v>
      </c>
      <c r="H324" s="359" t="s">
        <v>1519</v>
      </c>
      <c r="I324" s="361">
        <v>2.2968313379690772E-3</v>
      </c>
      <c r="J324" s="359" t="s">
        <v>1352</v>
      </c>
      <c r="K324" s="359" t="s">
        <v>1272</v>
      </c>
      <c r="M324" t="str">
        <f t="shared" si="5"/>
        <v>BENZO(G,H,I)PERYLENE</v>
      </c>
    </row>
    <row r="325" spans="1:13" x14ac:dyDescent="0.25">
      <c r="A325" s="359" t="s">
        <v>1513</v>
      </c>
      <c r="B325" s="359" t="s">
        <v>646</v>
      </c>
      <c r="C325" s="359" t="s">
        <v>1437</v>
      </c>
      <c r="D325" s="359" t="s">
        <v>1438</v>
      </c>
      <c r="E325" s="360"/>
      <c r="F325" s="359" t="s">
        <v>1346</v>
      </c>
      <c r="G325" s="361">
        <v>3.5571439182905709E-6</v>
      </c>
      <c r="H325" s="359" t="s">
        <v>1442</v>
      </c>
      <c r="I325" s="361">
        <v>1.4134346695194321E-2</v>
      </c>
      <c r="J325" s="359" t="s">
        <v>1437</v>
      </c>
      <c r="K325" s="359" t="s">
        <v>1272</v>
      </c>
      <c r="M325" t="str">
        <f t="shared" si="5"/>
        <v>CHROMIUM AND CHROMIUM COMPOUNDS</v>
      </c>
    </row>
    <row r="326" spans="1:13" x14ac:dyDescent="0.25">
      <c r="A326" s="359" t="s">
        <v>1513</v>
      </c>
      <c r="B326" s="359" t="s">
        <v>646</v>
      </c>
      <c r="C326" s="359" t="s">
        <v>1485</v>
      </c>
      <c r="D326" s="359" t="s">
        <v>1486</v>
      </c>
      <c r="E326" s="360"/>
      <c r="F326" s="359" t="s">
        <v>1346</v>
      </c>
      <c r="G326" s="361">
        <v>3.5571439182905709E-6</v>
      </c>
      <c r="H326" s="359" t="s">
        <v>1412</v>
      </c>
      <c r="I326" s="361">
        <v>2.3557244491990534E-3</v>
      </c>
      <c r="J326" s="359" t="s">
        <v>1485</v>
      </c>
      <c r="K326" s="359" t="s">
        <v>1272</v>
      </c>
      <c r="M326" t="str">
        <f t="shared" ref="M326:M389" si="6">IF(J326="",C326,J326)</f>
        <v>COBALT AND COBALT COMPOUNDS</v>
      </c>
    </row>
    <row r="327" spans="1:13" x14ac:dyDescent="0.25">
      <c r="A327" s="359" t="s">
        <v>1513</v>
      </c>
      <c r="B327" s="359" t="s">
        <v>646</v>
      </c>
      <c r="C327" s="359" t="s">
        <v>1443</v>
      </c>
      <c r="D327" s="359" t="s">
        <v>1444</v>
      </c>
      <c r="E327" s="360"/>
      <c r="F327" s="359" t="s">
        <v>1346</v>
      </c>
      <c r="G327" s="361">
        <v>3.5571439182905709E-6</v>
      </c>
      <c r="H327" s="359" t="s">
        <v>1520</v>
      </c>
      <c r="I327" s="361">
        <v>7.0671733475971606E-3</v>
      </c>
      <c r="J327" s="359" t="s">
        <v>1445</v>
      </c>
      <c r="K327" s="359" t="s">
        <v>1272</v>
      </c>
      <c r="M327" t="str">
        <f t="shared" si="6"/>
        <v>CRESOL(S)</v>
      </c>
    </row>
    <row r="328" spans="1:13" x14ac:dyDescent="0.25">
      <c r="A328" s="359" t="s">
        <v>1513</v>
      </c>
      <c r="B328" s="359" t="s">
        <v>646</v>
      </c>
      <c r="C328" s="359" t="s">
        <v>1288</v>
      </c>
      <c r="D328" s="359" t="s">
        <v>1289</v>
      </c>
      <c r="E328" s="360"/>
      <c r="F328" s="359" t="s">
        <v>1346</v>
      </c>
      <c r="G328" s="361">
        <v>3.5571439182905709E-6</v>
      </c>
      <c r="H328" s="359" t="s">
        <v>1521</v>
      </c>
      <c r="I328" s="361">
        <v>8.2450355721966878E-2</v>
      </c>
      <c r="J328" s="359" t="s">
        <v>1288</v>
      </c>
      <c r="K328" s="359" t="s">
        <v>1272</v>
      </c>
      <c r="M328" t="str">
        <f t="shared" si="6"/>
        <v>CYANIDE COMPOUNDS</v>
      </c>
    </row>
    <row r="329" spans="1:13" x14ac:dyDescent="0.25">
      <c r="A329" s="359" t="s">
        <v>1513</v>
      </c>
      <c r="B329" s="359" t="s">
        <v>646</v>
      </c>
      <c r="C329" s="359" t="s">
        <v>1291</v>
      </c>
      <c r="D329" s="359" t="s">
        <v>1292</v>
      </c>
      <c r="E329" s="360"/>
      <c r="F329" s="359" t="s">
        <v>1346</v>
      </c>
      <c r="G329" s="361">
        <v>3.5571439182905709E-6</v>
      </c>
      <c r="H329" s="359" t="s">
        <v>1471</v>
      </c>
      <c r="I329" s="361">
        <v>3.5335866737985803E-3</v>
      </c>
      <c r="J329" s="359" t="s">
        <v>1291</v>
      </c>
      <c r="K329" s="359" t="s">
        <v>1272</v>
      </c>
      <c r="M329" t="str">
        <f t="shared" si="6"/>
        <v>CYCLOHEXANE</v>
      </c>
    </row>
    <row r="330" spans="1:13" x14ac:dyDescent="0.25">
      <c r="A330" s="359" t="s">
        <v>1513</v>
      </c>
      <c r="B330" s="359" t="s">
        <v>646</v>
      </c>
      <c r="C330" s="359" t="s">
        <v>1293</v>
      </c>
      <c r="D330" s="359" t="s">
        <v>1294</v>
      </c>
      <c r="E330" s="360"/>
      <c r="F330" s="359" t="s">
        <v>1346</v>
      </c>
      <c r="G330" s="361">
        <v>3.5571439182905709E-6</v>
      </c>
      <c r="H330" s="359" t="s">
        <v>1286</v>
      </c>
      <c r="I330" s="361">
        <v>0</v>
      </c>
      <c r="J330" s="359" t="s">
        <v>1293</v>
      </c>
      <c r="K330" s="359" t="s">
        <v>1272</v>
      </c>
      <c r="M330" t="str">
        <f t="shared" si="6"/>
        <v>DIETHANOLAMINE</v>
      </c>
    </row>
    <row r="331" spans="1:13" x14ac:dyDescent="0.25">
      <c r="A331" s="359" t="s">
        <v>1513</v>
      </c>
      <c r="B331" s="359" t="s">
        <v>646</v>
      </c>
      <c r="C331" s="359" t="s">
        <v>1362</v>
      </c>
      <c r="D331" s="359" t="s">
        <v>1363</v>
      </c>
      <c r="E331" s="360"/>
      <c r="F331" s="359" t="s">
        <v>1346</v>
      </c>
      <c r="G331" s="361">
        <v>3.5571439182905709E-6</v>
      </c>
      <c r="H331" s="359" t="s">
        <v>1522</v>
      </c>
      <c r="I331" s="361">
        <v>8.6698374728096298E-7</v>
      </c>
      <c r="J331" s="359" t="s">
        <v>1362</v>
      </c>
      <c r="K331" s="359" t="s">
        <v>1272</v>
      </c>
      <c r="M331" t="str">
        <f t="shared" si="6"/>
        <v>DIOXIN AND DIOXIN-LIKE COMPOUNDS</v>
      </c>
    </row>
    <row r="332" spans="1:13" x14ac:dyDescent="0.25">
      <c r="A332" s="359" t="s">
        <v>1513</v>
      </c>
      <c r="B332" s="359" t="s">
        <v>646</v>
      </c>
      <c r="C332" s="359" t="s">
        <v>1295</v>
      </c>
      <c r="D332" s="359" t="s">
        <v>1296</v>
      </c>
      <c r="E332" s="360"/>
      <c r="F332" s="359" t="s">
        <v>1346</v>
      </c>
      <c r="G332" s="361">
        <v>3.5571439182905709E-6</v>
      </c>
      <c r="H332" s="359" t="s">
        <v>1473</v>
      </c>
      <c r="I332" s="361">
        <v>1.7667933368992902E-3</v>
      </c>
      <c r="J332" s="359" t="s">
        <v>1295</v>
      </c>
      <c r="K332" s="359" t="s">
        <v>1272</v>
      </c>
      <c r="M332" t="str">
        <f t="shared" si="6"/>
        <v>ETHYLBENZENE</v>
      </c>
    </row>
    <row r="333" spans="1:13" x14ac:dyDescent="0.25">
      <c r="A333" s="359" t="s">
        <v>1513</v>
      </c>
      <c r="B333" s="359" t="s">
        <v>646</v>
      </c>
      <c r="C333" s="359" t="s">
        <v>1297</v>
      </c>
      <c r="D333" s="359" t="s">
        <v>1298</v>
      </c>
      <c r="E333" s="360"/>
      <c r="F333" s="359" t="s">
        <v>1346</v>
      </c>
      <c r="G333" s="361">
        <v>3.5571439182905709E-6</v>
      </c>
      <c r="H333" s="359" t="s">
        <v>1523</v>
      </c>
      <c r="I333" s="361">
        <v>9.8351495754060488E-3</v>
      </c>
      <c r="J333" s="359" t="s">
        <v>1297</v>
      </c>
      <c r="K333" s="359" t="s">
        <v>1272</v>
      </c>
      <c r="M333" t="str">
        <f t="shared" si="6"/>
        <v>LEAD AND LEAD COMPOUNDS</v>
      </c>
    </row>
    <row r="334" spans="1:13" x14ac:dyDescent="0.25">
      <c r="A334" s="359" t="s">
        <v>1513</v>
      </c>
      <c r="B334" s="359" t="s">
        <v>646</v>
      </c>
      <c r="C334" s="359" t="s">
        <v>1300</v>
      </c>
      <c r="D334" s="359" t="s">
        <v>1301</v>
      </c>
      <c r="E334" s="360"/>
      <c r="F334" s="359" t="s">
        <v>1346</v>
      </c>
      <c r="G334" s="361">
        <v>3.5571439182905709E-6</v>
      </c>
      <c r="H334" s="359" t="s">
        <v>1334</v>
      </c>
      <c r="I334" s="361">
        <v>6.4782422352973983E-4</v>
      </c>
      <c r="J334" s="359" t="s">
        <v>1300</v>
      </c>
      <c r="K334" s="359" t="s">
        <v>1272</v>
      </c>
      <c r="M334" t="str">
        <f t="shared" si="6"/>
        <v>MERCURY AND MERCURY COMPOUNDS</v>
      </c>
    </row>
    <row r="335" spans="1:13" x14ac:dyDescent="0.25">
      <c r="A335" s="359" t="s">
        <v>1513</v>
      </c>
      <c r="B335" s="359" t="s">
        <v>646</v>
      </c>
      <c r="C335" s="359" t="s">
        <v>1375</v>
      </c>
      <c r="D335" s="359" t="s">
        <v>1376</v>
      </c>
      <c r="E335" s="360"/>
      <c r="F335" s="359" t="s">
        <v>1346</v>
      </c>
      <c r="G335" s="361">
        <v>3.5571439182905709E-6</v>
      </c>
      <c r="H335" s="359" t="s">
        <v>1290</v>
      </c>
      <c r="I335" s="361">
        <v>1.2956484470594793E-2</v>
      </c>
      <c r="J335" s="359" t="s">
        <v>1375</v>
      </c>
      <c r="K335" s="359" t="s">
        <v>1272</v>
      </c>
      <c r="M335" t="str">
        <f t="shared" si="6"/>
        <v>METHANOL</v>
      </c>
    </row>
    <row r="336" spans="1:13" x14ac:dyDescent="0.25">
      <c r="A336" s="359" t="s">
        <v>1513</v>
      </c>
      <c r="B336" s="359" t="s">
        <v>646</v>
      </c>
      <c r="C336" s="359" t="s">
        <v>1303</v>
      </c>
      <c r="D336" s="359" t="s">
        <v>1304</v>
      </c>
      <c r="E336" s="360"/>
      <c r="F336" s="359" t="s">
        <v>1346</v>
      </c>
      <c r="G336" s="361">
        <v>3.5571439182905709E-6</v>
      </c>
      <c r="H336" s="359" t="s">
        <v>1412</v>
      </c>
      <c r="I336" s="361">
        <v>2.3557244491990534E-3</v>
      </c>
      <c r="J336" s="359" t="s">
        <v>1303</v>
      </c>
      <c r="K336" s="359" t="s">
        <v>1272</v>
      </c>
      <c r="M336" t="str">
        <f t="shared" si="6"/>
        <v>NAPHTHALENE</v>
      </c>
    </row>
    <row r="337" spans="1:13" x14ac:dyDescent="0.25">
      <c r="A337" s="359" t="s">
        <v>1513</v>
      </c>
      <c r="B337" s="359" t="s">
        <v>646</v>
      </c>
      <c r="C337" s="359" t="s">
        <v>1305</v>
      </c>
      <c r="D337" s="359" t="s">
        <v>1306</v>
      </c>
      <c r="E337" s="360"/>
      <c r="F337" s="359" t="s">
        <v>1346</v>
      </c>
      <c r="G337" s="361">
        <v>3.5571439182905709E-6</v>
      </c>
      <c r="H337" s="359" t="s">
        <v>1275</v>
      </c>
      <c r="I337" s="361">
        <v>4.1225177860983436E-3</v>
      </c>
      <c r="J337" s="359" t="s">
        <v>1305</v>
      </c>
      <c r="K337" s="359" t="s">
        <v>1272</v>
      </c>
      <c r="M337" t="str">
        <f t="shared" si="6"/>
        <v>N-HEXANE</v>
      </c>
    </row>
    <row r="338" spans="1:13" x14ac:dyDescent="0.25">
      <c r="A338" s="359" t="s">
        <v>1513</v>
      </c>
      <c r="B338" s="359" t="s">
        <v>646</v>
      </c>
      <c r="C338" s="359" t="s">
        <v>1384</v>
      </c>
      <c r="D338" s="359" t="s">
        <v>1385</v>
      </c>
      <c r="E338" s="360"/>
      <c r="F338" s="359" t="s">
        <v>1346</v>
      </c>
      <c r="G338" s="361">
        <v>3.5571439182905709E-6</v>
      </c>
      <c r="H338" s="359" t="s">
        <v>1423</v>
      </c>
      <c r="I338" s="361">
        <v>7.0671733475971596E-2</v>
      </c>
      <c r="J338" s="359" t="s">
        <v>1384</v>
      </c>
      <c r="K338" s="359" t="s">
        <v>1272</v>
      </c>
      <c r="M338" t="str">
        <f t="shared" si="6"/>
        <v>NICKEL AND NICKEL COMPOUNDS</v>
      </c>
    </row>
    <row r="339" spans="1:13" x14ac:dyDescent="0.25">
      <c r="A339" s="359" t="s">
        <v>1513</v>
      </c>
      <c r="B339" s="359" t="s">
        <v>646</v>
      </c>
      <c r="C339" s="359" t="s">
        <v>1307</v>
      </c>
      <c r="D339" s="359" t="s">
        <v>1308</v>
      </c>
      <c r="E339" s="360"/>
      <c r="F339" s="359" t="s">
        <v>1346</v>
      </c>
      <c r="G339" s="361">
        <v>3.5571439182905709E-6</v>
      </c>
      <c r="H339" s="359" t="s">
        <v>1524</v>
      </c>
      <c r="I339" s="361">
        <v>883.39666844964495</v>
      </c>
      <c r="J339" s="359" t="s">
        <v>1310</v>
      </c>
      <c r="K339" s="359" t="s">
        <v>1272</v>
      </c>
      <c r="M339" t="str">
        <f t="shared" si="6"/>
        <v>NITRATE</v>
      </c>
    </row>
    <row r="340" spans="1:13" x14ac:dyDescent="0.25">
      <c r="A340" s="359" t="s">
        <v>1513</v>
      </c>
      <c r="B340" s="359" t="s">
        <v>646</v>
      </c>
      <c r="C340" s="359" t="s">
        <v>1315</v>
      </c>
      <c r="D340" s="359" t="s">
        <v>1316</v>
      </c>
      <c r="E340" s="360"/>
      <c r="F340" s="359" t="s">
        <v>1346</v>
      </c>
      <c r="G340" s="361">
        <v>3.5571439182905709E-6</v>
      </c>
      <c r="H340" s="359" t="s">
        <v>1351</v>
      </c>
      <c r="I340" s="361">
        <v>7.6561044598969239E-3</v>
      </c>
      <c r="J340" s="359" t="s">
        <v>1315</v>
      </c>
      <c r="K340" s="359" t="s">
        <v>1272</v>
      </c>
      <c r="M340" t="str">
        <f t="shared" si="6"/>
        <v>PHENOL</v>
      </c>
    </row>
    <row r="341" spans="1:13" x14ac:dyDescent="0.25">
      <c r="A341" s="359" t="s">
        <v>1513</v>
      </c>
      <c r="B341" s="359" t="s">
        <v>646</v>
      </c>
      <c r="C341" s="359" t="s">
        <v>1319</v>
      </c>
      <c r="D341" s="359" t="s">
        <v>1320</v>
      </c>
      <c r="E341" s="360"/>
      <c r="F341" s="359" t="s">
        <v>1346</v>
      </c>
      <c r="G341" s="361">
        <v>3.5571439182905709E-6</v>
      </c>
      <c r="H341" s="359" t="s">
        <v>1525</v>
      </c>
      <c r="I341" s="361">
        <v>1.9022474927282356E-2</v>
      </c>
      <c r="J341" s="359" t="s">
        <v>1319</v>
      </c>
      <c r="K341" s="359" t="s">
        <v>1272</v>
      </c>
      <c r="M341" t="str">
        <f t="shared" si="6"/>
        <v>POLYCYCLIC AROMATIC COMPOUNDS</v>
      </c>
    </row>
    <row r="342" spans="1:13" x14ac:dyDescent="0.25">
      <c r="A342" s="359" t="s">
        <v>1513</v>
      </c>
      <c r="B342" s="359" t="s">
        <v>646</v>
      </c>
      <c r="C342" s="359" t="s">
        <v>1396</v>
      </c>
      <c r="D342" s="359" t="s">
        <v>1397</v>
      </c>
      <c r="E342" s="360"/>
      <c r="F342" s="359" t="s">
        <v>1346</v>
      </c>
      <c r="G342" s="361">
        <v>3.5571439182905709E-6</v>
      </c>
      <c r="H342" s="359" t="s">
        <v>1286</v>
      </c>
      <c r="I342" s="361">
        <v>0</v>
      </c>
      <c r="J342" s="359" t="s">
        <v>1398</v>
      </c>
      <c r="K342" s="359" t="s">
        <v>1272</v>
      </c>
      <c r="M342" t="str">
        <f t="shared" si="6"/>
        <v>PERCHLOROETHYLENE</v>
      </c>
    </row>
    <row r="343" spans="1:13" x14ac:dyDescent="0.25">
      <c r="A343" s="359" t="s">
        <v>1513</v>
      </c>
      <c r="B343" s="359" t="s">
        <v>646</v>
      </c>
      <c r="C343" s="359" t="s">
        <v>1325</v>
      </c>
      <c r="D343" s="359" t="s">
        <v>1326</v>
      </c>
      <c r="E343" s="360"/>
      <c r="F343" s="359" t="s">
        <v>1346</v>
      </c>
      <c r="G343" s="361">
        <v>3.5571439182905709E-6</v>
      </c>
      <c r="H343" s="359" t="s">
        <v>1517</v>
      </c>
      <c r="I343" s="361">
        <v>1.0011828909095978E-2</v>
      </c>
      <c r="J343" s="359" t="s">
        <v>1325</v>
      </c>
      <c r="K343" s="359" t="s">
        <v>1272</v>
      </c>
      <c r="M343" t="str">
        <f t="shared" si="6"/>
        <v>TOLUENE</v>
      </c>
    </row>
    <row r="344" spans="1:13" x14ac:dyDescent="0.25">
      <c r="A344" s="359" t="s">
        <v>1513</v>
      </c>
      <c r="B344" s="359" t="s">
        <v>646</v>
      </c>
      <c r="C344" s="359" t="s">
        <v>1495</v>
      </c>
      <c r="D344" s="359" t="s">
        <v>1465</v>
      </c>
      <c r="E344" s="360"/>
      <c r="F344" s="359" t="s">
        <v>1346</v>
      </c>
      <c r="G344" s="361">
        <v>3.5571439182905709E-6</v>
      </c>
      <c r="H344" s="359" t="s">
        <v>1286</v>
      </c>
      <c r="I344" s="361">
        <v>0</v>
      </c>
      <c r="J344" s="359" t="s">
        <v>1495</v>
      </c>
      <c r="K344" s="359" t="s">
        <v>1272</v>
      </c>
      <c r="M344" t="str">
        <f t="shared" si="6"/>
        <v>VANADIUM AND VANADIUM COMPOUNDS</v>
      </c>
    </row>
    <row r="345" spans="1:13" x14ac:dyDescent="0.25">
      <c r="A345" s="359" t="s">
        <v>1513</v>
      </c>
      <c r="B345" s="359" t="s">
        <v>646</v>
      </c>
      <c r="C345" s="359" t="s">
        <v>1327</v>
      </c>
      <c r="D345" s="359" t="s">
        <v>1328</v>
      </c>
      <c r="E345" s="360"/>
      <c r="F345" s="359" t="s">
        <v>1346</v>
      </c>
      <c r="G345" s="361">
        <v>3.5571439182905709E-6</v>
      </c>
      <c r="H345" s="359" t="s">
        <v>1526</v>
      </c>
      <c r="I345" s="361">
        <v>4.8292351208580601E-2</v>
      </c>
      <c r="J345" s="359" t="s">
        <v>1329</v>
      </c>
      <c r="K345" s="359" t="s">
        <v>1272</v>
      </c>
      <c r="M345" t="str">
        <f t="shared" si="6"/>
        <v>XYLENES</v>
      </c>
    </row>
    <row r="346" spans="1:13" x14ac:dyDescent="0.25">
      <c r="A346" s="359" t="s">
        <v>1513</v>
      </c>
      <c r="B346" s="359" t="s">
        <v>646</v>
      </c>
      <c r="C346" s="359" t="s">
        <v>1342</v>
      </c>
      <c r="D346" s="359" t="s">
        <v>1343</v>
      </c>
      <c r="E346" s="360"/>
      <c r="F346" s="359" t="s">
        <v>1346</v>
      </c>
      <c r="G346" s="361">
        <v>3.5571439182905709E-6</v>
      </c>
      <c r="H346" s="359" t="s">
        <v>1527</v>
      </c>
      <c r="I346" s="361">
        <v>0.3945838452408415</v>
      </c>
      <c r="J346" s="359" t="s">
        <v>1342</v>
      </c>
      <c r="K346" s="359" t="s">
        <v>1272</v>
      </c>
      <c r="M346" t="str">
        <f t="shared" si="6"/>
        <v>ZINC AND ZINC COMPOUNDS</v>
      </c>
    </row>
    <row r="347" spans="1:13" ht="30" x14ac:dyDescent="0.25">
      <c r="A347" s="359" t="s">
        <v>1528</v>
      </c>
      <c r="B347" s="359" t="s">
        <v>875</v>
      </c>
      <c r="C347" s="359" t="s">
        <v>1268</v>
      </c>
      <c r="D347" s="359" t="s">
        <v>1269</v>
      </c>
      <c r="E347" s="360"/>
      <c r="F347" s="359" t="s">
        <v>1412</v>
      </c>
      <c r="G347" s="361">
        <v>2.2222222222222223E-5</v>
      </c>
      <c r="H347" s="359" t="s">
        <v>1529</v>
      </c>
      <c r="I347" s="361">
        <v>0.91979396615158204</v>
      </c>
      <c r="J347" s="359" t="s">
        <v>1268</v>
      </c>
      <c r="K347" s="359" t="s">
        <v>1272</v>
      </c>
      <c r="M347" t="str">
        <f t="shared" si="6"/>
        <v>1,2,4-TRIMETHYLBENZENE</v>
      </c>
    </row>
    <row r="348" spans="1:13" ht="30" x14ac:dyDescent="0.25">
      <c r="A348" s="359" t="s">
        <v>1528</v>
      </c>
      <c r="B348" s="359" t="s">
        <v>875</v>
      </c>
      <c r="C348" s="359" t="s">
        <v>1347</v>
      </c>
      <c r="D348" s="359" t="s">
        <v>1348</v>
      </c>
      <c r="E348" s="360"/>
      <c r="F348" s="359" t="s">
        <v>1412</v>
      </c>
      <c r="G348" s="361">
        <v>2.2222222222222223E-5</v>
      </c>
      <c r="H348" s="359" t="s">
        <v>1286</v>
      </c>
      <c r="I348" s="361">
        <v>0</v>
      </c>
      <c r="J348" s="359" t="s">
        <v>1347</v>
      </c>
      <c r="K348" s="359" t="s">
        <v>1272</v>
      </c>
      <c r="M348" t="str">
        <f t="shared" si="6"/>
        <v>1,3-BUTADIENE</v>
      </c>
    </row>
    <row r="349" spans="1:13" ht="30" x14ac:dyDescent="0.25">
      <c r="A349" s="359" t="s">
        <v>1528</v>
      </c>
      <c r="B349" s="359" t="s">
        <v>875</v>
      </c>
      <c r="C349" s="359" t="s">
        <v>1273</v>
      </c>
      <c r="D349" s="359" t="s">
        <v>1274</v>
      </c>
      <c r="E349" s="360"/>
      <c r="F349" s="359" t="s">
        <v>1412</v>
      </c>
      <c r="G349" s="361">
        <v>2.2222222222222223E-5</v>
      </c>
      <c r="H349" s="359" t="s">
        <v>1346</v>
      </c>
      <c r="I349" s="361">
        <v>1.8395879323031643E-2</v>
      </c>
      <c r="J349" s="359" t="s">
        <v>1273</v>
      </c>
      <c r="K349" s="359" t="s">
        <v>1272</v>
      </c>
      <c r="M349" t="str">
        <f t="shared" si="6"/>
        <v>BENZENE</v>
      </c>
    </row>
    <row r="350" spans="1:13" ht="30" x14ac:dyDescent="0.25">
      <c r="A350" s="359" t="s">
        <v>1528</v>
      </c>
      <c r="B350" s="359" t="s">
        <v>875</v>
      </c>
      <c r="C350" s="359" t="s">
        <v>1352</v>
      </c>
      <c r="D350" s="359" t="s">
        <v>1353</v>
      </c>
      <c r="E350" s="360"/>
      <c r="F350" s="359" t="s">
        <v>1412</v>
      </c>
      <c r="G350" s="361">
        <v>2.2222222222222223E-5</v>
      </c>
      <c r="H350" s="359" t="s">
        <v>1491</v>
      </c>
      <c r="I350" s="361">
        <v>7.3583517292126574E-4</v>
      </c>
      <c r="J350" s="359" t="s">
        <v>1352</v>
      </c>
      <c r="K350" s="359" t="s">
        <v>1272</v>
      </c>
      <c r="M350" t="str">
        <f t="shared" si="6"/>
        <v>BENZO(G,H,I)PERYLENE</v>
      </c>
    </row>
    <row r="351" spans="1:13" ht="30" x14ac:dyDescent="0.25">
      <c r="A351" s="359" t="s">
        <v>1528</v>
      </c>
      <c r="B351" s="359" t="s">
        <v>875</v>
      </c>
      <c r="C351" s="359" t="s">
        <v>1276</v>
      </c>
      <c r="D351" s="359" t="s">
        <v>490</v>
      </c>
      <c r="E351" s="361">
        <v>13491.1564626</v>
      </c>
      <c r="F351" s="359" t="s">
        <v>1412</v>
      </c>
      <c r="G351" s="361">
        <v>2.2222222222222223E-5</v>
      </c>
      <c r="H351" s="359" t="s">
        <v>490</v>
      </c>
      <c r="I351" s="361">
        <v>8.213793888949771E-4</v>
      </c>
      <c r="J351" s="359" t="s">
        <v>1276</v>
      </c>
      <c r="K351" s="359" t="s">
        <v>1277</v>
      </c>
      <c r="M351" t="str">
        <f t="shared" si="6"/>
        <v>BOD, 5-day, 20 deg. C</v>
      </c>
    </row>
    <row r="352" spans="1:13" ht="30" x14ac:dyDescent="0.25">
      <c r="A352" s="359" t="s">
        <v>1528</v>
      </c>
      <c r="B352" s="359" t="s">
        <v>875</v>
      </c>
      <c r="C352" s="359" t="s">
        <v>1355</v>
      </c>
      <c r="D352" s="359" t="s">
        <v>1356</v>
      </c>
      <c r="E352" s="360"/>
      <c r="F352" s="359" t="s">
        <v>1412</v>
      </c>
      <c r="G352" s="361">
        <v>2.2222222222222223E-5</v>
      </c>
      <c r="H352" s="359" t="s">
        <v>1286</v>
      </c>
      <c r="I352" s="361">
        <v>0</v>
      </c>
      <c r="J352" s="359" t="s">
        <v>1355</v>
      </c>
      <c r="K352" s="359" t="s">
        <v>1272</v>
      </c>
      <c r="M352" t="str">
        <f t="shared" si="6"/>
        <v>CARBON DISULFIDE</v>
      </c>
    </row>
    <row r="353" spans="1:13" ht="30" x14ac:dyDescent="0.25">
      <c r="A353" s="359" t="s">
        <v>1528</v>
      </c>
      <c r="B353" s="359" t="s">
        <v>875</v>
      </c>
      <c r="C353" s="359" t="s">
        <v>1457</v>
      </c>
      <c r="D353" s="359" t="s">
        <v>490</v>
      </c>
      <c r="E353" s="361">
        <v>107106.122449</v>
      </c>
      <c r="F353" s="359" t="s">
        <v>1412</v>
      </c>
      <c r="G353" s="361">
        <v>2.2222222222222223E-5</v>
      </c>
      <c r="H353" s="359" t="s">
        <v>490</v>
      </c>
      <c r="I353" s="361">
        <v>6.5209206970471842E-3</v>
      </c>
      <c r="J353" s="359" t="s">
        <v>1457</v>
      </c>
      <c r="K353" s="359" t="s">
        <v>1277</v>
      </c>
      <c r="M353" t="str">
        <f t="shared" si="6"/>
        <v>Chemical Oxygen Demand (COD)</v>
      </c>
    </row>
    <row r="354" spans="1:13" ht="30" x14ac:dyDescent="0.25">
      <c r="A354" s="359" t="s">
        <v>1528</v>
      </c>
      <c r="B354" s="359" t="s">
        <v>875</v>
      </c>
      <c r="C354" s="359" t="s">
        <v>1291</v>
      </c>
      <c r="D354" s="359" t="s">
        <v>1292</v>
      </c>
      <c r="E354" s="360"/>
      <c r="F354" s="359" t="s">
        <v>1412</v>
      </c>
      <c r="G354" s="361">
        <v>2.2222222222222223E-5</v>
      </c>
      <c r="H354" s="359" t="s">
        <v>1346</v>
      </c>
      <c r="I354" s="361">
        <v>1.8395879323031643E-2</v>
      </c>
      <c r="J354" s="359" t="s">
        <v>1291</v>
      </c>
      <c r="K354" s="359" t="s">
        <v>1272</v>
      </c>
      <c r="M354" t="str">
        <f t="shared" si="6"/>
        <v>CYCLOHEXANE</v>
      </c>
    </row>
    <row r="355" spans="1:13" ht="30" x14ac:dyDescent="0.25">
      <c r="A355" s="359" t="s">
        <v>1528</v>
      </c>
      <c r="B355" s="359" t="s">
        <v>875</v>
      </c>
      <c r="C355" s="359" t="s">
        <v>1362</v>
      </c>
      <c r="D355" s="359" t="s">
        <v>1363</v>
      </c>
      <c r="E355" s="360"/>
      <c r="F355" s="359" t="s">
        <v>1412</v>
      </c>
      <c r="G355" s="361">
        <v>2.2222222222222223E-5</v>
      </c>
      <c r="H355" s="359" t="s">
        <v>1530</v>
      </c>
      <c r="I355" s="361">
        <v>8.4681015452538645E-7</v>
      </c>
      <c r="J355" s="359" t="s">
        <v>1362</v>
      </c>
      <c r="K355" s="359" t="s">
        <v>1272</v>
      </c>
      <c r="M355" t="str">
        <f t="shared" si="6"/>
        <v>DIOXIN AND DIOXIN-LIKE COMPOUNDS</v>
      </c>
    </row>
    <row r="356" spans="1:13" ht="30" x14ac:dyDescent="0.25">
      <c r="A356" s="359" t="s">
        <v>1528</v>
      </c>
      <c r="B356" s="359" t="s">
        <v>875</v>
      </c>
      <c r="C356" s="359" t="s">
        <v>1295</v>
      </c>
      <c r="D356" s="359" t="s">
        <v>1296</v>
      </c>
      <c r="E356" s="360"/>
      <c r="F356" s="359" t="s">
        <v>1412</v>
      </c>
      <c r="G356" s="361">
        <v>2.2222222222222223E-5</v>
      </c>
      <c r="H356" s="359" t="s">
        <v>1346</v>
      </c>
      <c r="I356" s="361">
        <v>1.8395879323031643E-2</v>
      </c>
      <c r="J356" s="359" t="s">
        <v>1295</v>
      </c>
      <c r="K356" s="359" t="s">
        <v>1272</v>
      </c>
      <c r="M356" t="str">
        <f t="shared" si="6"/>
        <v>ETHYLBENZENE</v>
      </c>
    </row>
    <row r="357" spans="1:13" ht="30" x14ac:dyDescent="0.25">
      <c r="A357" s="359" t="s">
        <v>1528</v>
      </c>
      <c r="B357" s="359" t="s">
        <v>875</v>
      </c>
      <c r="C357" s="359" t="s">
        <v>1488</v>
      </c>
      <c r="D357" s="359" t="s">
        <v>1489</v>
      </c>
      <c r="E357" s="360"/>
      <c r="F357" s="359" t="s">
        <v>1412</v>
      </c>
      <c r="G357" s="361">
        <v>2.2222222222222223E-5</v>
      </c>
      <c r="H357" s="359" t="s">
        <v>1286</v>
      </c>
      <c r="I357" s="361">
        <v>0</v>
      </c>
      <c r="J357" s="359" t="s">
        <v>1490</v>
      </c>
      <c r="K357" s="359" t="s">
        <v>1272</v>
      </c>
      <c r="M357" t="str">
        <f t="shared" si="6"/>
        <v>HYDROFLUORIC ACID</v>
      </c>
    </row>
    <row r="358" spans="1:13" ht="30" x14ac:dyDescent="0.25">
      <c r="A358" s="359" t="s">
        <v>1528</v>
      </c>
      <c r="B358" s="359" t="s">
        <v>875</v>
      </c>
      <c r="C358" s="359" t="s">
        <v>1297</v>
      </c>
      <c r="D358" s="359" t="s">
        <v>1298</v>
      </c>
      <c r="E358" s="360"/>
      <c r="F358" s="359" t="s">
        <v>1412</v>
      </c>
      <c r="G358" s="361">
        <v>2.2222222222222223E-5</v>
      </c>
      <c r="H358" s="359" t="s">
        <v>1531</v>
      </c>
      <c r="I358" s="361">
        <v>3.1272994849153794E-2</v>
      </c>
      <c r="J358" s="359" t="s">
        <v>1297</v>
      </c>
      <c r="K358" s="359" t="s">
        <v>1272</v>
      </c>
      <c r="M358" t="str">
        <f t="shared" si="6"/>
        <v>LEAD AND LEAD COMPOUNDS</v>
      </c>
    </row>
    <row r="359" spans="1:13" ht="30" x14ac:dyDescent="0.25">
      <c r="A359" s="359" t="s">
        <v>1528</v>
      </c>
      <c r="B359" s="359" t="s">
        <v>875</v>
      </c>
      <c r="C359" s="359" t="s">
        <v>1300</v>
      </c>
      <c r="D359" s="359" t="s">
        <v>1301</v>
      </c>
      <c r="E359" s="360"/>
      <c r="F359" s="359" t="s">
        <v>1412</v>
      </c>
      <c r="G359" s="361">
        <v>2.2222222222222223E-5</v>
      </c>
      <c r="H359" s="359" t="s">
        <v>1499</v>
      </c>
      <c r="I359" s="361">
        <v>1.1037527593818985E-3</v>
      </c>
      <c r="J359" s="359" t="s">
        <v>1300</v>
      </c>
      <c r="K359" s="359" t="s">
        <v>1272</v>
      </c>
      <c r="M359" t="str">
        <f t="shared" si="6"/>
        <v>MERCURY AND MERCURY COMPOUNDS</v>
      </c>
    </row>
    <row r="360" spans="1:13" ht="30" x14ac:dyDescent="0.25">
      <c r="A360" s="359" t="s">
        <v>1528</v>
      </c>
      <c r="B360" s="359" t="s">
        <v>875</v>
      </c>
      <c r="C360" s="359" t="s">
        <v>1303</v>
      </c>
      <c r="D360" s="359" t="s">
        <v>1304</v>
      </c>
      <c r="E360" s="360"/>
      <c r="F360" s="359" t="s">
        <v>1412</v>
      </c>
      <c r="G360" s="361">
        <v>2.2222222222222223E-5</v>
      </c>
      <c r="H360" s="359" t="s">
        <v>1346</v>
      </c>
      <c r="I360" s="361">
        <v>1.8395879323031643E-2</v>
      </c>
      <c r="J360" s="359" t="s">
        <v>1303</v>
      </c>
      <c r="K360" s="359" t="s">
        <v>1272</v>
      </c>
      <c r="M360" t="str">
        <f t="shared" si="6"/>
        <v>NAPHTHALENE</v>
      </c>
    </row>
    <row r="361" spans="1:13" ht="30" x14ac:dyDescent="0.25">
      <c r="A361" s="359" t="s">
        <v>1528</v>
      </c>
      <c r="B361" s="359" t="s">
        <v>875</v>
      </c>
      <c r="C361" s="359" t="s">
        <v>1305</v>
      </c>
      <c r="D361" s="359" t="s">
        <v>1306</v>
      </c>
      <c r="E361" s="360"/>
      <c r="F361" s="359" t="s">
        <v>1412</v>
      </c>
      <c r="G361" s="361">
        <v>2.2222222222222223E-5</v>
      </c>
      <c r="H361" s="359" t="s">
        <v>1346</v>
      </c>
      <c r="I361" s="361">
        <v>1.8395879323031643E-2</v>
      </c>
      <c r="J361" s="359" t="s">
        <v>1305</v>
      </c>
      <c r="K361" s="359" t="s">
        <v>1272</v>
      </c>
      <c r="M361" t="str">
        <f t="shared" si="6"/>
        <v>N-HEXANE</v>
      </c>
    </row>
    <row r="362" spans="1:13" ht="30" x14ac:dyDescent="0.25">
      <c r="A362" s="359" t="s">
        <v>1528</v>
      </c>
      <c r="B362" s="359" t="s">
        <v>875</v>
      </c>
      <c r="C362" s="359" t="s">
        <v>1307</v>
      </c>
      <c r="D362" s="359" t="s">
        <v>1308</v>
      </c>
      <c r="E362" s="360"/>
      <c r="F362" s="359" t="s">
        <v>1412</v>
      </c>
      <c r="G362" s="361">
        <v>2.2222222222222223E-5</v>
      </c>
      <c r="H362" s="359" t="s">
        <v>1532</v>
      </c>
      <c r="I362" s="361">
        <v>334.80500367917591</v>
      </c>
      <c r="J362" s="359" t="s">
        <v>1310</v>
      </c>
      <c r="K362" s="359" t="s">
        <v>1272</v>
      </c>
      <c r="M362" t="str">
        <f t="shared" si="6"/>
        <v>NITRATE</v>
      </c>
    </row>
    <row r="363" spans="1:13" ht="30" x14ac:dyDescent="0.25">
      <c r="A363" s="359" t="s">
        <v>1528</v>
      </c>
      <c r="B363" s="359" t="s">
        <v>875</v>
      </c>
      <c r="C363" s="359" t="s">
        <v>1311</v>
      </c>
      <c r="D363" s="359" t="s">
        <v>1312</v>
      </c>
      <c r="E363" s="361">
        <v>3983.2199546500001</v>
      </c>
      <c r="F363" s="359" t="s">
        <v>1412</v>
      </c>
      <c r="G363" s="361">
        <v>2.2222222222222223E-5</v>
      </c>
      <c r="H363" s="359" t="s">
        <v>490</v>
      </c>
      <c r="I363" s="361">
        <v>2.4250958628006089E-4</v>
      </c>
      <c r="J363" s="359" t="s">
        <v>1313</v>
      </c>
      <c r="K363" s="359" t="s">
        <v>1277</v>
      </c>
      <c r="M363" t="str">
        <f t="shared" si="6"/>
        <v>AMMONIA</v>
      </c>
    </row>
    <row r="364" spans="1:13" ht="30" x14ac:dyDescent="0.25">
      <c r="A364" s="359" t="s">
        <v>1528</v>
      </c>
      <c r="B364" s="359" t="s">
        <v>875</v>
      </c>
      <c r="C364" s="359" t="s">
        <v>1533</v>
      </c>
      <c r="D364" s="359" t="s">
        <v>490</v>
      </c>
      <c r="E364" s="361">
        <v>4185.4875283399997</v>
      </c>
      <c r="F364" s="359" t="s">
        <v>1412</v>
      </c>
      <c r="G364" s="361">
        <v>2.2222222222222223E-5</v>
      </c>
      <c r="H364" s="359" t="s">
        <v>490</v>
      </c>
      <c r="I364" s="361">
        <v>2.5482420263866053E-4</v>
      </c>
      <c r="J364" s="359" t="s">
        <v>1533</v>
      </c>
      <c r="K364" s="359" t="s">
        <v>1277</v>
      </c>
      <c r="M364" t="str">
        <f t="shared" si="6"/>
        <v>Oil and grease (soxhlet extr.) tot.</v>
      </c>
    </row>
    <row r="365" spans="1:13" ht="30" x14ac:dyDescent="0.25">
      <c r="A365" s="359" t="s">
        <v>1528</v>
      </c>
      <c r="B365" s="359" t="s">
        <v>875</v>
      </c>
      <c r="C365" s="359" t="s">
        <v>1318</v>
      </c>
      <c r="D365" s="359" t="s">
        <v>490</v>
      </c>
      <c r="E365" s="361">
        <v>38.494331065799997</v>
      </c>
      <c r="F365" s="359" t="s">
        <v>1412</v>
      </c>
      <c r="G365" s="361">
        <v>2.2222222222222223E-5</v>
      </c>
      <c r="H365" s="359" t="s">
        <v>490</v>
      </c>
      <c r="I365" s="361">
        <v>2.3436426828493148E-6</v>
      </c>
      <c r="J365" s="359" t="s">
        <v>1318</v>
      </c>
      <c r="K365" s="359" t="s">
        <v>1277</v>
      </c>
      <c r="M365" t="str">
        <f t="shared" si="6"/>
        <v>Phenolics, total recoverable</v>
      </c>
    </row>
    <row r="366" spans="1:13" ht="30" x14ac:dyDescent="0.25">
      <c r="A366" s="359" t="s">
        <v>1528</v>
      </c>
      <c r="B366" s="359" t="s">
        <v>875</v>
      </c>
      <c r="C366" s="359" t="s">
        <v>1319</v>
      </c>
      <c r="D366" s="359" t="s">
        <v>1320</v>
      </c>
      <c r="E366" s="360"/>
      <c r="F366" s="359" t="s">
        <v>1412</v>
      </c>
      <c r="G366" s="361">
        <v>2.2222222222222223E-5</v>
      </c>
      <c r="H366" s="359" t="s">
        <v>1534</v>
      </c>
      <c r="I366" s="361">
        <v>2.2075055187637969E-3</v>
      </c>
      <c r="J366" s="359" t="s">
        <v>1319</v>
      </c>
      <c r="K366" s="359" t="s">
        <v>1272</v>
      </c>
      <c r="M366" t="str">
        <f t="shared" si="6"/>
        <v>POLYCYCLIC AROMATIC COMPOUNDS</v>
      </c>
    </row>
    <row r="367" spans="1:13" ht="30" x14ac:dyDescent="0.25">
      <c r="A367" s="359" t="s">
        <v>1528</v>
      </c>
      <c r="B367" s="359" t="s">
        <v>875</v>
      </c>
      <c r="C367" s="359" t="s">
        <v>1535</v>
      </c>
      <c r="D367" s="359" t="s">
        <v>1324</v>
      </c>
      <c r="E367" s="361">
        <v>178.60770975099999</v>
      </c>
      <c r="F367" s="359" t="s">
        <v>1412</v>
      </c>
      <c r="G367" s="361">
        <v>2.2222222222222223E-5</v>
      </c>
      <c r="H367" s="359" t="s">
        <v>490</v>
      </c>
      <c r="I367" s="361">
        <v>1.0874137579969557E-5</v>
      </c>
      <c r="J367" s="359" t="s">
        <v>1535</v>
      </c>
      <c r="K367" s="359" t="s">
        <v>1277</v>
      </c>
      <c r="M367" t="str">
        <f t="shared" si="6"/>
        <v>Sulfide, total</v>
      </c>
    </row>
    <row r="368" spans="1:13" ht="30" x14ac:dyDescent="0.25">
      <c r="A368" s="359" t="s">
        <v>1528</v>
      </c>
      <c r="B368" s="359" t="s">
        <v>875</v>
      </c>
      <c r="C368" s="359" t="s">
        <v>1536</v>
      </c>
      <c r="D368" s="359" t="s">
        <v>490</v>
      </c>
      <c r="E368" s="361">
        <v>14751.927437599999</v>
      </c>
      <c r="F368" s="359" t="s">
        <v>1412</v>
      </c>
      <c r="G368" s="361">
        <v>2.2222222222222223E-5</v>
      </c>
      <c r="H368" s="359" t="s">
        <v>490</v>
      </c>
      <c r="I368" s="361">
        <v>8.9813865677929982E-4</v>
      </c>
      <c r="J368" s="359" t="s">
        <v>1536</v>
      </c>
      <c r="K368" s="359" t="s">
        <v>1277</v>
      </c>
      <c r="M368" t="str">
        <f t="shared" si="6"/>
        <v>Suspended solids</v>
      </c>
    </row>
    <row r="369" spans="1:13" ht="30" x14ac:dyDescent="0.25">
      <c r="A369" s="359" t="s">
        <v>1528</v>
      </c>
      <c r="B369" s="359" t="s">
        <v>875</v>
      </c>
      <c r="C369" s="359" t="s">
        <v>1396</v>
      </c>
      <c r="D369" s="359" t="s">
        <v>1397</v>
      </c>
      <c r="E369" s="360"/>
      <c r="F369" s="359" t="s">
        <v>1412</v>
      </c>
      <c r="G369" s="361">
        <v>2.2222222222222223E-5</v>
      </c>
      <c r="H369" s="359" t="s">
        <v>1346</v>
      </c>
      <c r="I369" s="361">
        <v>1.8395879323031643E-2</v>
      </c>
      <c r="J369" s="359" t="s">
        <v>1398</v>
      </c>
      <c r="K369" s="359" t="s">
        <v>1272</v>
      </c>
      <c r="M369" t="str">
        <f t="shared" si="6"/>
        <v>PERCHLOROETHYLENE</v>
      </c>
    </row>
    <row r="370" spans="1:13" ht="30" x14ac:dyDescent="0.25">
      <c r="A370" s="359" t="s">
        <v>1528</v>
      </c>
      <c r="B370" s="359" t="s">
        <v>875</v>
      </c>
      <c r="C370" s="359" t="s">
        <v>1325</v>
      </c>
      <c r="D370" s="359" t="s">
        <v>1326</v>
      </c>
      <c r="E370" s="360"/>
      <c r="F370" s="359" t="s">
        <v>1412</v>
      </c>
      <c r="G370" s="361">
        <v>2.2222222222222223E-5</v>
      </c>
      <c r="H370" s="359" t="s">
        <v>1346</v>
      </c>
      <c r="I370" s="361">
        <v>1.8395879323031643E-2</v>
      </c>
      <c r="J370" s="359" t="s">
        <v>1325</v>
      </c>
      <c r="K370" s="359" t="s">
        <v>1272</v>
      </c>
      <c r="M370" t="str">
        <f t="shared" si="6"/>
        <v>TOLUENE</v>
      </c>
    </row>
    <row r="371" spans="1:13" ht="30" x14ac:dyDescent="0.25">
      <c r="A371" s="359" t="s">
        <v>1528</v>
      </c>
      <c r="B371" s="359" t="s">
        <v>875</v>
      </c>
      <c r="C371" s="359" t="s">
        <v>1327</v>
      </c>
      <c r="D371" s="359" t="s">
        <v>1328</v>
      </c>
      <c r="E371" s="360"/>
      <c r="F371" s="359" t="s">
        <v>1412</v>
      </c>
      <c r="G371" s="361">
        <v>2.2222222222222223E-5</v>
      </c>
      <c r="H371" s="359" t="s">
        <v>1537</v>
      </c>
      <c r="I371" s="361">
        <v>5.1508462104488597</v>
      </c>
      <c r="J371" s="359" t="s">
        <v>1329</v>
      </c>
      <c r="K371" s="359" t="s">
        <v>1272</v>
      </c>
      <c r="M371" t="str">
        <f t="shared" si="6"/>
        <v>XYLENES</v>
      </c>
    </row>
    <row r="372" spans="1:13" ht="30" x14ac:dyDescent="0.25">
      <c r="A372" s="359" t="s">
        <v>1528</v>
      </c>
      <c r="B372" s="359" t="s">
        <v>875</v>
      </c>
      <c r="C372" s="359" t="s">
        <v>1342</v>
      </c>
      <c r="D372" s="359" t="s">
        <v>1343</v>
      </c>
      <c r="E372" s="360"/>
      <c r="F372" s="359" t="s">
        <v>1412</v>
      </c>
      <c r="G372" s="361">
        <v>2.2222222222222223E-5</v>
      </c>
      <c r="H372" s="359" t="s">
        <v>1529</v>
      </c>
      <c r="I372" s="361">
        <v>0.91979396615158204</v>
      </c>
      <c r="J372" s="359" t="s">
        <v>1342</v>
      </c>
      <c r="K372" s="359" t="s">
        <v>1272</v>
      </c>
      <c r="M372" t="str">
        <f t="shared" si="6"/>
        <v>ZINC AND ZINC COMPOUNDS</v>
      </c>
    </row>
    <row r="373" spans="1:13" ht="30" x14ac:dyDescent="0.25">
      <c r="A373" s="359" t="s">
        <v>1538</v>
      </c>
      <c r="B373" s="359" t="s">
        <v>665</v>
      </c>
      <c r="C373" s="359" t="s">
        <v>1268</v>
      </c>
      <c r="D373" s="359" t="s">
        <v>1269</v>
      </c>
      <c r="E373" s="360"/>
      <c r="F373" s="359" t="s">
        <v>1473</v>
      </c>
      <c r="G373" s="361">
        <v>3.9377436790953236E-6</v>
      </c>
      <c r="H373" s="359" t="s">
        <v>1539</v>
      </c>
      <c r="I373" s="361">
        <v>7.1713874950411509E-3</v>
      </c>
      <c r="J373" s="359" t="s">
        <v>1268</v>
      </c>
      <c r="K373" s="359" t="s">
        <v>1272</v>
      </c>
      <c r="M373" t="str">
        <f t="shared" si="6"/>
        <v>1,2,4-TRIMETHYLBENZENE</v>
      </c>
    </row>
    <row r="374" spans="1:13" ht="30" x14ac:dyDescent="0.25">
      <c r="A374" s="359" t="s">
        <v>1538</v>
      </c>
      <c r="B374" s="359" t="s">
        <v>665</v>
      </c>
      <c r="C374" s="359" t="s">
        <v>1273</v>
      </c>
      <c r="D374" s="359" t="s">
        <v>1274</v>
      </c>
      <c r="E374" s="360"/>
      <c r="F374" s="359" t="s">
        <v>1473</v>
      </c>
      <c r="G374" s="361">
        <v>3.9377436790953236E-6</v>
      </c>
      <c r="H374" s="359" t="s">
        <v>1412</v>
      </c>
      <c r="I374" s="361">
        <v>2.6077772709240553E-3</v>
      </c>
      <c r="J374" s="359" t="s">
        <v>1273</v>
      </c>
      <c r="K374" s="359" t="s">
        <v>1272</v>
      </c>
      <c r="M374" t="str">
        <f t="shared" si="6"/>
        <v>BENZENE</v>
      </c>
    </row>
    <row r="375" spans="1:13" ht="30" x14ac:dyDescent="0.25">
      <c r="A375" s="359" t="s">
        <v>1538</v>
      </c>
      <c r="B375" s="359" t="s">
        <v>665</v>
      </c>
      <c r="C375" s="359" t="s">
        <v>1352</v>
      </c>
      <c r="D375" s="359" t="s">
        <v>1353</v>
      </c>
      <c r="E375" s="360"/>
      <c r="F375" s="359" t="s">
        <v>1473</v>
      </c>
      <c r="G375" s="361">
        <v>3.9377436790953236E-6</v>
      </c>
      <c r="H375" s="359" t="s">
        <v>1499</v>
      </c>
      <c r="I375" s="361">
        <v>1.9558329531930413E-4</v>
      </c>
      <c r="J375" s="359" t="s">
        <v>1352</v>
      </c>
      <c r="K375" s="359" t="s">
        <v>1272</v>
      </c>
      <c r="M375" t="str">
        <f t="shared" si="6"/>
        <v>BENZO(G,H,I)PERYLENE</v>
      </c>
    </row>
    <row r="376" spans="1:13" ht="30" x14ac:dyDescent="0.25">
      <c r="A376" s="359" t="s">
        <v>1538</v>
      </c>
      <c r="B376" s="359" t="s">
        <v>665</v>
      </c>
      <c r="C376" s="359" t="s">
        <v>1276</v>
      </c>
      <c r="D376" s="359" t="s">
        <v>490</v>
      </c>
      <c r="E376" s="361">
        <v>222559.63718799999</v>
      </c>
      <c r="F376" s="359" t="s">
        <v>1473</v>
      </c>
      <c r="G376" s="361">
        <v>3.9377436790953236E-6</v>
      </c>
      <c r="H376" s="359" t="s">
        <v>490</v>
      </c>
      <c r="I376" s="361">
        <v>2.4010487796131382E-3</v>
      </c>
      <c r="J376" s="359" t="s">
        <v>1276</v>
      </c>
      <c r="K376" s="359" t="s">
        <v>1277</v>
      </c>
      <c r="M376" t="str">
        <f t="shared" si="6"/>
        <v>BOD, 5-day, 20 deg. C</v>
      </c>
    </row>
    <row r="377" spans="1:13" ht="30" x14ac:dyDescent="0.25">
      <c r="A377" s="359" t="s">
        <v>1538</v>
      </c>
      <c r="B377" s="359" t="s">
        <v>665</v>
      </c>
      <c r="C377" s="359" t="s">
        <v>1278</v>
      </c>
      <c r="D377" s="359" t="s">
        <v>1279</v>
      </c>
      <c r="E377" s="361">
        <v>486651.70068000001</v>
      </c>
      <c r="F377" s="359" t="s">
        <v>1473</v>
      </c>
      <c r="G377" s="361">
        <v>3.9377436790953236E-6</v>
      </c>
      <c r="H377" s="359" t="s">
        <v>490</v>
      </c>
      <c r="I377" s="361">
        <v>5.250163447325094E-3</v>
      </c>
      <c r="J377" s="359" t="s">
        <v>1278</v>
      </c>
      <c r="K377" s="359" t="s">
        <v>1277</v>
      </c>
      <c r="M377" t="str">
        <f t="shared" si="6"/>
        <v>Carbon, tot organic (TOC)</v>
      </c>
    </row>
    <row r="378" spans="1:13" ht="30" x14ac:dyDescent="0.25">
      <c r="A378" s="359" t="s">
        <v>1538</v>
      </c>
      <c r="B378" s="359" t="s">
        <v>665</v>
      </c>
      <c r="C378" s="359" t="s">
        <v>1457</v>
      </c>
      <c r="D378" s="359" t="s">
        <v>490</v>
      </c>
      <c r="E378" s="361">
        <v>1063948.29932</v>
      </c>
      <c r="F378" s="359" t="s">
        <v>1473</v>
      </c>
      <c r="G378" s="361">
        <v>3.9377436790953236E-6</v>
      </c>
      <c r="H378" s="359" t="s">
        <v>490</v>
      </c>
      <c r="I378" s="361">
        <v>1.1478234768579586E-2</v>
      </c>
      <c r="J378" s="359" t="s">
        <v>1457</v>
      </c>
      <c r="K378" s="359" t="s">
        <v>1277</v>
      </c>
      <c r="M378" t="str">
        <f t="shared" si="6"/>
        <v>Chemical Oxygen Demand (COD)</v>
      </c>
    </row>
    <row r="379" spans="1:13" ht="30" x14ac:dyDescent="0.25">
      <c r="A379" s="359" t="s">
        <v>1538</v>
      </c>
      <c r="B379" s="359" t="s">
        <v>665</v>
      </c>
      <c r="C379" s="359" t="s">
        <v>1280</v>
      </c>
      <c r="D379" s="359" t="s">
        <v>1281</v>
      </c>
      <c r="E379" s="361">
        <v>1.06848072562</v>
      </c>
      <c r="F379" s="359" t="s">
        <v>1473</v>
      </c>
      <c r="G379" s="361">
        <v>3.9377436790953236E-6</v>
      </c>
      <c r="H379" s="359" t="s">
        <v>490</v>
      </c>
      <c r="I379" s="361">
        <v>1.15271321193023E-8</v>
      </c>
      <c r="J379" s="359" t="s">
        <v>1280</v>
      </c>
      <c r="K379" s="359" t="s">
        <v>1277</v>
      </c>
      <c r="M379" t="str">
        <f t="shared" si="6"/>
        <v>Chromium, hexavalent (as Cr)</v>
      </c>
    </row>
    <row r="380" spans="1:13" ht="30" x14ac:dyDescent="0.25">
      <c r="A380" s="359" t="s">
        <v>1538</v>
      </c>
      <c r="B380" s="359" t="s">
        <v>665</v>
      </c>
      <c r="C380" s="359" t="s">
        <v>1282</v>
      </c>
      <c r="D380" s="359" t="s">
        <v>1283</v>
      </c>
      <c r="E380" s="361">
        <v>55.147392290200003</v>
      </c>
      <c r="F380" s="359" t="s">
        <v>1473</v>
      </c>
      <c r="G380" s="361">
        <v>3.9377436790953236E-6</v>
      </c>
      <c r="H380" s="359" t="s">
        <v>490</v>
      </c>
      <c r="I380" s="361">
        <v>5.9494875454609648E-7</v>
      </c>
      <c r="J380" s="359" t="s">
        <v>1282</v>
      </c>
      <c r="K380" s="359" t="s">
        <v>1277</v>
      </c>
      <c r="M380" t="str">
        <f t="shared" si="6"/>
        <v>Chromium, total (as Cr)</v>
      </c>
    </row>
    <row r="381" spans="1:13" ht="30" x14ac:dyDescent="0.25">
      <c r="A381" s="359" t="s">
        <v>1538</v>
      </c>
      <c r="B381" s="359" t="s">
        <v>665</v>
      </c>
      <c r="C381" s="359" t="s">
        <v>1485</v>
      </c>
      <c r="D381" s="359" t="s">
        <v>1486</v>
      </c>
      <c r="E381" s="360"/>
      <c r="F381" s="359" t="s">
        <v>1473</v>
      </c>
      <c r="G381" s="361">
        <v>3.9377436790953236E-6</v>
      </c>
      <c r="H381" s="359" t="s">
        <v>1540</v>
      </c>
      <c r="I381" s="361">
        <v>1.3690830672351289E-2</v>
      </c>
      <c r="J381" s="359" t="s">
        <v>1485</v>
      </c>
      <c r="K381" s="359" t="s">
        <v>1272</v>
      </c>
      <c r="M381" t="str">
        <f t="shared" si="6"/>
        <v>COBALT AND COBALT COMPOUNDS</v>
      </c>
    </row>
    <row r="382" spans="1:13" ht="30" x14ac:dyDescent="0.25">
      <c r="A382" s="359" t="s">
        <v>1538</v>
      </c>
      <c r="B382" s="359" t="s">
        <v>665</v>
      </c>
      <c r="C382" s="359" t="s">
        <v>1467</v>
      </c>
      <c r="D382" s="359" t="s">
        <v>1441</v>
      </c>
      <c r="E382" s="361">
        <v>59.019425515000002</v>
      </c>
      <c r="F382" s="359" t="s">
        <v>1473</v>
      </c>
      <c r="G382" s="361">
        <v>3.9377436790953236E-6</v>
      </c>
      <c r="H382" s="359" t="s">
        <v>490</v>
      </c>
      <c r="I382" s="361">
        <v>6.3672156100144795E-7</v>
      </c>
      <c r="J382" s="359" t="s">
        <v>1467</v>
      </c>
      <c r="K382" s="359" t="s">
        <v>1277</v>
      </c>
      <c r="M382" t="str">
        <f t="shared" si="6"/>
        <v>Copper, total (as Cu)</v>
      </c>
    </row>
    <row r="383" spans="1:13" ht="30" x14ac:dyDescent="0.25">
      <c r="A383" s="359" t="s">
        <v>1538</v>
      </c>
      <c r="B383" s="359" t="s">
        <v>665</v>
      </c>
      <c r="C383" s="359" t="s">
        <v>1443</v>
      </c>
      <c r="D383" s="359" t="s">
        <v>1444</v>
      </c>
      <c r="E383" s="360"/>
      <c r="F383" s="359" t="s">
        <v>1473</v>
      </c>
      <c r="G383" s="361">
        <v>3.9377436790953236E-6</v>
      </c>
      <c r="H383" s="359" t="s">
        <v>1541</v>
      </c>
      <c r="I383" s="361">
        <v>0.46939990876632992</v>
      </c>
      <c r="J383" s="359" t="s">
        <v>1445</v>
      </c>
      <c r="K383" s="359" t="s">
        <v>1272</v>
      </c>
      <c r="M383" t="str">
        <f t="shared" si="6"/>
        <v>CRESOL(S)</v>
      </c>
    </row>
    <row r="384" spans="1:13" ht="30" x14ac:dyDescent="0.25">
      <c r="A384" s="359" t="s">
        <v>1538</v>
      </c>
      <c r="B384" s="359" t="s">
        <v>665</v>
      </c>
      <c r="C384" s="359" t="s">
        <v>1288</v>
      </c>
      <c r="D384" s="359" t="s">
        <v>1289</v>
      </c>
      <c r="E384" s="360"/>
      <c r="F384" s="359" t="s">
        <v>1473</v>
      </c>
      <c r="G384" s="361">
        <v>3.9377436790953236E-6</v>
      </c>
      <c r="H384" s="359" t="s">
        <v>1542</v>
      </c>
      <c r="I384" s="361">
        <v>6.1282765866715293E-2</v>
      </c>
      <c r="J384" s="359" t="s">
        <v>1288</v>
      </c>
      <c r="K384" s="359" t="s">
        <v>1272</v>
      </c>
      <c r="M384" t="str">
        <f t="shared" si="6"/>
        <v>CYANIDE COMPOUNDS</v>
      </c>
    </row>
    <row r="385" spans="1:13" ht="30" x14ac:dyDescent="0.25">
      <c r="A385" s="359" t="s">
        <v>1538</v>
      </c>
      <c r="B385" s="359" t="s">
        <v>665</v>
      </c>
      <c r="C385" s="359" t="s">
        <v>1543</v>
      </c>
      <c r="D385" s="359" t="s">
        <v>1544</v>
      </c>
      <c r="E385" s="361">
        <v>54.329814300000002</v>
      </c>
      <c r="F385" s="359" t="s">
        <v>1473</v>
      </c>
      <c r="G385" s="361">
        <v>3.9377436790953236E-6</v>
      </c>
      <c r="H385" s="359" t="s">
        <v>490</v>
      </c>
      <c r="I385" s="361">
        <v>5.8612844615410329E-7</v>
      </c>
      <c r="J385" s="359" t="s">
        <v>1543</v>
      </c>
      <c r="K385" s="359" t="s">
        <v>1277</v>
      </c>
      <c r="M385" t="str">
        <f t="shared" si="6"/>
        <v>Cyanide, total (as CN)</v>
      </c>
    </row>
    <row r="386" spans="1:13" ht="30" x14ac:dyDescent="0.25">
      <c r="A386" s="359" t="s">
        <v>1538</v>
      </c>
      <c r="B386" s="359" t="s">
        <v>665</v>
      </c>
      <c r="C386" s="359" t="s">
        <v>1291</v>
      </c>
      <c r="D386" s="359" t="s">
        <v>1292</v>
      </c>
      <c r="E386" s="360"/>
      <c r="F386" s="359" t="s">
        <v>1473</v>
      </c>
      <c r="G386" s="361">
        <v>3.9377436790953236E-6</v>
      </c>
      <c r="H386" s="359" t="s">
        <v>1333</v>
      </c>
      <c r="I386" s="361">
        <v>6.5194431773101381E-4</v>
      </c>
      <c r="J386" s="359" t="s">
        <v>1291</v>
      </c>
      <c r="K386" s="359" t="s">
        <v>1272</v>
      </c>
      <c r="M386" t="str">
        <f t="shared" si="6"/>
        <v>CYCLOHEXANE</v>
      </c>
    </row>
    <row r="387" spans="1:13" ht="30" x14ac:dyDescent="0.25">
      <c r="A387" s="359" t="s">
        <v>1538</v>
      </c>
      <c r="B387" s="359" t="s">
        <v>665</v>
      </c>
      <c r="C387" s="359" t="s">
        <v>1362</v>
      </c>
      <c r="D387" s="359" t="s">
        <v>1363</v>
      </c>
      <c r="E387" s="360"/>
      <c r="F387" s="359" t="s">
        <v>1473</v>
      </c>
      <c r="G387" s="361">
        <v>3.9377436790953236E-6</v>
      </c>
      <c r="H387" s="359" t="s">
        <v>1545</v>
      </c>
      <c r="I387" s="361">
        <v>5.6571751032359214E-7</v>
      </c>
      <c r="J387" s="359" t="s">
        <v>1362</v>
      </c>
      <c r="K387" s="359" t="s">
        <v>1272</v>
      </c>
      <c r="M387" t="str">
        <f t="shared" si="6"/>
        <v>DIOXIN AND DIOXIN-LIKE COMPOUNDS</v>
      </c>
    </row>
    <row r="388" spans="1:13" ht="30" x14ac:dyDescent="0.25">
      <c r="A388" s="359" t="s">
        <v>1538</v>
      </c>
      <c r="B388" s="359" t="s">
        <v>665</v>
      </c>
      <c r="C388" s="359" t="s">
        <v>1295</v>
      </c>
      <c r="D388" s="359" t="s">
        <v>1296</v>
      </c>
      <c r="E388" s="360"/>
      <c r="F388" s="359" t="s">
        <v>1473</v>
      </c>
      <c r="G388" s="361">
        <v>3.9377436790953236E-6</v>
      </c>
      <c r="H388" s="359" t="s">
        <v>1333</v>
      </c>
      <c r="I388" s="361">
        <v>6.5194431773101381E-4</v>
      </c>
      <c r="J388" s="359" t="s">
        <v>1295</v>
      </c>
      <c r="K388" s="359" t="s">
        <v>1272</v>
      </c>
      <c r="M388" t="str">
        <f t="shared" si="6"/>
        <v>ETHYLBENZENE</v>
      </c>
    </row>
    <row r="389" spans="1:13" ht="30" x14ac:dyDescent="0.25">
      <c r="A389" s="359" t="s">
        <v>1538</v>
      </c>
      <c r="B389" s="359" t="s">
        <v>665</v>
      </c>
      <c r="C389" s="359" t="s">
        <v>1431</v>
      </c>
      <c r="D389" s="359" t="s">
        <v>1298</v>
      </c>
      <c r="E389" s="361">
        <v>0.36913591000000001</v>
      </c>
      <c r="F389" s="359" t="s">
        <v>1473</v>
      </c>
      <c r="G389" s="361">
        <v>3.9377436790953236E-6</v>
      </c>
      <c r="H389" s="359" t="s">
        <v>490</v>
      </c>
      <c r="I389" s="361">
        <v>3.9823632776153434E-9</v>
      </c>
      <c r="J389" s="359" t="s">
        <v>1431</v>
      </c>
      <c r="K389" s="359" t="s">
        <v>1277</v>
      </c>
      <c r="M389" t="str">
        <f t="shared" si="6"/>
        <v>Lead, total (as Pb)</v>
      </c>
    </row>
    <row r="390" spans="1:13" ht="30" x14ac:dyDescent="0.25">
      <c r="A390" s="359" t="s">
        <v>1538</v>
      </c>
      <c r="B390" s="359" t="s">
        <v>665</v>
      </c>
      <c r="C390" s="359" t="s">
        <v>1300</v>
      </c>
      <c r="D390" s="359" t="s">
        <v>1301</v>
      </c>
      <c r="E390" s="360"/>
      <c r="F390" s="359" t="s">
        <v>1473</v>
      </c>
      <c r="G390" s="361">
        <v>3.9377436790953236E-6</v>
      </c>
      <c r="H390" s="359" t="s">
        <v>1546</v>
      </c>
      <c r="I390" s="361">
        <v>2.6077772709240556E-4</v>
      </c>
      <c r="J390" s="359" t="s">
        <v>1300</v>
      </c>
      <c r="K390" s="359" t="s">
        <v>1272</v>
      </c>
      <c r="M390" t="str">
        <f t="shared" ref="M390:M453" si="7">IF(J390="",C390,J390)</f>
        <v>MERCURY AND MERCURY COMPOUNDS</v>
      </c>
    </row>
    <row r="391" spans="1:13" ht="30" x14ac:dyDescent="0.25">
      <c r="A391" s="359" t="s">
        <v>1538</v>
      </c>
      <c r="B391" s="359" t="s">
        <v>665</v>
      </c>
      <c r="C391" s="359" t="s">
        <v>1468</v>
      </c>
      <c r="D391" s="359" t="s">
        <v>1459</v>
      </c>
      <c r="E391" s="361">
        <v>0.32845798510000002</v>
      </c>
      <c r="F391" s="359" t="s">
        <v>1473</v>
      </c>
      <c r="G391" s="361">
        <v>3.9377436790953236E-6</v>
      </c>
      <c r="H391" s="359" t="s">
        <v>490</v>
      </c>
      <c r="I391" s="361">
        <v>3.5435160402079755E-9</v>
      </c>
      <c r="J391" s="359" t="s">
        <v>1468</v>
      </c>
      <c r="K391" s="359" t="s">
        <v>1277</v>
      </c>
      <c r="M391" t="str">
        <f t="shared" si="7"/>
        <v>Mercury, total (as Hg)</v>
      </c>
    </row>
    <row r="392" spans="1:13" ht="30" x14ac:dyDescent="0.25">
      <c r="A392" s="359" t="s">
        <v>1538</v>
      </c>
      <c r="B392" s="359" t="s">
        <v>665</v>
      </c>
      <c r="C392" s="359" t="s">
        <v>1375</v>
      </c>
      <c r="D392" s="359" t="s">
        <v>1376</v>
      </c>
      <c r="E392" s="360"/>
      <c r="F392" s="359" t="s">
        <v>1473</v>
      </c>
      <c r="G392" s="361">
        <v>3.9377436790953236E-6</v>
      </c>
      <c r="H392" s="359" t="s">
        <v>1547</v>
      </c>
      <c r="I392" s="361">
        <v>5.2155545418481104</v>
      </c>
      <c r="J392" s="359" t="s">
        <v>1375</v>
      </c>
      <c r="K392" s="359" t="s">
        <v>1272</v>
      </c>
      <c r="M392" t="str">
        <f t="shared" si="7"/>
        <v>METHANOL</v>
      </c>
    </row>
    <row r="393" spans="1:13" ht="30" x14ac:dyDescent="0.25">
      <c r="A393" s="359" t="s">
        <v>1538</v>
      </c>
      <c r="B393" s="359" t="s">
        <v>665</v>
      </c>
      <c r="C393" s="359" t="s">
        <v>1303</v>
      </c>
      <c r="D393" s="359" t="s">
        <v>1304</v>
      </c>
      <c r="E393" s="360"/>
      <c r="F393" s="359" t="s">
        <v>1473</v>
      </c>
      <c r="G393" s="361">
        <v>3.9377436790953236E-6</v>
      </c>
      <c r="H393" s="359" t="s">
        <v>1333</v>
      </c>
      <c r="I393" s="361">
        <v>6.5194431773101381E-4</v>
      </c>
      <c r="J393" s="359" t="s">
        <v>1303</v>
      </c>
      <c r="K393" s="359" t="s">
        <v>1272</v>
      </c>
      <c r="M393" t="str">
        <f t="shared" si="7"/>
        <v>NAPHTHALENE</v>
      </c>
    </row>
    <row r="394" spans="1:13" ht="30" x14ac:dyDescent="0.25">
      <c r="A394" s="359" t="s">
        <v>1538</v>
      </c>
      <c r="B394" s="359" t="s">
        <v>665</v>
      </c>
      <c r="C394" s="359" t="s">
        <v>1305</v>
      </c>
      <c r="D394" s="359" t="s">
        <v>1306</v>
      </c>
      <c r="E394" s="360"/>
      <c r="F394" s="359" t="s">
        <v>1473</v>
      </c>
      <c r="G394" s="361">
        <v>3.9377436790953236E-6</v>
      </c>
      <c r="H394" s="359" t="s">
        <v>1286</v>
      </c>
      <c r="I394" s="361">
        <v>0</v>
      </c>
      <c r="J394" s="359" t="s">
        <v>1305</v>
      </c>
      <c r="K394" s="359" t="s">
        <v>1272</v>
      </c>
      <c r="M394" t="str">
        <f t="shared" si="7"/>
        <v>N-HEXANE</v>
      </c>
    </row>
    <row r="395" spans="1:13" ht="30" x14ac:dyDescent="0.25">
      <c r="A395" s="359" t="s">
        <v>1538</v>
      </c>
      <c r="B395" s="359" t="s">
        <v>665</v>
      </c>
      <c r="C395" s="359" t="s">
        <v>1384</v>
      </c>
      <c r="D395" s="359" t="s">
        <v>1385</v>
      </c>
      <c r="E395" s="360"/>
      <c r="F395" s="359" t="s">
        <v>1473</v>
      </c>
      <c r="G395" s="361">
        <v>3.9377436790953236E-6</v>
      </c>
      <c r="H395" s="359" t="s">
        <v>1548</v>
      </c>
      <c r="I395" s="361">
        <v>0.18319635328241488</v>
      </c>
      <c r="J395" s="359" t="s">
        <v>1384</v>
      </c>
      <c r="K395" s="359" t="s">
        <v>1272</v>
      </c>
      <c r="M395" t="str">
        <f t="shared" si="7"/>
        <v>NICKEL AND NICKEL COMPOUNDS</v>
      </c>
    </row>
    <row r="396" spans="1:13" ht="30" x14ac:dyDescent="0.25">
      <c r="A396" s="359" t="s">
        <v>1538</v>
      </c>
      <c r="B396" s="359" t="s">
        <v>665</v>
      </c>
      <c r="C396" s="359" t="s">
        <v>1633</v>
      </c>
      <c r="D396" s="359" t="s">
        <v>1479</v>
      </c>
      <c r="E396" s="361">
        <v>332.79864202499999</v>
      </c>
      <c r="F396" s="359" t="s">
        <v>1473</v>
      </c>
      <c r="G396" s="361">
        <v>3.9377436790953236E-6</v>
      </c>
      <c r="H396" s="359" t="s">
        <v>490</v>
      </c>
      <c r="I396" s="361">
        <v>3.5903445179327423E-6</v>
      </c>
      <c r="J396" s="359" t="s">
        <v>1633</v>
      </c>
      <c r="K396" s="359" t="s">
        <v>1277</v>
      </c>
      <c r="M396" t="str">
        <f t="shared" si="7"/>
        <v>Nickel, total (as Ni)</v>
      </c>
    </row>
    <row r="397" spans="1:13" ht="30" x14ac:dyDescent="0.25">
      <c r="A397" s="359" t="s">
        <v>1538</v>
      </c>
      <c r="B397" s="359" t="s">
        <v>665</v>
      </c>
      <c r="C397" s="359" t="s">
        <v>1307</v>
      </c>
      <c r="D397" s="359" t="s">
        <v>1308</v>
      </c>
      <c r="E397" s="360"/>
      <c r="F397" s="359" t="s">
        <v>1473</v>
      </c>
      <c r="G397" s="361">
        <v>3.9377436790953236E-6</v>
      </c>
      <c r="H397" s="359" t="s">
        <v>1549</v>
      </c>
      <c r="I397" s="361">
        <v>28.685549980164609</v>
      </c>
      <c r="J397" s="359" t="s">
        <v>1310</v>
      </c>
      <c r="K397" s="359" t="s">
        <v>1272</v>
      </c>
      <c r="M397" t="str">
        <f t="shared" si="7"/>
        <v>NITRATE</v>
      </c>
    </row>
    <row r="398" spans="1:13" ht="30" x14ac:dyDescent="0.25">
      <c r="A398" s="359" t="s">
        <v>1538</v>
      </c>
      <c r="B398" s="359" t="s">
        <v>665</v>
      </c>
      <c r="C398" s="359" t="s">
        <v>1311</v>
      </c>
      <c r="D398" s="359" t="s">
        <v>1312</v>
      </c>
      <c r="E398" s="361">
        <v>94992.290249400001</v>
      </c>
      <c r="F398" s="359" t="s">
        <v>1473</v>
      </c>
      <c r="G398" s="361">
        <v>3.9377436790953236E-6</v>
      </c>
      <c r="H398" s="359" t="s">
        <v>490</v>
      </c>
      <c r="I398" s="361">
        <v>1.0248090150475704E-3</v>
      </c>
      <c r="J398" s="359" t="s">
        <v>1313</v>
      </c>
      <c r="K398" s="359" t="s">
        <v>1277</v>
      </c>
      <c r="M398" t="str">
        <f t="shared" si="7"/>
        <v>AMMONIA</v>
      </c>
    </row>
    <row r="399" spans="1:13" ht="30" x14ac:dyDescent="0.25">
      <c r="A399" s="359" t="s">
        <v>1538</v>
      </c>
      <c r="B399" s="359" t="s">
        <v>665</v>
      </c>
      <c r="C399" s="359" t="s">
        <v>1315</v>
      </c>
      <c r="D399" s="359" t="s">
        <v>1316</v>
      </c>
      <c r="E399" s="360"/>
      <c r="F399" s="359" t="s">
        <v>1473</v>
      </c>
      <c r="G399" s="361">
        <v>3.9377436790953236E-6</v>
      </c>
      <c r="H399" s="359" t="s">
        <v>1275</v>
      </c>
      <c r="I399" s="361">
        <v>4.5636102241170965E-3</v>
      </c>
      <c r="J399" s="359" t="s">
        <v>1315</v>
      </c>
      <c r="K399" s="359" t="s">
        <v>1272</v>
      </c>
      <c r="M399" t="str">
        <f t="shared" si="7"/>
        <v>PHENOL</v>
      </c>
    </row>
    <row r="400" spans="1:13" ht="30" x14ac:dyDescent="0.25">
      <c r="A400" s="359" t="s">
        <v>1538</v>
      </c>
      <c r="B400" s="359" t="s">
        <v>665</v>
      </c>
      <c r="C400" s="359" t="s">
        <v>1482</v>
      </c>
      <c r="D400" s="359" t="s">
        <v>490</v>
      </c>
      <c r="E400" s="361">
        <v>140.49886621300001</v>
      </c>
      <c r="F400" s="359" t="s">
        <v>1473</v>
      </c>
      <c r="G400" s="361">
        <v>3.9377436790953236E-6</v>
      </c>
      <c r="H400" s="359" t="s">
        <v>490</v>
      </c>
      <c r="I400" s="361">
        <v>1.5157493763021927E-6</v>
      </c>
      <c r="J400" s="359" t="s">
        <v>1482</v>
      </c>
      <c r="K400" s="359" t="s">
        <v>1277</v>
      </c>
      <c r="M400" t="str">
        <f t="shared" si="7"/>
        <v>Phenols</v>
      </c>
    </row>
    <row r="401" spans="1:13" ht="30" x14ac:dyDescent="0.25">
      <c r="A401" s="359" t="s">
        <v>1538</v>
      </c>
      <c r="B401" s="359" t="s">
        <v>665</v>
      </c>
      <c r="C401" s="359" t="s">
        <v>1319</v>
      </c>
      <c r="D401" s="359" t="s">
        <v>1320</v>
      </c>
      <c r="E401" s="360"/>
      <c r="F401" s="359" t="s">
        <v>1473</v>
      </c>
      <c r="G401" s="361">
        <v>3.9377436790953236E-6</v>
      </c>
      <c r="H401" s="359" t="s">
        <v>1550</v>
      </c>
      <c r="I401" s="361">
        <v>1.6950552261006358E-3</v>
      </c>
      <c r="J401" s="359" t="s">
        <v>1319</v>
      </c>
      <c r="K401" s="359" t="s">
        <v>1272</v>
      </c>
      <c r="M401" t="str">
        <f t="shared" si="7"/>
        <v>POLYCYCLIC AROMATIC COMPOUNDS</v>
      </c>
    </row>
    <row r="402" spans="1:13" ht="30" x14ac:dyDescent="0.25">
      <c r="A402" s="359" t="s">
        <v>1538</v>
      </c>
      <c r="B402" s="359" t="s">
        <v>665</v>
      </c>
      <c r="C402" s="359" t="s">
        <v>1425</v>
      </c>
      <c r="D402" s="359" t="s">
        <v>1426</v>
      </c>
      <c r="E402" s="360"/>
      <c r="F402" s="359" t="s">
        <v>1473</v>
      </c>
      <c r="G402" s="361">
        <v>3.9377436790953236E-6</v>
      </c>
      <c r="H402" s="359" t="s">
        <v>1290</v>
      </c>
      <c r="I402" s="361">
        <v>1.4342774990082302E-2</v>
      </c>
      <c r="J402" s="359" t="s">
        <v>1425</v>
      </c>
      <c r="K402" s="359" t="s">
        <v>1272</v>
      </c>
      <c r="M402" t="str">
        <f t="shared" si="7"/>
        <v>PROPYLENE</v>
      </c>
    </row>
    <row r="403" spans="1:13" ht="30" x14ac:dyDescent="0.25">
      <c r="A403" s="359" t="s">
        <v>1538</v>
      </c>
      <c r="B403" s="359" t="s">
        <v>665</v>
      </c>
      <c r="C403" s="359" t="s">
        <v>1432</v>
      </c>
      <c r="D403" s="359" t="s">
        <v>1427</v>
      </c>
      <c r="E403" s="361">
        <v>241.74584580499999</v>
      </c>
      <c r="F403" s="359" t="s">
        <v>1473</v>
      </c>
      <c r="G403" s="361">
        <v>3.9377436790953236E-6</v>
      </c>
      <c r="H403" s="359" t="s">
        <v>490</v>
      </c>
      <c r="I403" s="361">
        <v>2.6080360993594283E-6</v>
      </c>
      <c r="J403" s="359" t="s">
        <v>1432</v>
      </c>
      <c r="K403" s="359" t="s">
        <v>1277</v>
      </c>
      <c r="M403" t="str">
        <f t="shared" si="7"/>
        <v>Selenium, total (as Se)</v>
      </c>
    </row>
    <row r="404" spans="1:13" ht="30" x14ac:dyDescent="0.25">
      <c r="A404" s="359" t="s">
        <v>1538</v>
      </c>
      <c r="B404" s="359" t="s">
        <v>665</v>
      </c>
      <c r="C404" s="359" t="s">
        <v>1322</v>
      </c>
      <c r="D404" s="359" t="s">
        <v>490</v>
      </c>
      <c r="E404" s="361">
        <v>232302.04081599999</v>
      </c>
      <c r="F404" s="359" t="s">
        <v>1473</v>
      </c>
      <c r="G404" s="361">
        <v>3.9377436790953236E-6</v>
      </c>
      <c r="H404" s="359" t="s">
        <v>490</v>
      </c>
      <c r="I404" s="361">
        <v>2.5061531311346514E-3</v>
      </c>
      <c r="J404" s="359" t="s">
        <v>1322</v>
      </c>
      <c r="K404" s="359" t="s">
        <v>1277</v>
      </c>
      <c r="M404" t="str">
        <f t="shared" si="7"/>
        <v>Solids, total suspended</v>
      </c>
    </row>
    <row r="405" spans="1:13" ht="30" x14ac:dyDescent="0.25">
      <c r="A405" s="359" t="s">
        <v>1538</v>
      </c>
      <c r="B405" s="359" t="s">
        <v>665</v>
      </c>
      <c r="C405" s="359" t="s">
        <v>1323</v>
      </c>
      <c r="D405" s="359" t="s">
        <v>1324</v>
      </c>
      <c r="E405" s="361">
        <v>516.28117913799997</v>
      </c>
      <c r="F405" s="359" t="s">
        <v>1473</v>
      </c>
      <c r="G405" s="361">
        <v>3.9377436790953236E-6</v>
      </c>
      <c r="H405" s="359" t="s">
        <v>490</v>
      </c>
      <c r="I405" s="361">
        <v>5.5698163007850402E-6</v>
      </c>
      <c r="J405" s="359" t="s">
        <v>1323</v>
      </c>
      <c r="K405" s="359" t="s">
        <v>1277</v>
      </c>
      <c r="M405" t="str">
        <f t="shared" si="7"/>
        <v>Sulfide, total (as S)</v>
      </c>
    </row>
    <row r="406" spans="1:13" ht="30" x14ac:dyDescent="0.25">
      <c r="A406" s="359" t="s">
        <v>1538</v>
      </c>
      <c r="B406" s="359" t="s">
        <v>665</v>
      </c>
      <c r="C406" s="359" t="s">
        <v>1396</v>
      </c>
      <c r="D406" s="359" t="s">
        <v>1397</v>
      </c>
      <c r="E406" s="360"/>
      <c r="F406" s="359" t="s">
        <v>1473</v>
      </c>
      <c r="G406" s="361">
        <v>3.9377436790953236E-6</v>
      </c>
      <c r="H406" s="359" t="s">
        <v>1333</v>
      </c>
      <c r="I406" s="361">
        <v>6.5194431773101381E-4</v>
      </c>
      <c r="J406" s="359" t="s">
        <v>1398</v>
      </c>
      <c r="K406" s="359" t="s">
        <v>1272</v>
      </c>
      <c r="M406" t="str">
        <f t="shared" si="7"/>
        <v>PERCHLOROETHYLENE</v>
      </c>
    </row>
    <row r="407" spans="1:13" ht="30" x14ac:dyDescent="0.25">
      <c r="A407" s="359" t="s">
        <v>1538</v>
      </c>
      <c r="B407" s="359" t="s">
        <v>665</v>
      </c>
      <c r="C407" s="359" t="s">
        <v>1325</v>
      </c>
      <c r="D407" s="359" t="s">
        <v>1326</v>
      </c>
      <c r="E407" s="360"/>
      <c r="F407" s="359" t="s">
        <v>1473</v>
      </c>
      <c r="G407" s="361">
        <v>3.9377436790953236E-6</v>
      </c>
      <c r="H407" s="359" t="s">
        <v>1471</v>
      </c>
      <c r="I407" s="361">
        <v>3.9116659063860824E-3</v>
      </c>
      <c r="J407" s="359" t="s">
        <v>1325</v>
      </c>
      <c r="K407" s="359" t="s">
        <v>1272</v>
      </c>
      <c r="M407" t="str">
        <f t="shared" si="7"/>
        <v>TOLUENE</v>
      </c>
    </row>
    <row r="408" spans="1:13" ht="30" x14ac:dyDescent="0.25">
      <c r="A408" s="359" t="s">
        <v>1538</v>
      </c>
      <c r="B408" s="359" t="s">
        <v>665</v>
      </c>
      <c r="C408" s="359" t="s">
        <v>1495</v>
      </c>
      <c r="D408" s="359" t="s">
        <v>1465</v>
      </c>
      <c r="E408" s="360"/>
      <c r="F408" s="359" t="s">
        <v>1473</v>
      </c>
      <c r="G408" s="361">
        <v>3.9377436790953236E-6</v>
      </c>
      <c r="H408" s="359" t="s">
        <v>1526</v>
      </c>
      <c r="I408" s="361">
        <v>5.3459434053943135E-2</v>
      </c>
      <c r="J408" s="359" t="s">
        <v>1495</v>
      </c>
      <c r="K408" s="359" t="s">
        <v>1272</v>
      </c>
      <c r="M408" t="str">
        <f t="shared" si="7"/>
        <v>VANADIUM AND VANADIUM COMPOUNDS</v>
      </c>
    </row>
    <row r="409" spans="1:13" ht="30" x14ac:dyDescent="0.25">
      <c r="A409" s="359" t="s">
        <v>1538</v>
      </c>
      <c r="B409" s="359" t="s">
        <v>665</v>
      </c>
      <c r="C409" s="359" t="s">
        <v>1327</v>
      </c>
      <c r="D409" s="359" t="s">
        <v>1328</v>
      </c>
      <c r="E409" s="360"/>
      <c r="F409" s="359" t="s">
        <v>1473</v>
      </c>
      <c r="G409" s="361">
        <v>3.9377436790953236E-6</v>
      </c>
      <c r="H409" s="359" t="s">
        <v>1364</v>
      </c>
      <c r="I409" s="361">
        <v>2.1514162485123455E-2</v>
      </c>
      <c r="J409" s="359" t="s">
        <v>1329</v>
      </c>
      <c r="K409" s="359" t="s">
        <v>1272</v>
      </c>
      <c r="M409" t="str">
        <f t="shared" si="7"/>
        <v>XYLENES</v>
      </c>
    </row>
    <row r="410" spans="1:13" ht="30" x14ac:dyDescent="0.25">
      <c r="A410" s="359" t="s">
        <v>1538</v>
      </c>
      <c r="B410" s="359" t="s">
        <v>665</v>
      </c>
      <c r="C410" s="359" t="s">
        <v>1342</v>
      </c>
      <c r="D410" s="359" t="s">
        <v>1343</v>
      </c>
      <c r="E410" s="360"/>
      <c r="F410" s="359" t="s">
        <v>1473</v>
      </c>
      <c r="G410" s="361">
        <v>3.9377436790953236E-6</v>
      </c>
      <c r="H410" s="359" t="s">
        <v>1551</v>
      </c>
      <c r="I410" s="361">
        <v>0.43549880424431719</v>
      </c>
      <c r="J410" s="359" t="s">
        <v>1342</v>
      </c>
      <c r="K410" s="359" t="s">
        <v>1272</v>
      </c>
      <c r="M410" t="str">
        <f t="shared" si="7"/>
        <v>ZINC AND ZINC COMPOUNDS</v>
      </c>
    </row>
    <row r="411" spans="1:13" ht="45" x14ac:dyDescent="0.25">
      <c r="A411" s="359" t="s">
        <v>1552</v>
      </c>
      <c r="B411" s="359" t="s">
        <v>758</v>
      </c>
      <c r="C411" s="359" t="s">
        <v>1268</v>
      </c>
      <c r="D411" s="359" t="s">
        <v>1269</v>
      </c>
      <c r="E411" s="360"/>
      <c r="F411" s="359" t="s">
        <v>1346</v>
      </c>
      <c r="G411" s="361">
        <v>3.0303030303030305E-6</v>
      </c>
      <c r="H411" s="359" t="s">
        <v>1286</v>
      </c>
      <c r="I411" s="361">
        <v>0</v>
      </c>
      <c r="J411" s="359" t="s">
        <v>1268</v>
      </c>
      <c r="K411" s="359" t="s">
        <v>1272</v>
      </c>
      <c r="M411" t="str">
        <f t="shared" si="7"/>
        <v>1,2,4-TRIMETHYLBENZENE</v>
      </c>
    </row>
    <row r="412" spans="1:13" ht="45" x14ac:dyDescent="0.25">
      <c r="A412" s="359" t="s">
        <v>1552</v>
      </c>
      <c r="B412" s="359" t="s">
        <v>758</v>
      </c>
      <c r="C412" s="359" t="s">
        <v>1553</v>
      </c>
      <c r="D412" s="359" t="s">
        <v>1554</v>
      </c>
      <c r="E412" s="360"/>
      <c r="F412" s="359" t="s">
        <v>1346</v>
      </c>
      <c r="G412" s="361">
        <v>3.0303030303030305E-6</v>
      </c>
      <c r="H412" s="359" t="s">
        <v>1286</v>
      </c>
      <c r="I412" s="361">
        <v>0</v>
      </c>
      <c r="J412" s="359" t="s">
        <v>1555</v>
      </c>
      <c r="K412" s="359" t="s">
        <v>1272</v>
      </c>
      <c r="M412" t="str">
        <f t="shared" si="7"/>
        <v>ETHYLENE DIBROMIDE</v>
      </c>
    </row>
    <row r="413" spans="1:13" ht="45" x14ac:dyDescent="0.25">
      <c r="A413" s="359" t="s">
        <v>1552</v>
      </c>
      <c r="B413" s="359" t="s">
        <v>758</v>
      </c>
      <c r="C413" s="359" t="s">
        <v>1347</v>
      </c>
      <c r="D413" s="359" t="s">
        <v>1348</v>
      </c>
      <c r="E413" s="360"/>
      <c r="F413" s="359" t="s">
        <v>1346</v>
      </c>
      <c r="G413" s="361">
        <v>3.0303030303030305E-6</v>
      </c>
      <c r="H413" s="359" t="s">
        <v>1286</v>
      </c>
      <c r="I413" s="361">
        <v>0</v>
      </c>
      <c r="J413" s="359" t="s">
        <v>1347</v>
      </c>
      <c r="K413" s="359" t="s">
        <v>1272</v>
      </c>
      <c r="M413" t="str">
        <f t="shared" si="7"/>
        <v>1,3-BUTADIENE</v>
      </c>
    </row>
    <row r="414" spans="1:13" ht="45" x14ac:dyDescent="0.25">
      <c r="A414" s="359" t="s">
        <v>1552</v>
      </c>
      <c r="B414" s="359" t="s">
        <v>758</v>
      </c>
      <c r="C414" s="359" t="s">
        <v>1313</v>
      </c>
      <c r="D414" s="359" t="s">
        <v>1312</v>
      </c>
      <c r="E414" s="360"/>
      <c r="F414" s="359" t="s">
        <v>1346</v>
      </c>
      <c r="G414" s="361">
        <v>3.0303030303030305E-6</v>
      </c>
      <c r="H414" s="359" t="s">
        <v>1556</v>
      </c>
      <c r="I414" s="361">
        <v>0.50170579971904472</v>
      </c>
      <c r="J414" s="359" t="s">
        <v>1313</v>
      </c>
      <c r="K414" s="359" t="s">
        <v>1272</v>
      </c>
      <c r="M414" t="str">
        <f t="shared" si="7"/>
        <v>AMMONIA</v>
      </c>
    </row>
    <row r="415" spans="1:13" ht="45" x14ac:dyDescent="0.25">
      <c r="A415" s="359" t="s">
        <v>1552</v>
      </c>
      <c r="B415" s="359" t="s">
        <v>758</v>
      </c>
      <c r="C415" s="359" t="s">
        <v>1273</v>
      </c>
      <c r="D415" s="359" t="s">
        <v>1274</v>
      </c>
      <c r="E415" s="360"/>
      <c r="F415" s="359" t="s">
        <v>1346</v>
      </c>
      <c r="G415" s="361">
        <v>3.0303030303030305E-6</v>
      </c>
      <c r="H415" s="359" t="s">
        <v>1471</v>
      </c>
      <c r="I415" s="361">
        <v>3.0102347983142685E-3</v>
      </c>
      <c r="J415" s="359" t="s">
        <v>1273</v>
      </c>
      <c r="K415" s="359" t="s">
        <v>1272</v>
      </c>
      <c r="M415" t="str">
        <f t="shared" si="7"/>
        <v>BENZENE</v>
      </c>
    </row>
    <row r="416" spans="1:13" ht="45" x14ac:dyDescent="0.25">
      <c r="A416" s="359" t="s">
        <v>1552</v>
      </c>
      <c r="B416" s="359" t="s">
        <v>758</v>
      </c>
      <c r="C416" s="359" t="s">
        <v>1352</v>
      </c>
      <c r="D416" s="359" t="s">
        <v>1353</v>
      </c>
      <c r="E416" s="360"/>
      <c r="F416" s="359" t="s">
        <v>1346</v>
      </c>
      <c r="G416" s="361">
        <v>3.0303030303030305E-6</v>
      </c>
      <c r="H416" s="359" t="s">
        <v>1519</v>
      </c>
      <c r="I416" s="361">
        <v>1.9566526189042743E-3</v>
      </c>
      <c r="J416" s="359" t="s">
        <v>1352</v>
      </c>
      <c r="K416" s="359" t="s">
        <v>1272</v>
      </c>
      <c r="M416" t="str">
        <f t="shared" si="7"/>
        <v>BENZO(G,H,I)PERYLENE</v>
      </c>
    </row>
    <row r="417" spans="1:13" ht="45" x14ac:dyDescent="0.25">
      <c r="A417" s="359" t="s">
        <v>1552</v>
      </c>
      <c r="B417" s="359" t="s">
        <v>758</v>
      </c>
      <c r="C417" s="359" t="s">
        <v>1414</v>
      </c>
      <c r="D417" s="359" t="s">
        <v>1415</v>
      </c>
      <c r="E417" s="360"/>
      <c r="F417" s="359" t="s">
        <v>1346</v>
      </c>
      <c r="G417" s="361">
        <v>3.0303030303030305E-6</v>
      </c>
      <c r="H417" s="359" t="s">
        <v>1286</v>
      </c>
      <c r="I417" s="361">
        <v>0</v>
      </c>
      <c r="J417" s="359" t="s">
        <v>1414</v>
      </c>
      <c r="K417" s="359" t="s">
        <v>1272</v>
      </c>
      <c r="M417" t="str">
        <f t="shared" si="7"/>
        <v>BIPHENYL</v>
      </c>
    </row>
    <row r="418" spans="1:13" ht="45" x14ac:dyDescent="0.25">
      <c r="A418" s="359" t="s">
        <v>1552</v>
      </c>
      <c r="B418" s="359" t="s">
        <v>758</v>
      </c>
      <c r="C418" s="359" t="s">
        <v>1355</v>
      </c>
      <c r="D418" s="359" t="s">
        <v>1356</v>
      </c>
      <c r="E418" s="360"/>
      <c r="F418" s="359" t="s">
        <v>1346</v>
      </c>
      <c r="G418" s="361">
        <v>3.0303030303030305E-6</v>
      </c>
      <c r="H418" s="359" t="s">
        <v>1557</v>
      </c>
      <c r="I418" s="361">
        <v>3.2109171182018864E-2</v>
      </c>
      <c r="J418" s="359" t="s">
        <v>1355</v>
      </c>
      <c r="K418" s="359" t="s">
        <v>1272</v>
      </c>
      <c r="M418" t="str">
        <f t="shared" si="7"/>
        <v>CARBON DISULFIDE</v>
      </c>
    </row>
    <row r="419" spans="1:13" ht="45" x14ac:dyDescent="0.25">
      <c r="A419" s="359" t="s">
        <v>1552</v>
      </c>
      <c r="B419" s="359" t="s">
        <v>758</v>
      </c>
      <c r="C419" s="359" t="s">
        <v>1437</v>
      </c>
      <c r="D419" s="359" t="s">
        <v>1438</v>
      </c>
      <c r="E419" s="360"/>
      <c r="F419" s="359" t="s">
        <v>1346</v>
      </c>
      <c r="G419" s="361">
        <v>3.0303030303030305E-6</v>
      </c>
      <c r="H419" s="359" t="s">
        <v>1364</v>
      </c>
      <c r="I419" s="361">
        <v>1.6556291390728475E-2</v>
      </c>
      <c r="J419" s="359" t="s">
        <v>1437</v>
      </c>
      <c r="K419" s="359" t="s">
        <v>1272</v>
      </c>
      <c r="M419" t="str">
        <f t="shared" si="7"/>
        <v>CHROMIUM AND CHROMIUM COMPOUNDS</v>
      </c>
    </row>
    <row r="420" spans="1:13" ht="45" x14ac:dyDescent="0.25">
      <c r="A420" s="359" t="s">
        <v>1552</v>
      </c>
      <c r="B420" s="359" t="s">
        <v>758</v>
      </c>
      <c r="C420" s="359" t="s">
        <v>1485</v>
      </c>
      <c r="D420" s="359" t="s">
        <v>1486</v>
      </c>
      <c r="E420" s="360"/>
      <c r="F420" s="359" t="s">
        <v>1346</v>
      </c>
      <c r="G420" s="361">
        <v>3.0303030303030305E-6</v>
      </c>
      <c r="H420" s="359" t="s">
        <v>1290</v>
      </c>
      <c r="I420" s="361">
        <v>1.1037527593818984E-2</v>
      </c>
      <c r="J420" s="359" t="s">
        <v>1485</v>
      </c>
      <c r="K420" s="359" t="s">
        <v>1272</v>
      </c>
      <c r="M420" t="str">
        <f t="shared" si="7"/>
        <v>COBALT AND COBALT COMPOUNDS</v>
      </c>
    </row>
    <row r="421" spans="1:13" ht="45" x14ac:dyDescent="0.25">
      <c r="A421" s="359" t="s">
        <v>1552</v>
      </c>
      <c r="B421" s="359" t="s">
        <v>758</v>
      </c>
      <c r="C421" s="359" t="s">
        <v>1440</v>
      </c>
      <c r="D421" s="359" t="s">
        <v>1441</v>
      </c>
      <c r="E421" s="360"/>
      <c r="F421" s="359" t="s">
        <v>1346</v>
      </c>
      <c r="G421" s="361">
        <v>3.0303030303030305E-6</v>
      </c>
      <c r="H421" s="359" t="s">
        <v>1558</v>
      </c>
      <c r="I421" s="361">
        <v>4.9668874172185427E-2</v>
      </c>
      <c r="J421" s="359" t="s">
        <v>1440</v>
      </c>
      <c r="K421" s="359" t="s">
        <v>1272</v>
      </c>
      <c r="M421" t="str">
        <f t="shared" si="7"/>
        <v>COPPER AND COPPER COMPOUNDS</v>
      </c>
    </row>
    <row r="422" spans="1:13" ht="45" x14ac:dyDescent="0.25">
      <c r="A422" s="359" t="s">
        <v>1552</v>
      </c>
      <c r="B422" s="359" t="s">
        <v>758</v>
      </c>
      <c r="C422" s="359" t="s">
        <v>1443</v>
      </c>
      <c r="D422" s="359" t="s">
        <v>1444</v>
      </c>
      <c r="E422" s="360"/>
      <c r="F422" s="359" t="s">
        <v>1346</v>
      </c>
      <c r="G422" s="361">
        <v>3.0303030303030305E-6</v>
      </c>
      <c r="H422" s="359" t="s">
        <v>1514</v>
      </c>
      <c r="I422" s="361">
        <v>5.0170579971904473E-2</v>
      </c>
      <c r="J422" s="359" t="s">
        <v>1445</v>
      </c>
      <c r="K422" s="359" t="s">
        <v>1272</v>
      </c>
      <c r="M422" t="str">
        <f t="shared" si="7"/>
        <v>CRESOL(S)</v>
      </c>
    </row>
    <row r="423" spans="1:13" ht="45" x14ac:dyDescent="0.25">
      <c r="A423" s="359" t="s">
        <v>1552</v>
      </c>
      <c r="B423" s="359" t="s">
        <v>758</v>
      </c>
      <c r="C423" s="359" t="s">
        <v>1288</v>
      </c>
      <c r="D423" s="359" t="s">
        <v>1289</v>
      </c>
      <c r="E423" s="360"/>
      <c r="F423" s="359" t="s">
        <v>1346</v>
      </c>
      <c r="G423" s="361">
        <v>3.0303030303030305E-6</v>
      </c>
      <c r="H423" s="359" t="s">
        <v>1286</v>
      </c>
      <c r="I423" s="361">
        <v>0</v>
      </c>
      <c r="J423" s="359" t="s">
        <v>1288</v>
      </c>
      <c r="K423" s="359" t="s">
        <v>1272</v>
      </c>
      <c r="M423" t="str">
        <f t="shared" si="7"/>
        <v>CYANIDE COMPOUNDS</v>
      </c>
    </row>
    <row r="424" spans="1:13" ht="45" x14ac:dyDescent="0.25">
      <c r="A424" s="359" t="s">
        <v>1552</v>
      </c>
      <c r="B424" s="359" t="s">
        <v>758</v>
      </c>
      <c r="C424" s="359" t="s">
        <v>1291</v>
      </c>
      <c r="D424" s="359" t="s">
        <v>1292</v>
      </c>
      <c r="E424" s="360"/>
      <c r="F424" s="359" t="s">
        <v>1346</v>
      </c>
      <c r="G424" s="361">
        <v>3.0303030303030305E-6</v>
      </c>
      <c r="H424" s="359" t="s">
        <v>1500</v>
      </c>
      <c r="I424" s="361">
        <v>5.0170579971904475E-3</v>
      </c>
      <c r="J424" s="359" t="s">
        <v>1291</v>
      </c>
      <c r="K424" s="359" t="s">
        <v>1272</v>
      </c>
      <c r="M424" t="str">
        <f t="shared" si="7"/>
        <v>CYCLOHEXANE</v>
      </c>
    </row>
    <row r="425" spans="1:13" ht="45" x14ac:dyDescent="0.25">
      <c r="A425" s="359" t="s">
        <v>1552</v>
      </c>
      <c r="B425" s="359" t="s">
        <v>758</v>
      </c>
      <c r="C425" s="359" t="s">
        <v>1293</v>
      </c>
      <c r="D425" s="359" t="s">
        <v>1294</v>
      </c>
      <c r="E425" s="360"/>
      <c r="F425" s="359" t="s">
        <v>1346</v>
      </c>
      <c r="G425" s="361">
        <v>3.0303030303030305E-6</v>
      </c>
      <c r="H425" s="359" t="s">
        <v>1286</v>
      </c>
      <c r="I425" s="361">
        <v>0</v>
      </c>
      <c r="J425" s="359" t="s">
        <v>1293</v>
      </c>
      <c r="K425" s="359" t="s">
        <v>1272</v>
      </c>
      <c r="M425" t="str">
        <f t="shared" si="7"/>
        <v>DIETHANOLAMINE</v>
      </c>
    </row>
    <row r="426" spans="1:13" ht="45" x14ac:dyDescent="0.25">
      <c r="A426" s="359" t="s">
        <v>1552</v>
      </c>
      <c r="B426" s="359" t="s">
        <v>758</v>
      </c>
      <c r="C426" s="359" t="s">
        <v>1362</v>
      </c>
      <c r="D426" s="359" t="s">
        <v>1363</v>
      </c>
      <c r="E426" s="360"/>
      <c r="F426" s="359" t="s">
        <v>1346</v>
      </c>
      <c r="G426" s="361">
        <v>3.0303030303030305E-6</v>
      </c>
      <c r="H426" s="359" t="s">
        <v>1559</v>
      </c>
      <c r="I426" s="361">
        <v>3.3162753361428858E-10</v>
      </c>
      <c r="J426" s="359" t="s">
        <v>1362</v>
      </c>
      <c r="K426" s="359" t="s">
        <v>1272</v>
      </c>
      <c r="M426" t="str">
        <f t="shared" si="7"/>
        <v>DIOXIN AND DIOXIN-LIKE COMPOUNDS</v>
      </c>
    </row>
    <row r="427" spans="1:13" ht="45" x14ac:dyDescent="0.25">
      <c r="A427" s="359" t="s">
        <v>1552</v>
      </c>
      <c r="B427" s="359" t="s">
        <v>758</v>
      </c>
      <c r="C427" s="359" t="s">
        <v>1295</v>
      </c>
      <c r="D427" s="359" t="s">
        <v>1296</v>
      </c>
      <c r="E427" s="360"/>
      <c r="F427" s="359" t="s">
        <v>1346</v>
      </c>
      <c r="G427" s="361">
        <v>3.0303030303030305E-6</v>
      </c>
      <c r="H427" s="359" t="s">
        <v>1317</v>
      </c>
      <c r="I427" s="361">
        <v>4.5153521974714023E-3</v>
      </c>
      <c r="J427" s="359" t="s">
        <v>1295</v>
      </c>
      <c r="K427" s="359" t="s">
        <v>1272</v>
      </c>
      <c r="M427" t="str">
        <f t="shared" si="7"/>
        <v>ETHYLBENZENE</v>
      </c>
    </row>
    <row r="428" spans="1:13" ht="45" x14ac:dyDescent="0.25">
      <c r="A428" s="359" t="s">
        <v>1552</v>
      </c>
      <c r="B428" s="359" t="s">
        <v>758</v>
      </c>
      <c r="C428" s="359" t="s">
        <v>1367</v>
      </c>
      <c r="D428" s="359" t="s">
        <v>1368</v>
      </c>
      <c r="E428" s="360"/>
      <c r="F428" s="359" t="s">
        <v>1346</v>
      </c>
      <c r="G428" s="361">
        <v>3.0303030303030305E-6</v>
      </c>
      <c r="H428" s="359" t="s">
        <v>1560</v>
      </c>
      <c r="I428" s="361">
        <v>4.214328717639976</v>
      </c>
      <c r="J428" s="359" t="s">
        <v>1367</v>
      </c>
      <c r="K428" s="359" t="s">
        <v>1272</v>
      </c>
      <c r="M428" t="str">
        <f t="shared" si="7"/>
        <v>ETHYLENE GLYCOL</v>
      </c>
    </row>
    <row r="429" spans="1:13" ht="45" x14ac:dyDescent="0.25">
      <c r="A429" s="359" t="s">
        <v>1552</v>
      </c>
      <c r="B429" s="359" t="s">
        <v>758</v>
      </c>
      <c r="C429" s="359" t="s">
        <v>1297</v>
      </c>
      <c r="D429" s="359" t="s">
        <v>1298</v>
      </c>
      <c r="E429" s="360"/>
      <c r="F429" s="359" t="s">
        <v>1346</v>
      </c>
      <c r="G429" s="361">
        <v>3.0303030303030305E-6</v>
      </c>
      <c r="H429" s="359" t="s">
        <v>1561</v>
      </c>
      <c r="I429" s="361">
        <v>3.8129640778647397E-3</v>
      </c>
      <c r="J429" s="359" t="s">
        <v>1297</v>
      </c>
      <c r="K429" s="359" t="s">
        <v>1272</v>
      </c>
      <c r="M429" t="str">
        <f t="shared" si="7"/>
        <v>LEAD AND LEAD COMPOUNDS</v>
      </c>
    </row>
    <row r="430" spans="1:13" ht="45" x14ac:dyDescent="0.25">
      <c r="A430" s="359" t="s">
        <v>1552</v>
      </c>
      <c r="B430" s="359" t="s">
        <v>758</v>
      </c>
      <c r="C430" s="359" t="s">
        <v>1300</v>
      </c>
      <c r="D430" s="359" t="s">
        <v>1301</v>
      </c>
      <c r="E430" s="360"/>
      <c r="F430" s="359" t="s">
        <v>1346</v>
      </c>
      <c r="G430" s="361">
        <v>3.0303030303030305E-6</v>
      </c>
      <c r="H430" s="359" t="s">
        <v>1562</v>
      </c>
      <c r="I430" s="361">
        <v>9.0307043949428055E-4</v>
      </c>
      <c r="J430" s="359" t="s">
        <v>1300</v>
      </c>
      <c r="K430" s="359" t="s">
        <v>1272</v>
      </c>
      <c r="M430" t="str">
        <f t="shared" si="7"/>
        <v>MERCURY AND MERCURY COMPOUNDS</v>
      </c>
    </row>
    <row r="431" spans="1:13" ht="45" x14ac:dyDescent="0.25">
      <c r="A431" s="359" t="s">
        <v>1552</v>
      </c>
      <c r="B431" s="359" t="s">
        <v>758</v>
      </c>
      <c r="C431" s="359" t="s">
        <v>1375</v>
      </c>
      <c r="D431" s="359" t="s">
        <v>1376</v>
      </c>
      <c r="E431" s="360"/>
      <c r="F431" s="359" t="s">
        <v>1346</v>
      </c>
      <c r="G431" s="361">
        <v>3.0303030303030305E-6</v>
      </c>
      <c r="H431" s="359" t="s">
        <v>1563</v>
      </c>
      <c r="I431" s="361">
        <v>1.153923339353803E-2</v>
      </c>
      <c r="J431" s="359" t="s">
        <v>1375</v>
      </c>
      <c r="K431" s="359" t="s">
        <v>1272</v>
      </c>
      <c r="M431" t="str">
        <f t="shared" si="7"/>
        <v>METHANOL</v>
      </c>
    </row>
    <row r="432" spans="1:13" ht="45" x14ac:dyDescent="0.25">
      <c r="A432" s="359" t="s">
        <v>1552</v>
      </c>
      <c r="B432" s="359" t="s">
        <v>758</v>
      </c>
      <c r="C432" s="359" t="s">
        <v>1381</v>
      </c>
      <c r="D432" s="359" t="s">
        <v>1382</v>
      </c>
      <c r="E432" s="360"/>
      <c r="F432" s="359" t="s">
        <v>1346</v>
      </c>
      <c r="G432" s="361">
        <v>3.0303030303030305E-6</v>
      </c>
      <c r="H432" s="359" t="s">
        <v>1564</v>
      </c>
      <c r="I432" s="361">
        <v>0.44150110375275936</v>
      </c>
      <c r="J432" s="359" t="s">
        <v>1381</v>
      </c>
      <c r="K432" s="359" t="s">
        <v>1272</v>
      </c>
      <c r="M432" t="str">
        <f t="shared" si="7"/>
        <v>MOLYBDENUM TRIOXIDE</v>
      </c>
    </row>
    <row r="433" spans="1:13" ht="45" x14ac:dyDescent="0.25">
      <c r="A433" s="359" t="s">
        <v>1552</v>
      </c>
      <c r="B433" s="359" t="s">
        <v>758</v>
      </c>
      <c r="C433" s="359" t="s">
        <v>1565</v>
      </c>
      <c r="D433" s="359" t="s">
        <v>1566</v>
      </c>
      <c r="E433" s="360"/>
      <c r="F433" s="359" t="s">
        <v>1346</v>
      </c>
      <c r="G433" s="361">
        <v>3.0303030303030305E-6</v>
      </c>
      <c r="H433" s="359" t="s">
        <v>1364</v>
      </c>
      <c r="I433" s="361">
        <v>1.6556291390728475E-2</v>
      </c>
      <c r="J433" s="359" t="s">
        <v>1565</v>
      </c>
      <c r="K433" s="359" t="s">
        <v>1272</v>
      </c>
      <c r="M433" t="str">
        <f t="shared" si="7"/>
        <v>M-XYLENE</v>
      </c>
    </row>
    <row r="434" spans="1:13" ht="45" x14ac:dyDescent="0.25">
      <c r="A434" s="359" t="s">
        <v>1552</v>
      </c>
      <c r="B434" s="359" t="s">
        <v>758</v>
      </c>
      <c r="C434" s="359" t="s">
        <v>1303</v>
      </c>
      <c r="D434" s="359" t="s">
        <v>1304</v>
      </c>
      <c r="E434" s="360"/>
      <c r="F434" s="359" t="s">
        <v>1346</v>
      </c>
      <c r="G434" s="361">
        <v>3.0303030303030305E-6</v>
      </c>
      <c r="H434" s="359" t="s">
        <v>1502</v>
      </c>
      <c r="I434" s="361">
        <v>2.3580172586795102E-2</v>
      </c>
      <c r="J434" s="359" t="s">
        <v>1303</v>
      </c>
      <c r="K434" s="359" t="s">
        <v>1272</v>
      </c>
      <c r="M434" t="str">
        <f t="shared" si="7"/>
        <v>NAPHTHALENE</v>
      </c>
    </row>
    <row r="435" spans="1:13" ht="45" x14ac:dyDescent="0.25">
      <c r="A435" s="359" t="s">
        <v>1552</v>
      </c>
      <c r="B435" s="359" t="s">
        <v>758</v>
      </c>
      <c r="C435" s="359" t="s">
        <v>1305</v>
      </c>
      <c r="D435" s="359" t="s">
        <v>1306</v>
      </c>
      <c r="E435" s="360"/>
      <c r="F435" s="359" t="s">
        <v>1346</v>
      </c>
      <c r="G435" s="361">
        <v>3.0303030303030305E-6</v>
      </c>
      <c r="H435" s="359" t="s">
        <v>1539</v>
      </c>
      <c r="I435" s="361">
        <v>5.5187637969094918E-3</v>
      </c>
      <c r="J435" s="359" t="s">
        <v>1305</v>
      </c>
      <c r="K435" s="359" t="s">
        <v>1272</v>
      </c>
      <c r="M435" t="str">
        <f t="shared" si="7"/>
        <v>N-HEXANE</v>
      </c>
    </row>
    <row r="436" spans="1:13" ht="45" x14ac:dyDescent="0.25">
      <c r="A436" s="359" t="s">
        <v>1552</v>
      </c>
      <c r="B436" s="359" t="s">
        <v>758</v>
      </c>
      <c r="C436" s="359" t="s">
        <v>1384</v>
      </c>
      <c r="D436" s="359" t="s">
        <v>1385</v>
      </c>
      <c r="E436" s="360"/>
      <c r="F436" s="359" t="s">
        <v>1346</v>
      </c>
      <c r="G436" s="361">
        <v>3.0303030303030305E-6</v>
      </c>
      <c r="H436" s="359" t="s">
        <v>1529</v>
      </c>
      <c r="I436" s="361">
        <v>0.12542644992976118</v>
      </c>
      <c r="J436" s="359" t="s">
        <v>1384</v>
      </c>
      <c r="K436" s="359" t="s">
        <v>1272</v>
      </c>
      <c r="M436" t="str">
        <f t="shared" si="7"/>
        <v>NICKEL AND NICKEL COMPOUNDS</v>
      </c>
    </row>
    <row r="437" spans="1:13" ht="45" x14ac:dyDescent="0.25">
      <c r="A437" s="359" t="s">
        <v>1552</v>
      </c>
      <c r="B437" s="359" t="s">
        <v>758</v>
      </c>
      <c r="C437" s="359" t="s">
        <v>1307</v>
      </c>
      <c r="D437" s="359" t="s">
        <v>1308</v>
      </c>
      <c r="E437" s="360"/>
      <c r="F437" s="359" t="s">
        <v>1346</v>
      </c>
      <c r="G437" s="361">
        <v>3.0303030303030305E-6</v>
      </c>
      <c r="H437" s="359" t="s">
        <v>1567</v>
      </c>
      <c r="I437" s="361">
        <v>110.37527593818984</v>
      </c>
      <c r="J437" s="359" t="s">
        <v>1310</v>
      </c>
      <c r="K437" s="359" t="s">
        <v>1272</v>
      </c>
      <c r="M437" t="str">
        <f t="shared" si="7"/>
        <v>NITRATE</v>
      </c>
    </row>
    <row r="438" spans="1:13" ht="45" x14ac:dyDescent="0.25">
      <c r="A438" s="359" t="s">
        <v>1552</v>
      </c>
      <c r="B438" s="359" t="s">
        <v>758</v>
      </c>
      <c r="C438" s="359" t="s">
        <v>1568</v>
      </c>
      <c r="D438" s="359" t="s">
        <v>1569</v>
      </c>
      <c r="E438" s="360"/>
      <c r="F438" s="359" t="s">
        <v>1346</v>
      </c>
      <c r="G438" s="361">
        <v>3.0303030303030305E-6</v>
      </c>
      <c r="H438" s="359" t="s">
        <v>1557</v>
      </c>
      <c r="I438" s="361">
        <v>3.2109171182018864E-2</v>
      </c>
      <c r="J438" s="359" t="s">
        <v>1568</v>
      </c>
      <c r="K438" s="359" t="s">
        <v>1272</v>
      </c>
      <c r="M438" t="str">
        <f t="shared" si="7"/>
        <v>O-XYLENE</v>
      </c>
    </row>
    <row r="439" spans="1:13" ht="45" x14ac:dyDescent="0.25">
      <c r="A439" s="359" t="s">
        <v>1552</v>
      </c>
      <c r="B439" s="359" t="s">
        <v>758</v>
      </c>
      <c r="C439" s="359" t="s">
        <v>1315</v>
      </c>
      <c r="D439" s="359" t="s">
        <v>1316</v>
      </c>
      <c r="E439" s="360"/>
      <c r="F439" s="359" t="s">
        <v>1346</v>
      </c>
      <c r="G439" s="361">
        <v>3.0303030303030305E-6</v>
      </c>
      <c r="H439" s="359" t="s">
        <v>1570</v>
      </c>
      <c r="I439" s="361">
        <v>2.3078466787076059E-2</v>
      </c>
      <c r="J439" s="359" t="s">
        <v>1315</v>
      </c>
      <c r="K439" s="359" t="s">
        <v>1272</v>
      </c>
      <c r="M439" t="str">
        <f t="shared" si="7"/>
        <v>PHENOL</v>
      </c>
    </row>
    <row r="440" spans="1:13" ht="45" x14ac:dyDescent="0.25">
      <c r="A440" s="359" t="s">
        <v>1552</v>
      </c>
      <c r="B440" s="359" t="s">
        <v>758</v>
      </c>
      <c r="C440" s="359" t="s">
        <v>1319</v>
      </c>
      <c r="D440" s="359" t="s">
        <v>1320</v>
      </c>
      <c r="E440" s="360"/>
      <c r="F440" s="359" t="s">
        <v>1346</v>
      </c>
      <c r="G440" s="361">
        <v>3.0303030303030305E-6</v>
      </c>
      <c r="H440" s="359" t="s">
        <v>1571</v>
      </c>
      <c r="I440" s="361">
        <v>4.470198675496688E-2</v>
      </c>
      <c r="J440" s="359" t="s">
        <v>1319</v>
      </c>
      <c r="K440" s="359" t="s">
        <v>1272</v>
      </c>
      <c r="M440" t="str">
        <f t="shared" si="7"/>
        <v>POLYCYCLIC AROMATIC COMPOUNDS</v>
      </c>
    </row>
    <row r="441" spans="1:13" ht="45" x14ac:dyDescent="0.25">
      <c r="A441" s="359" t="s">
        <v>1552</v>
      </c>
      <c r="B441" s="359" t="s">
        <v>758</v>
      </c>
      <c r="C441" s="359" t="s">
        <v>1425</v>
      </c>
      <c r="D441" s="359" t="s">
        <v>1426</v>
      </c>
      <c r="E441" s="360"/>
      <c r="F441" s="359" t="s">
        <v>1346</v>
      </c>
      <c r="G441" s="361">
        <v>3.0303030303030305E-6</v>
      </c>
      <c r="H441" s="359" t="s">
        <v>1286</v>
      </c>
      <c r="I441" s="361">
        <v>0</v>
      </c>
      <c r="J441" s="359" t="s">
        <v>1425</v>
      </c>
      <c r="K441" s="359" t="s">
        <v>1272</v>
      </c>
      <c r="M441" t="str">
        <f t="shared" si="7"/>
        <v>PROPYLENE</v>
      </c>
    </row>
    <row r="442" spans="1:13" ht="45" x14ac:dyDescent="0.25">
      <c r="A442" s="359" t="s">
        <v>1552</v>
      </c>
      <c r="B442" s="359" t="s">
        <v>758</v>
      </c>
      <c r="C442" s="359" t="s">
        <v>1572</v>
      </c>
      <c r="D442" s="359" t="s">
        <v>1573</v>
      </c>
      <c r="E442" s="360"/>
      <c r="F442" s="359" t="s">
        <v>1346</v>
      </c>
      <c r="G442" s="361">
        <v>3.0303030303030305E-6</v>
      </c>
      <c r="H442" s="359" t="s">
        <v>1364</v>
      </c>
      <c r="I442" s="361">
        <v>1.6556291390728475E-2</v>
      </c>
      <c r="J442" s="359" t="s">
        <v>1572</v>
      </c>
      <c r="K442" s="359" t="s">
        <v>1272</v>
      </c>
      <c r="M442" t="str">
        <f t="shared" si="7"/>
        <v>P-XYLENE</v>
      </c>
    </row>
    <row r="443" spans="1:13" ht="45" x14ac:dyDescent="0.25">
      <c r="A443" s="359" t="s">
        <v>1552</v>
      </c>
      <c r="B443" s="359" t="s">
        <v>758</v>
      </c>
      <c r="C443" s="359" t="s">
        <v>1574</v>
      </c>
      <c r="D443" s="359" t="s">
        <v>1575</v>
      </c>
      <c r="E443" s="360"/>
      <c r="F443" s="359" t="s">
        <v>1346</v>
      </c>
      <c r="G443" s="361">
        <v>3.0303030303030305E-6</v>
      </c>
      <c r="H443" s="359" t="s">
        <v>1286</v>
      </c>
      <c r="I443" s="361">
        <v>0</v>
      </c>
      <c r="J443" s="359" t="s">
        <v>1574</v>
      </c>
      <c r="K443" s="359" t="s">
        <v>1272</v>
      </c>
      <c r="M443" t="str">
        <f t="shared" si="7"/>
        <v>SEC-BUTYL ALCOHOL</v>
      </c>
    </row>
    <row r="444" spans="1:13" ht="45" x14ac:dyDescent="0.25">
      <c r="A444" s="359" t="s">
        <v>1552</v>
      </c>
      <c r="B444" s="359" t="s">
        <v>758</v>
      </c>
      <c r="C444" s="359" t="s">
        <v>1394</v>
      </c>
      <c r="D444" s="359" t="s">
        <v>1395</v>
      </c>
      <c r="E444" s="360"/>
      <c r="F444" s="359" t="s">
        <v>1346</v>
      </c>
      <c r="G444" s="361">
        <v>3.0303030303030305E-6</v>
      </c>
      <c r="H444" s="359" t="s">
        <v>1286</v>
      </c>
      <c r="I444" s="361">
        <v>0</v>
      </c>
      <c r="J444" s="359" t="s">
        <v>1394</v>
      </c>
      <c r="K444" s="359" t="s">
        <v>1272</v>
      </c>
      <c r="M444" t="str">
        <f t="shared" si="7"/>
        <v>TERT-BUTYL ALCOHOL</v>
      </c>
    </row>
    <row r="445" spans="1:13" ht="45" x14ac:dyDescent="0.25">
      <c r="A445" s="359" t="s">
        <v>1552</v>
      </c>
      <c r="B445" s="359" t="s">
        <v>758</v>
      </c>
      <c r="C445" s="359" t="s">
        <v>1396</v>
      </c>
      <c r="D445" s="359" t="s">
        <v>1397</v>
      </c>
      <c r="E445" s="360"/>
      <c r="F445" s="359" t="s">
        <v>1346</v>
      </c>
      <c r="G445" s="361">
        <v>3.0303030303030305E-6</v>
      </c>
      <c r="H445" s="359" t="s">
        <v>1286</v>
      </c>
      <c r="I445" s="361">
        <v>0</v>
      </c>
      <c r="J445" s="359" t="s">
        <v>1398</v>
      </c>
      <c r="K445" s="359" t="s">
        <v>1272</v>
      </c>
      <c r="M445" t="str">
        <f t="shared" si="7"/>
        <v>PERCHLOROETHYLENE</v>
      </c>
    </row>
    <row r="446" spans="1:13" ht="45" x14ac:dyDescent="0.25">
      <c r="A446" s="359" t="s">
        <v>1552</v>
      </c>
      <c r="B446" s="359" t="s">
        <v>758</v>
      </c>
      <c r="C446" s="359" t="s">
        <v>1325</v>
      </c>
      <c r="D446" s="359" t="s">
        <v>1326</v>
      </c>
      <c r="E446" s="360"/>
      <c r="F446" s="359" t="s">
        <v>1346</v>
      </c>
      <c r="G446" s="361">
        <v>3.0303030303030305E-6</v>
      </c>
      <c r="H446" s="359" t="s">
        <v>1364</v>
      </c>
      <c r="I446" s="361">
        <v>1.6556291390728475E-2</v>
      </c>
      <c r="J446" s="359" t="s">
        <v>1325</v>
      </c>
      <c r="K446" s="359" t="s">
        <v>1272</v>
      </c>
      <c r="M446" t="str">
        <f t="shared" si="7"/>
        <v>TOLUENE</v>
      </c>
    </row>
    <row r="447" spans="1:13" ht="45" x14ac:dyDescent="0.25">
      <c r="A447" s="359" t="s">
        <v>1552</v>
      </c>
      <c r="B447" s="359" t="s">
        <v>758</v>
      </c>
      <c r="C447" s="359" t="s">
        <v>1495</v>
      </c>
      <c r="D447" s="359" t="s">
        <v>1465</v>
      </c>
      <c r="E447" s="360"/>
      <c r="F447" s="359" t="s">
        <v>1346</v>
      </c>
      <c r="G447" s="361">
        <v>3.0303030303030305E-6</v>
      </c>
      <c r="H447" s="359" t="s">
        <v>1576</v>
      </c>
      <c r="I447" s="361">
        <v>11.037527593818984</v>
      </c>
      <c r="J447" s="359" t="s">
        <v>1495</v>
      </c>
      <c r="K447" s="359" t="s">
        <v>1272</v>
      </c>
      <c r="M447" t="str">
        <f t="shared" si="7"/>
        <v>VANADIUM AND VANADIUM COMPOUNDS</v>
      </c>
    </row>
    <row r="448" spans="1:13" ht="45" x14ac:dyDescent="0.25">
      <c r="A448" s="359" t="s">
        <v>1552</v>
      </c>
      <c r="B448" s="359" t="s">
        <v>758</v>
      </c>
      <c r="C448" s="359" t="s">
        <v>1342</v>
      </c>
      <c r="D448" s="359" t="s">
        <v>1343</v>
      </c>
      <c r="E448" s="360"/>
      <c r="F448" s="359" t="s">
        <v>1346</v>
      </c>
      <c r="G448" s="361">
        <v>3.0303030303030305E-6</v>
      </c>
      <c r="H448" s="359" t="s">
        <v>1577</v>
      </c>
      <c r="I448" s="361">
        <v>0.65221753963475815</v>
      </c>
      <c r="J448" s="359" t="s">
        <v>1342</v>
      </c>
      <c r="K448" s="359" t="s">
        <v>1272</v>
      </c>
      <c r="M448" t="str">
        <f t="shared" si="7"/>
        <v>ZINC AND ZINC COMPOUNDS</v>
      </c>
    </row>
    <row r="449" spans="1:13" ht="30" x14ac:dyDescent="0.25">
      <c r="A449" s="359" t="s">
        <v>1578</v>
      </c>
      <c r="B449" s="359" t="s">
        <v>766</v>
      </c>
      <c r="C449" s="359" t="s">
        <v>1268</v>
      </c>
      <c r="D449" s="359" t="s">
        <v>1269</v>
      </c>
      <c r="E449" s="360"/>
      <c r="F449" s="359" t="s">
        <v>1412</v>
      </c>
      <c r="G449" s="361">
        <v>1.8181818181818182E-5</v>
      </c>
      <c r="H449" s="359" t="s">
        <v>1333</v>
      </c>
      <c r="I449" s="361">
        <v>3.0102347983142685E-3</v>
      </c>
      <c r="J449" s="359" t="s">
        <v>1268</v>
      </c>
      <c r="K449" s="359" t="s">
        <v>1272</v>
      </c>
      <c r="M449" t="str">
        <f t="shared" si="7"/>
        <v>1,2,4-TRIMETHYLBENZENE</v>
      </c>
    </row>
    <row r="450" spans="1:13" ht="30" x14ac:dyDescent="0.25">
      <c r="A450" s="359" t="s">
        <v>1578</v>
      </c>
      <c r="B450" s="359" t="s">
        <v>766</v>
      </c>
      <c r="C450" s="359" t="s">
        <v>1273</v>
      </c>
      <c r="D450" s="359" t="s">
        <v>1274</v>
      </c>
      <c r="E450" s="360"/>
      <c r="F450" s="359" t="s">
        <v>1412</v>
      </c>
      <c r="G450" s="361">
        <v>1.8181818181818182E-5</v>
      </c>
      <c r="H450" s="359" t="s">
        <v>1333</v>
      </c>
      <c r="I450" s="361">
        <v>3.0102347983142685E-3</v>
      </c>
      <c r="J450" s="359" t="s">
        <v>1273</v>
      </c>
      <c r="K450" s="359" t="s">
        <v>1272</v>
      </c>
      <c r="M450" t="str">
        <f t="shared" si="7"/>
        <v>BENZENE</v>
      </c>
    </row>
    <row r="451" spans="1:13" ht="30" x14ac:dyDescent="0.25">
      <c r="A451" s="359" t="s">
        <v>1578</v>
      </c>
      <c r="B451" s="359" t="s">
        <v>766</v>
      </c>
      <c r="C451" s="359" t="s">
        <v>1352</v>
      </c>
      <c r="D451" s="359" t="s">
        <v>1353</v>
      </c>
      <c r="E451" s="360"/>
      <c r="F451" s="359" t="s">
        <v>1412</v>
      </c>
      <c r="G451" s="361">
        <v>1.8181818181818182E-5</v>
      </c>
      <c r="H451" s="359" t="s">
        <v>1286</v>
      </c>
      <c r="I451" s="361">
        <v>0</v>
      </c>
      <c r="J451" s="359" t="s">
        <v>1352</v>
      </c>
      <c r="K451" s="359" t="s">
        <v>1272</v>
      </c>
      <c r="M451" t="str">
        <f t="shared" si="7"/>
        <v>BENZO(G,H,I)PERYLENE</v>
      </c>
    </row>
    <row r="452" spans="1:13" ht="30" x14ac:dyDescent="0.25">
      <c r="A452" s="359" t="s">
        <v>1578</v>
      </c>
      <c r="B452" s="359" t="s">
        <v>766</v>
      </c>
      <c r="C452" s="359" t="s">
        <v>1276</v>
      </c>
      <c r="D452" s="359" t="s">
        <v>490</v>
      </c>
      <c r="E452" s="361">
        <v>12979.138322000001</v>
      </c>
      <c r="F452" s="359" t="s">
        <v>1412</v>
      </c>
      <c r="G452" s="361">
        <v>1.8181818181818182E-5</v>
      </c>
      <c r="H452" s="359" t="s">
        <v>490</v>
      </c>
      <c r="I452" s="361">
        <v>6.4653241952677466E-4</v>
      </c>
      <c r="J452" s="359" t="s">
        <v>1276</v>
      </c>
      <c r="K452" s="359" t="s">
        <v>1277</v>
      </c>
      <c r="M452" t="str">
        <f t="shared" si="7"/>
        <v>BOD, 5-day, 20 deg. C</v>
      </c>
    </row>
    <row r="453" spans="1:13" ht="30" x14ac:dyDescent="0.25">
      <c r="A453" s="359" t="s">
        <v>1578</v>
      </c>
      <c r="B453" s="359" t="s">
        <v>766</v>
      </c>
      <c r="C453" s="359" t="s">
        <v>1280</v>
      </c>
      <c r="D453" s="359" t="s">
        <v>1281</v>
      </c>
      <c r="E453" s="361">
        <v>2.7664399092999998</v>
      </c>
      <c r="F453" s="359" t="s">
        <v>1412</v>
      </c>
      <c r="G453" s="361">
        <v>1.8181818181818182E-5</v>
      </c>
      <c r="H453" s="359" t="s">
        <v>490</v>
      </c>
      <c r="I453" s="361">
        <v>1.3780522586799501E-7</v>
      </c>
      <c r="J453" s="359" t="s">
        <v>1280</v>
      </c>
      <c r="K453" s="359" t="s">
        <v>1277</v>
      </c>
      <c r="M453" t="str">
        <f t="shared" si="7"/>
        <v>Chromium, hexavalent (as Cr)</v>
      </c>
    </row>
    <row r="454" spans="1:13" ht="30" x14ac:dyDescent="0.25">
      <c r="A454" s="359" t="s">
        <v>1578</v>
      </c>
      <c r="B454" s="359" t="s">
        <v>766</v>
      </c>
      <c r="C454" s="359" t="s">
        <v>1282</v>
      </c>
      <c r="D454" s="359" t="s">
        <v>1283</v>
      </c>
      <c r="E454" s="361">
        <v>2.62585034014</v>
      </c>
      <c r="F454" s="359" t="s">
        <v>1412</v>
      </c>
      <c r="G454" s="361">
        <v>1.8181818181818182E-5</v>
      </c>
      <c r="H454" s="359" t="s">
        <v>490</v>
      </c>
      <c r="I454" s="361">
        <v>1.3080200947148195E-7</v>
      </c>
      <c r="J454" s="359" t="s">
        <v>1282</v>
      </c>
      <c r="K454" s="359" t="s">
        <v>1277</v>
      </c>
      <c r="M454" t="str">
        <f t="shared" ref="M454:M517" si="8">IF(J454="",C454,J454)</f>
        <v>Chromium, total (as Cr)</v>
      </c>
    </row>
    <row r="455" spans="1:13" ht="30" x14ac:dyDescent="0.25">
      <c r="A455" s="359" t="s">
        <v>1578</v>
      </c>
      <c r="B455" s="359" t="s">
        <v>766</v>
      </c>
      <c r="C455" s="359" t="s">
        <v>1291</v>
      </c>
      <c r="D455" s="359" t="s">
        <v>1292</v>
      </c>
      <c r="E455" s="360"/>
      <c r="F455" s="359" t="s">
        <v>1412</v>
      </c>
      <c r="G455" s="361">
        <v>1.8181818181818182E-5</v>
      </c>
      <c r="H455" s="359" t="s">
        <v>1333</v>
      </c>
      <c r="I455" s="361">
        <v>3.0102347983142685E-3</v>
      </c>
      <c r="J455" s="359" t="s">
        <v>1291</v>
      </c>
      <c r="K455" s="359" t="s">
        <v>1272</v>
      </c>
      <c r="M455" t="str">
        <f t="shared" si="8"/>
        <v>CYCLOHEXANE</v>
      </c>
    </row>
    <row r="456" spans="1:13" ht="30" x14ac:dyDescent="0.25">
      <c r="A456" s="359" t="s">
        <v>1578</v>
      </c>
      <c r="B456" s="359" t="s">
        <v>766</v>
      </c>
      <c r="C456" s="359" t="s">
        <v>1295</v>
      </c>
      <c r="D456" s="359" t="s">
        <v>1296</v>
      </c>
      <c r="E456" s="360"/>
      <c r="F456" s="359" t="s">
        <v>1412</v>
      </c>
      <c r="G456" s="361">
        <v>1.8181818181818182E-5</v>
      </c>
      <c r="H456" s="359" t="s">
        <v>1333</v>
      </c>
      <c r="I456" s="361">
        <v>3.0102347983142685E-3</v>
      </c>
      <c r="J456" s="359" t="s">
        <v>1295</v>
      </c>
      <c r="K456" s="359" t="s">
        <v>1272</v>
      </c>
      <c r="M456" t="str">
        <f t="shared" si="8"/>
        <v>ETHYLBENZENE</v>
      </c>
    </row>
    <row r="457" spans="1:13" ht="30" x14ac:dyDescent="0.25">
      <c r="A457" s="359" t="s">
        <v>1578</v>
      </c>
      <c r="B457" s="359" t="s">
        <v>766</v>
      </c>
      <c r="C457" s="359" t="s">
        <v>1488</v>
      </c>
      <c r="D457" s="359" t="s">
        <v>1489</v>
      </c>
      <c r="E457" s="360"/>
      <c r="F457" s="359" t="s">
        <v>1412</v>
      </c>
      <c r="G457" s="361">
        <v>1.8181818181818182E-5</v>
      </c>
      <c r="H457" s="359" t="s">
        <v>1286</v>
      </c>
      <c r="I457" s="361">
        <v>0</v>
      </c>
      <c r="J457" s="359" t="s">
        <v>1490</v>
      </c>
      <c r="K457" s="359" t="s">
        <v>1272</v>
      </c>
      <c r="M457" t="str">
        <f t="shared" si="8"/>
        <v>HYDROFLUORIC ACID</v>
      </c>
    </row>
    <row r="458" spans="1:13" ht="30" x14ac:dyDescent="0.25">
      <c r="A458" s="359" t="s">
        <v>1578</v>
      </c>
      <c r="B458" s="359" t="s">
        <v>766</v>
      </c>
      <c r="C458" s="359" t="s">
        <v>1381</v>
      </c>
      <c r="D458" s="359" t="s">
        <v>1382</v>
      </c>
      <c r="E458" s="360"/>
      <c r="F458" s="359" t="s">
        <v>1412</v>
      </c>
      <c r="G458" s="361">
        <v>1.8181818181818182E-5</v>
      </c>
      <c r="H458" s="359" t="s">
        <v>1579</v>
      </c>
      <c r="I458" s="361">
        <v>0.54184226369656829</v>
      </c>
      <c r="J458" s="359" t="s">
        <v>1381</v>
      </c>
      <c r="K458" s="359" t="s">
        <v>1272</v>
      </c>
      <c r="M458" t="str">
        <f t="shared" si="8"/>
        <v>MOLYBDENUM TRIOXIDE</v>
      </c>
    </row>
    <row r="459" spans="1:13" ht="30" x14ac:dyDescent="0.25">
      <c r="A459" s="359" t="s">
        <v>1578</v>
      </c>
      <c r="B459" s="359" t="s">
        <v>766</v>
      </c>
      <c r="C459" s="359" t="s">
        <v>1303</v>
      </c>
      <c r="D459" s="359" t="s">
        <v>1304</v>
      </c>
      <c r="E459" s="360"/>
      <c r="F459" s="359" t="s">
        <v>1412</v>
      </c>
      <c r="G459" s="361">
        <v>1.8181818181818182E-5</v>
      </c>
      <c r="H459" s="359" t="s">
        <v>1286</v>
      </c>
      <c r="I459" s="361">
        <v>0</v>
      </c>
      <c r="J459" s="359" t="s">
        <v>1303</v>
      </c>
      <c r="K459" s="359" t="s">
        <v>1272</v>
      </c>
      <c r="M459" t="str">
        <f t="shared" si="8"/>
        <v>NAPHTHALENE</v>
      </c>
    </row>
    <row r="460" spans="1:13" ht="30" x14ac:dyDescent="0.25">
      <c r="A460" s="359" t="s">
        <v>1578</v>
      </c>
      <c r="B460" s="359" t="s">
        <v>766</v>
      </c>
      <c r="C460" s="359" t="s">
        <v>1305</v>
      </c>
      <c r="D460" s="359" t="s">
        <v>1306</v>
      </c>
      <c r="E460" s="360"/>
      <c r="F460" s="359" t="s">
        <v>1412</v>
      </c>
      <c r="G460" s="361">
        <v>1.8181818181818182E-5</v>
      </c>
      <c r="H460" s="359" t="s">
        <v>1333</v>
      </c>
      <c r="I460" s="361">
        <v>3.0102347983142685E-3</v>
      </c>
      <c r="J460" s="359" t="s">
        <v>1305</v>
      </c>
      <c r="K460" s="359" t="s">
        <v>1272</v>
      </c>
      <c r="M460" t="str">
        <f t="shared" si="8"/>
        <v>N-HEXANE</v>
      </c>
    </row>
    <row r="461" spans="1:13" ht="30" x14ac:dyDescent="0.25">
      <c r="A461" s="359" t="s">
        <v>1578</v>
      </c>
      <c r="B461" s="359" t="s">
        <v>766</v>
      </c>
      <c r="C461" s="359" t="s">
        <v>1384</v>
      </c>
      <c r="D461" s="359" t="s">
        <v>1385</v>
      </c>
      <c r="E461" s="360"/>
      <c r="F461" s="359" t="s">
        <v>1412</v>
      </c>
      <c r="G461" s="361">
        <v>1.8181818181818182E-5</v>
      </c>
      <c r="H461" s="359" t="s">
        <v>1580</v>
      </c>
      <c r="I461" s="361">
        <v>6.0204695966285367E-2</v>
      </c>
      <c r="J461" s="359" t="s">
        <v>1384</v>
      </c>
      <c r="K461" s="359" t="s">
        <v>1272</v>
      </c>
      <c r="M461" t="str">
        <f t="shared" si="8"/>
        <v>NICKEL AND NICKEL COMPOUNDS</v>
      </c>
    </row>
    <row r="462" spans="1:13" ht="30" x14ac:dyDescent="0.25">
      <c r="A462" s="359" t="s">
        <v>1578</v>
      </c>
      <c r="B462" s="359" t="s">
        <v>766</v>
      </c>
      <c r="C462" s="359" t="s">
        <v>1307</v>
      </c>
      <c r="D462" s="359" t="s">
        <v>1308</v>
      </c>
      <c r="E462" s="360"/>
      <c r="F462" s="359" t="s">
        <v>1412</v>
      </c>
      <c r="G462" s="361">
        <v>1.8181818181818182E-5</v>
      </c>
      <c r="H462" s="359" t="s">
        <v>1581</v>
      </c>
      <c r="I462" s="361">
        <v>300.50571944611676</v>
      </c>
      <c r="J462" s="359" t="s">
        <v>1310</v>
      </c>
      <c r="K462" s="359" t="s">
        <v>1272</v>
      </c>
      <c r="M462" t="str">
        <f t="shared" si="8"/>
        <v>NITRATE</v>
      </c>
    </row>
    <row r="463" spans="1:13" ht="30" x14ac:dyDescent="0.25">
      <c r="A463" s="359" t="s">
        <v>1578</v>
      </c>
      <c r="B463" s="359" t="s">
        <v>766</v>
      </c>
      <c r="C463" s="359" t="s">
        <v>1311</v>
      </c>
      <c r="D463" s="359" t="s">
        <v>1312</v>
      </c>
      <c r="E463" s="361">
        <v>911.56462584999997</v>
      </c>
      <c r="F463" s="359" t="s">
        <v>1412</v>
      </c>
      <c r="G463" s="361">
        <v>1.8181818181818182E-5</v>
      </c>
      <c r="H463" s="359" t="s">
        <v>490</v>
      </c>
      <c r="I463" s="361">
        <v>4.5407951474470732E-5</v>
      </c>
      <c r="J463" s="359" t="s">
        <v>1313</v>
      </c>
      <c r="K463" s="359" t="s">
        <v>1277</v>
      </c>
      <c r="M463" t="str">
        <f t="shared" si="8"/>
        <v>AMMONIA</v>
      </c>
    </row>
    <row r="464" spans="1:13" ht="30" x14ac:dyDescent="0.25">
      <c r="A464" s="359" t="s">
        <v>1578</v>
      </c>
      <c r="B464" s="359" t="s">
        <v>766</v>
      </c>
      <c r="C464" s="359" t="s">
        <v>1510</v>
      </c>
      <c r="D464" s="359" t="s">
        <v>1505</v>
      </c>
      <c r="E464" s="361">
        <v>-104.39390476200001</v>
      </c>
      <c r="F464" s="359" t="s">
        <v>1412</v>
      </c>
      <c r="G464" s="361">
        <v>1.8181818181818182E-5</v>
      </c>
      <c r="H464" s="359" t="s">
        <v>490</v>
      </c>
      <c r="I464" s="361">
        <v>-5.2001945086924035E-6</v>
      </c>
      <c r="J464" s="359" t="s">
        <v>1506</v>
      </c>
      <c r="K464" s="359" t="s">
        <v>1277</v>
      </c>
      <c r="M464" t="str">
        <f t="shared" si="8"/>
        <v>NITROGEN</v>
      </c>
    </row>
    <row r="465" spans="1:13" ht="30" x14ac:dyDescent="0.25">
      <c r="A465" s="359" t="s">
        <v>1578</v>
      </c>
      <c r="B465" s="359" t="s">
        <v>766</v>
      </c>
      <c r="C465" s="359" t="s">
        <v>1341</v>
      </c>
      <c r="D465" s="359" t="s">
        <v>490</v>
      </c>
      <c r="E465" s="361">
        <v>5819.1383219999998</v>
      </c>
      <c r="F465" s="359" t="s">
        <v>1412</v>
      </c>
      <c r="G465" s="361">
        <v>1.8181818181818182E-5</v>
      </c>
      <c r="H465" s="359" t="s">
        <v>490</v>
      </c>
      <c r="I465" s="361">
        <v>2.8986990396014941E-4</v>
      </c>
      <c r="J465" s="359" t="s">
        <v>1341</v>
      </c>
      <c r="K465" s="359" t="s">
        <v>1277</v>
      </c>
      <c r="M465" t="str">
        <f t="shared" si="8"/>
        <v>Oil &amp; grease</v>
      </c>
    </row>
    <row r="466" spans="1:13" ht="30" x14ac:dyDescent="0.25">
      <c r="A466" s="359" t="s">
        <v>1578</v>
      </c>
      <c r="B466" s="359" t="s">
        <v>766</v>
      </c>
      <c r="C466" s="359" t="s">
        <v>1460</v>
      </c>
      <c r="D466" s="359" t="s">
        <v>490</v>
      </c>
      <c r="E466" s="361">
        <v>-1973.0447999999999</v>
      </c>
      <c r="F466" s="359" t="s">
        <v>1412</v>
      </c>
      <c r="G466" s="361">
        <v>1.8181818181818182E-5</v>
      </c>
      <c r="H466" s="359" t="s">
        <v>490</v>
      </c>
      <c r="I466" s="361">
        <v>-9.828367621419676E-5</v>
      </c>
      <c r="J466" s="359" t="s">
        <v>1460</v>
      </c>
      <c r="K466" s="359" t="s">
        <v>1277</v>
      </c>
      <c r="M466" t="str">
        <f t="shared" si="8"/>
        <v>Oil and grease, hexane extr method</v>
      </c>
    </row>
    <row r="467" spans="1:13" ht="30" x14ac:dyDescent="0.25">
      <c r="A467" s="359" t="s">
        <v>1578</v>
      </c>
      <c r="B467" s="359" t="s">
        <v>766</v>
      </c>
      <c r="C467" s="359" t="s">
        <v>1457</v>
      </c>
      <c r="D467" s="359" t="s">
        <v>490</v>
      </c>
      <c r="E467" s="361">
        <v>94766.893423999994</v>
      </c>
      <c r="F467" s="359" t="s">
        <v>1412</v>
      </c>
      <c r="G467" s="361">
        <v>1.8181818181818182E-5</v>
      </c>
      <c r="H467" s="359" t="s">
        <v>490</v>
      </c>
      <c r="I467" s="361">
        <v>4.7206422627148192E-3</v>
      </c>
      <c r="J467" s="359" t="s">
        <v>1457</v>
      </c>
      <c r="K467" s="359" t="s">
        <v>1277</v>
      </c>
      <c r="M467" t="str">
        <f t="shared" si="8"/>
        <v>Chemical Oxygen Demand (COD)</v>
      </c>
    </row>
    <row r="468" spans="1:13" ht="30" x14ac:dyDescent="0.25">
      <c r="A468" s="359" t="s">
        <v>1578</v>
      </c>
      <c r="B468" s="359" t="s">
        <v>766</v>
      </c>
      <c r="C468" s="359" t="s">
        <v>1457</v>
      </c>
      <c r="D468" s="359" t="s">
        <v>490</v>
      </c>
      <c r="E468" s="361">
        <v>-35909.415359999999</v>
      </c>
      <c r="F468" s="359" t="s">
        <v>1412</v>
      </c>
      <c r="G468" s="361">
        <v>1.8181818181818182E-5</v>
      </c>
      <c r="H468" s="359" t="s">
        <v>490</v>
      </c>
      <c r="I468" s="361">
        <v>-1.7887629070983809E-3</v>
      </c>
      <c r="J468" s="359" t="s">
        <v>1457</v>
      </c>
      <c r="K468" s="359" t="s">
        <v>1277</v>
      </c>
      <c r="M468" t="str">
        <f t="shared" si="8"/>
        <v>Chemical Oxygen Demand (COD)</v>
      </c>
    </row>
    <row r="469" spans="1:13" ht="30" x14ac:dyDescent="0.25">
      <c r="A469" s="359" t="s">
        <v>1578</v>
      </c>
      <c r="B469" s="359" t="s">
        <v>766</v>
      </c>
      <c r="C469" s="359" t="s">
        <v>1388</v>
      </c>
      <c r="D469" s="359" t="s">
        <v>1389</v>
      </c>
      <c r="E469" s="360"/>
      <c r="F469" s="359" t="s">
        <v>1412</v>
      </c>
      <c r="G469" s="361">
        <v>1.8181818181818182E-5</v>
      </c>
      <c r="H469" s="359" t="s">
        <v>1286</v>
      </c>
      <c r="I469" s="361">
        <v>0</v>
      </c>
      <c r="J469" s="359" t="s">
        <v>1388</v>
      </c>
      <c r="K469" s="359" t="s">
        <v>1272</v>
      </c>
      <c r="M469" t="str">
        <f t="shared" si="8"/>
        <v>PHENANTHRENE</v>
      </c>
    </row>
    <row r="470" spans="1:13" ht="30" x14ac:dyDescent="0.25">
      <c r="A470" s="359" t="s">
        <v>1578</v>
      </c>
      <c r="B470" s="359" t="s">
        <v>766</v>
      </c>
      <c r="C470" s="359" t="s">
        <v>1315</v>
      </c>
      <c r="D470" s="359" t="s">
        <v>1316</v>
      </c>
      <c r="E470" s="360"/>
      <c r="F470" s="359" t="s">
        <v>1412</v>
      </c>
      <c r="G470" s="361">
        <v>1.8181818181818182E-5</v>
      </c>
      <c r="H470" s="359" t="s">
        <v>1582</v>
      </c>
      <c r="I470" s="361">
        <v>0.13546056592414207</v>
      </c>
      <c r="J470" s="359" t="s">
        <v>1315</v>
      </c>
      <c r="K470" s="359" t="s">
        <v>1272</v>
      </c>
      <c r="M470" t="str">
        <f t="shared" si="8"/>
        <v>PHENOL</v>
      </c>
    </row>
    <row r="471" spans="1:13" ht="30" x14ac:dyDescent="0.25">
      <c r="A471" s="359" t="s">
        <v>1578</v>
      </c>
      <c r="B471" s="359" t="s">
        <v>766</v>
      </c>
      <c r="C471" s="359" t="s">
        <v>1318</v>
      </c>
      <c r="D471" s="359" t="s">
        <v>490</v>
      </c>
      <c r="E471" s="361">
        <v>8.0807256235799994</v>
      </c>
      <c r="F471" s="359" t="s">
        <v>1412</v>
      </c>
      <c r="G471" s="361">
        <v>1.8181818181818182E-5</v>
      </c>
      <c r="H471" s="359" t="s">
        <v>490</v>
      </c>
      <c r="I471" s="361">
        <v>4.0252680565778328E-7</v>
      </c>
      <c r="J471" s="359" t="s">
        <v>1318</v>
      </c>
      <c r="K471" s="359" t="s">
        <v>1277</v>
      </c>
      <c r="M471" t="str">
        <f t="shared" si="8"/>
        <v>Phenolics, total recoverable</v>
      </c>
    </row>
    <row r="472" spans="1:13" ht="30" x14ac:dyDescent="0.25">
      <c r="A472" s="359" t="s">
        <v>1578</v>
      </c>
      <c r="B472" s="359" t="s">
        <v>766</v>
      </c>
      <c r="C472" s="359" t="s">
        <v>1319</v>
      </c>
      <c r="D472" s="359" t="s">
        <v>1320</v>
      </c>
      <c r="E472" s="360"/>
      <c r="F472" s="359" t="s">
        <v>1412</v>
      </c>
      <c r="G472" s="361">
        <v>1.8181818181818182E-5</v>
      </c>
      <c r="H472" s="359" t="s">
        <v>1286</v>
      </c>
      <c r="I472" s="361">
        <v>0</v>
      </c>
      <c r="J472" s="359" t="s">
        <v>1319</v>
      </c>
      <c r="K472" s="359" t="s">
        <v>1272</v>
      </c>
      <c r="M472" t="str">
        <f t="shared" si="8"/>
        <v>POLYCYCLIC AROMATIC COMPOUNDS</v>
      </c>
    </row>
    <row r="473" spans="1:13" ht="30" x14ac:dyDescent="0.25">
      <c r="A473" s="359" t="s">
        <v>1578</v>
      </c>
      <c r="B473" s="359" t="s">
        <v>766</v>
      </c>
      <c r="C473" s="359" t="s">
        <v>1322</v>
      </c>
      <c r="D473" s="359" t="s">
        <v>490</v>
      </c>
      <c r="E473" s="361">
        <v>-203223.61439999999</v>
      </c>
      <c r="F473" s="359" t="s">
        <v>1412</v>
      </c>
      <c r="G473" s="361">
        <v>1.8181818181818182E-5</v>
      </c>
      <c r="H473" s="359" t="s">
        <v>490</v>
      </c>
      <c r="I473" s="361">
        <v>-1.0123218650062266E-2</v>
      </c>
      <c r="J473" s="359" t="s">
        <v>1322</v>
      </c>
      <c r="K473" s="359" t="s">
        <v>1277</v>
      </c>
      <c r="M473" t="str">
        <f t="shared" si="8"/>
        <v>Solids, total suspended</v>
      </c>
    </row>
    <row r="474" spans="1:13" ht="30" x14ac:dyDescent="0.25">
      <c r="A474" s="359" t="s">
        <v>1578</v>
      </c>
      <c r="B474" s="359" t="s">
        <v>766</v>
      </c>
      <c r="C474" s="359" t="s">
        <v>1323</v>
      </c>
      <c r="D474" s="359" t="s">
        <v>1324</v>
      </c>
      <c r="E474" s="361">
        <v>48.8616780045</v>
      </c>
      <c r="F474" s="359" t="s">
        <v>1412</v>
      </c>
      <c r="G474" s="361">
        <v>1.8181818181818182E-5</v>
      </c>
      <c r="H474" s="359" t="s">
        <v>490</v>
      </c>
      <c r="I474" s="361">
        <v>2.433956563113325E-6</v>
      </c>
      <c r="J474" s="359" t="s">
        <v>1323</v>
      </c>
      <c r="K474" s="359" t="s">
        <v>1277</v>
      </c>
      <c r="M474" t="str">
        <f t="shared" si="8"/>
        <v>Sulfide, total (as S)</v>
      </c>
    </row>
    <row r="475" spans="1:13" ht="30" x14ac:dyDescent="0.25">
      <c r="A475" s="359" t="s">
        <v>1578</v>
      </c>
      <c r="B475" s="359" t="s">
        <v>766</v>
      </c>
      <c r="C475" s="359" t="s">
        <v>1325</v>
      </c>
      <c r="D475" s="359" t="s">
        <v>1326</v>
      </c>
      <c r="E475" s="360"/>
      <c r="F475" s="359" t="s">
        <v>1412</v>
      </c>
      <c r="G475" s="361">
        <v>1.8181818181818182E-5</v>
      </c>
      <c r="H475" s="359" t="s">
        <v>1333</v>
      </c>
      <c r="I475" s="361">
        <v>3.0102347983142685E-3</v>
      </c>
      <c r="J475" s="359" t="s">
        <v>1325</v>
      </c>
      <c r="K475" s="359" t="s">
        <v>1272</v>
      </c>
      <c r="M475" t="str">
        <f t="shared" si="8"/>
        <v>TOLUENE</v>
      </c>
    </row>
    <row r="476" spans="1:13" ht="30" x14ac:dyDescent="0.25">
      <c r="A476" s="359" t="s">
        <v>1578</v>
      </c>
      <c r="B476" s="359" t="s">
        <v>766</v>
      </c>
      <c r="C476" s="359" t="s">
        <v>1327</v>
      </c>
      <c r="D476" s="359" t="s">
        <v>1328</v>
      </c>
      <c r="E476" s="360"/>
      <c r="F476" s="359" t="s">
        <v>1412</v>
      </c>
      <c r="G476" s="361">
        <v>1.8181818181818182E-5</v>
      </c>
      <c r="H476" s="359" t="s">
        <v>1333</v>
      </c>
      <c r="I476" s="361">
        <v>3.0102347983142685E-3</v>
      </c>
      <c r="J476" s="359" t="s">
        <v>1329</v>
      </c>
      <c r="K476" s="359" t="s">
        <v>1272</v>
      </c>
      <c r="M476" t="str">
        <f t="shared" si="8"/>
        <v>XYLENES</v>
      </c>
    </row>
    <row r="477" spans="1:13" x14ac:dyDescent="0.25">
      <c r="A477" s="359" t="s">
        <v>1583</v>
      </c>
      <c r="B477" s="359" t="s">
        <v>689</v>
      </c>
      <c r="C477" s="359" t="s">
        <v>1268</v>
      </c>
      <c r="D477" s="359" t="s">
        <v>1269</v>
      </c>
      <c r="E477" s="360"/>
      <c r="F477" s="359" t="s">
        <v>1412</v>
      </c>
      <c r="G477" s="361">
        <v>5.9406335450018528E-6</v>
      </c>
      <c r="H477" s="359" t="s">
        <v>1487</v>
      </c>
      <c r="I477" s="361">
        <v>3.7374846806303048E-2</v>
      </c>
      <c r="J477" s="359" t="s">
        <v>1268</v>
      </c>
      <c r="K477" s="359" t="s">
        <v>1272</v>
      </c>
      <c r="M477" t="str">
        <f t="shared" si="8"/>
        <v>1,2,4-TRIMETHYLBENZENE</v>
      </c>
    </row>
    <row r="478" spans="1:13" x14ac:dyDescent="0.25">
      <c r="A478" s="359" t="s">
        <v>490</v>
      </c>
      <c r="B478" s="359" t="s">
        <v>1240</v>
      </c>
      <c r="C478" s="359" t="s">
        <v>1584</v>
      </c>
      <c r="D478" s="359" t="s">
        <v>1585</v>
      </c>
      <c r="E478" s="361">
        <v>0</v>
      </c>
      <c r="F478" s="359" t="s">
        <v>1412</v>
      </c>
      <c r="G478" s="361">
        <v>6.3004693639369675E-6</v>
      </c>
      <c r="H478" s="359" t="s">
        <v>490</v>
      </c>
      <c r="I478" s="361">
        <v>0</v>
      </c>
      <c r="J478" s="359" t="s">
        <v>1584</v>
      </c>
      <c r="K478" s="359" t="s">
        <v>1277</v>
      </c>
      <c r="M478" t="str">
        <f t="shared" si="8"/>
        <v>Aluminum, total (as Al)</v>
      </c>
    </row>
    <row r="479" spans="1:13" x14ac:dyDescent="0.25">
      <c r="A479" s="359" t="s">
        <v>490</v>
      </c>
      <c r="B479" s="359" t="s">
        <v>1240</v>
      </c>
      <c r="C479" s="359" t="s">
        <v>1586</v>
      </c>
      <c r="D479" s="359" t="s">
        <v>1587</v>
      </c>
      <c r="E479" s="360"/>
      <c r="F479" s="359" t="s">
        <v>1412</v>
      </c>
      <c r="G479" s="361">
        <v>6.3004693639369675E-6</v>
      </c>
      <c r="H479" s="359" t="s">
        <v>1588</v>
      </c>
      <c r="I479" s="361">
        <v>3.8679173506265997E-6</v>
      </c>
      <c r="J479" s="359" t="s">
        <v>1586</v>
      </c>
      <c r="K479" s="359" t="s">
        <v>1272</v>
      </c>
      <c r="M479" t="str">
        <f t="shared" si="8"/>
        <v>ANTIMONY AND ANTIMONY COMPOUNDS</v>
      </c>
    </row>
    <row r="480" spans="1:13" x14ac:dyDescent="0.25">
      <c r="A480" s="359" t="s">
        <v>1583</v>
      </c>
      <c r="B480" s="359" t="s">
        <v>689</v>
      </c>
      <c r="C480" s="359" t="s">
        <v>1273</v>
      </c>
      <c r="D480" s="359" t="s">
        <v>1274</v>
      </c>
      <c r="E480" s="360"/>
      <c r="F480" s="359" t="s">
        <v>1412</v>
      </c>
      <c r="G480" s="361">
        <v>5.9406335450018528E-6</v>
      </c>
      <c r="H480" s="359" t="s">
        <v>1487</v>
      </c>
      <c r="I480" s="361">
        <v>3.7374846806303048E-2</v>
      </c>
      <c r="J480" s="359" t="s">
        <v>1273</v>
      </c>
      <c r="K480" s="359" t="s">
        <v>1272</v>
      </c>
      <c r="M480" t="str">
        <f t="shared" si="8"/>
        <v>BENZENE</v>
      </c>
    </row>
    <row r="481" spans="1:13" x14ac:dyDescent="0.25">
      <c r="A481" s="359" t="s">
        <v>1583</v>
      </c>
      <c r="B481" s="359" t="s">
        <v>689</v>
      </c>
      <c r="C481" s="359" t="s">
        <v>1352</v>
      </c>
      <c r="D481" s="359" t="s">
        <v>1353</v>
      </c>
      <c r="E481" s="360"/>
      <c r="F481" s="359" t="s">
        <v>1412</v>
      </c>
      <c r="G481" s="361">
        <v>5.9406335450018528E-6</v>
      </c>
      <c r="H481" s="359" t="s">
        <v>1589</v>
      </c>
      <c r="I481" s="361">
        <v>1.6228551902736849E-3</v>
      </c>
      <c r="J481" s="359" t="s">
        <v>1352</v>
      </c>
      <c r="K481" s="359" t="s">
        <v>1272</v>
      </c>
      <c r="M481" t="str">
        <f t="shared" si="8"/>
        <v>BENZO(G,H,I)PERYLENE</v>
      </c>
    </row>
    <row r="482" spans="1:13" x14ac:dyDescent="0.25">
      <c r="A482" s="359" t="s">
        <v>490</v>
      </c>
      <c r="B482" s="359" t="s">
        <v>1240</v>
      </c>
      <c r="C482" s="359" t="s">
        <v>1414</v>
      </c>
      <c r="D482" s="359" t="s">
        <v>1415</v>
      </c>
      <c r="E482" s="360"/>
      <c r="F482" s="359" t="s">
        <v>1412</v>
      </c>
      <c r="G482" s="361">
        <v>6.3004693639369675E-6</v>
      </c>
      <c r="H482" s="359" t="s">
        <v>1286</v>
      </c>
      <c r="I482" s="361">
        <v>0</v>
      </c>
      <c r="J482" s="359" t="s">
        <v>1414</v>
      </c>
      <c r="K482" s="359" t="s">
        <v>1272</v>
      </c>
      <c r="M482" t="str">
        <f t="shared" si="8"/>
        <v>BIPHENYL</v>
      </c>
    </row>
    <row r="483" spans="1:13" x14ac:dyDescent="0.25">
      <c r="A483" s="359" t="s">
        <v>490</v>
      </c>
      <c r="B483" s="359" t="s">
        <v>1240</v>
      </c>
      <c r="C483" s="359" t="s">
        <v>1276</v>
      </c>
      <c r="D483" s="359" t="s">
        <v>490</v>
      </c>
      <c r="E483" s="361">
        <v>33082.654421762069</v>
      </c>
      <c r="F483" s="359" t="s">
        <v>1412</v>
      </c>
      <c r="G483" s="361">
        <v>6.3004693639369675E-6</v>
      </c>
      <c r="H483" s="359" t="s">
        <v>490</v>
      </c>
      <c r="I483" s="361">
        <v>5.7105822099185138E-4</v>
      </c>
      <c r="J483" s="359" t="s">
        <v>1276</v>
      </c>
      <c r="K483" s="359" t="s">
        <v>1277</v>
      </c>
      <c r="M483" t="str">
        <f t="shared" si="8"/>
        <v>BOD, 5-day, 20 deg. C</v>
      </c>
    </row>
    <row r="484" spans="1:13" x14ac:dyDescent="0.25">
      <c r="A484" s="359" t="s">
        <v>1583</v>
      </c>
      <c r="B484" s="359" t="s">
        <v>689</v>
      </c>
      <c r="C484" s="359" t="s">
        <v>1276</v>
      </c>
      <c r="D484" s="359" t="s">
        <v>490</v>
      </c>
      <c r="E484" s="361">
        <v>39816.783607199999</v>
      </c>
      <c r="F484" s="359" t="s">
        <v>1412</v>
      </c>
      <c r="G484" s="361">
        <v>5.9406335450018528E-6</v>
      </c>
      <c r="H484" s="359" t="s">
        <v>490</v>
      </c>
      <c r="I484" s="361">
        <v>6.4804635712606071E-4</v>
      </c>
      <c r="J484" s="359" t="s">
        <v>1276</v>
      </c>
      <c r="K484" s="359" t="s">
        <v>1277</v>
      </c>
      <c r="M484" t="str">
        <f t="shared" si="8"/>
        <v>BOD, 5-day, 20 deg. C</v>
      </c>
    </row>
    <row r="485" spans="1:13" x14ac:dyDescent="0.25">
      <c r="A485" s="359" t="s">
        <v>1583</v>
      </c>
      <c r="B485" s="359" t="s">
        <v>689</v>
      </c>
      <c r="C485" s="359" t="s">
        <v>1354</v>
      </c>
      <c r="D485" s="359" t="s">
        <v>490</v>
      </c>
      <c r="E485" s="361">
        <v>20174.981798199999</v>
      </c>
      <c r="F485" s="359" t="s">
        <v>1412</v>
      </c>
      <c r="G485" s="361">
        <v>5.9406335450018528E-6</v>
      </c>
      <c r="H485" s="359" t="s">
        <v>490</v>
      </c>
      <c r="I485" s="361">
        <v>3.2836211956216086E-4</v>
      </c>
      <c r="J485" s="359" t="s">
        <v>1354</v>
      </c>
      <c r="K485" s="359" t="s">
        <v>1277</v>
      </c>
      <c r="M485" t="str">
        <f t="shared" si="8"/>
        <v>BOD, carbonaceous, 05 day, 20 C</v>
      </c>
    </row>
    <row r="486" spans="1:13" x14ac:dyDescent="0.25">
      <c r="A486" s="359" t="s">
        <v>490</v>
      </c>
      <c r="B486" s="359" t="s">
        <v>1240</v>
      </c>
      <c r="C486" s="359" t="s">
        <v>1278</v>
      </c>
      <c r="D486" s="359" t="s">
        <v>1279</v>
      </c>
      <c r="E486" s="361">
        <v>70994.501763640001</v>
      </c>
      <c r="F486" s="359" t="s">
        <v>1412</v>
      </c>
      <c r="G486" s="361">
        <v>6.3004693639369675E-6</v>
      </c>
      <c r="H486" s="359" t="s">
        <v>490</v>
      </c>
      <c r="I486" s="361">
        <v>1.22547584484872E-3</v>
      </c>
      <c r="J486" s="359" t="s">
        <v>1278</v>
      </c>
      <c r="K486" s="359" t="s">
        <v>1277</v>
      </c>
      <c r="M486" t="str">
        <f t="shared" si="8"/>
        <v>Carbon, tot organic (TOC)</v>
      </c>
    </row>
    <row r="487" spans="1:13" x14ac:dyDescent="0.25">
      <c r="A487" s="359" t="s">
        <v>1583</v>
      </c>
      <c r="B487" s="359" t="s">
        <v>689</v>
      </c>
      <c r="C487" s="359" t="s">
        <v>1457</v>
      </c>
      <c r="D487" s="359" t="s">
        <v>490</v>
      </c>
      <c r="E487" s="361">
        <v>501059.523843</v>
      </c>
      <c r="F487" s="359" t="s">
        <v>1412</v>
      </c>
      <c r="G487" s="361">
        <v>5.9406335450018528E-6</v>
      </c>
      <c r="H487" s="359" t="s">
        <v>490</v>
      </c>
      <c r="I487" s="361">
        <v>8.1550986722859764E-3</v>
      </c>
      <c r="J487" s="359" t="s">
        <v>1457</v>
      </c>
      <c r="K487" s="359" t="s">
        <v>1277</v>
      </c>
      <c r="M487" t="str">
        <f t="shared" si="8"/>
        <v>Chemical Oxygen Demand (COD)</v>
      </c>
    </row>
    <row r="488" spans="1:13" x14ac:dyDescent="0.25">
      <c r="A488" s="359" t="s">
        <v>1583</v>
      </c>
      <c r="B488" s="359" t="s">
        <v>689</v>
      </c>
      <c r="C488" s="359" t="s">
        <v>1416</v>
      </c>
      <c r="D488" s="359" t="s">
        <v>1417</v>
      </c>
      <c r="E488" s="361">
        <v>25.1962908</v>
      </c>
      <c r="F488" s="359" t="s">
        <v>1412</v>
      </c>
      <c r="G488" s="361">
        <v>5.9406335450018528E-6</v>
      </c>
      <c r="H488" s="359" t="s">
        <v>490</v>
      </c>
      <c r="I488" s="361">
        <v>4.1008748037288101E-7</v>
      </c>
      <c r="J488" s="359" t="s">
        <v>1418</v>
      </c>
      <c r="K488" s="359" t="s">
        <v>1277</v>
      </c>
      <c r="M488" t="str">
        <f t="shared" si="8"/>
        <v>CHLORINE</v>
      </c>
    </row>
    <row r="489" spans="1:13" x14ac:dyDescent="0.25">
      <c r="A489" s="359" t="s">
        <v>490</v>
      </c>
      <c r="B489" s="359" t="s">
        <v>1240</v>
      </c>
      <c r="C489" s="359" t="s">
        <v>1416</v>
      </c>
      <c r="D489" s="359" t="s">
        <v>1417</v>
      </c>
      <c r="E489" s="361">
        <v>1233.2719247</v>
      </c>
      <c r="F489" s="359" t="s">
        <v>1412</v>
      </c>
      <c r="G489" s="361">
        <v>6.3004693639369675E-6</v>
      </c>
      <c r="H489" s="359" t="s">
        <v>490</v>
      </c>
      <c r="I489" s="361">
        <v>2.1288197202673777E-5</v>
      </c>
      <c r="J489" s="359" t="s">
        <v>1418</v>
      </c>
      <c r="K489" s="359" t="s">
        <v>1277</v>
      </c>
      <c r="M489" t="str">
        <f t="shared" si="8"/>
        <v>CHLORINE</v>
      </c>
    </row>
    <row r="490" spans="1:13" x14ac:dyDescent="0.25">
      <c r="A490" s="359" t="s">
        <v>1583</v>
      </c>
      <c r="B490" s="359" t="s">
        <v>689</v>
      </c>
      <c r="C490" s="359" t="s">
        <v>1437</v>
      </c>
      <c r="D490" s="359" t="s">
        <v>1438</v>
      </c>
      <c r="E490" s="360"/>
      <c r="F490" s="359" t="s">
        <v>1412</v>
      </c>
      <c r="G490" s="361">
        <v>5.9406335450018528E-6</v>
      </c>
      <c r="H490" s="359" t="s">
        <v>1590</v>
      </c>
      <c r="I490" s="361">
        <v>7.3766145012440235E-2</v>
      </c>
      <c r="J490" s="359" t="s">
        <v>1437</v>
      </c>
      <c r="K490" s="359" t="s">
        <v>1272</v>
      </c>
      <c r="M490" t="str">
        <f t="shared" si="8"/>
        <v>CHROMIUM AND CHROMIUM COMPOUNDS</v>
      </c>
    </row>
    <row r="491" spans="1:13" x14ac:dyDescent="0.25">
      <c r="A491" s="359" t="s">
        <v>490</v>
      </c>
      <c r="B491" s="359" t="s">
        <v>1240</v>
      </c>
      <c r="C491" s="359" t="s">
        <v>1280</v>
      </c>
      <c r="D491" s="359" t="s">
        <v>1281</v>
      </c>
      <c r="E491" s="361">
        <v>32.557823129280003</v>
      </c>
      <c r="F491" s="359" t="s">
        <v>1412</v>
      </c>
      <c r="G491" s="361">
        <v>6.3004693639369675E-6</v>
      </c>
      <c r="H491" s="359" t="s">
        <v>490</v>
      </c>
      <c r="I491" s="361">
        <v>5.6199881419864946E-7</v>
      </c>
      <c r="J491" s="359" t="s">
        <v>1280</v>
      </c>
      <c r="K491" s="359" t="s">
        <v>1277</v>
      </c>
      <c r="M491" t="str">
        <f t="shared" si="8"/>
        <v>Chromium, hexavalent (as Cr)</v>
      </c>
    </row>
    <row r="492" spans="1:13" x14ac:dyDescent="0.25">
      <c r="A492" s="359" t="s">
        <v>1583</v>
      </c>
      <c r="B492" s="359" t="s">
        <v>689</v>
      </c>
      <c r="C492" s="359" t="s">
        <v>1280</v>
      </c>
      <c r="D492" s="359" t="s">
        <v>1281</v>
      </c>
      <c r="E492" s="361">
        <v>3.83075680468</v>
      </c>
      <c r="F492" s="359" t="s">
        <v>1412</v>
      </c>
      <c r="G492" s="361">
        <v>5.9406335450018528E-6</v>
      </c>
      <c r="H492" s="359" t="s">
        <v>490</v>
      </c>
      <c r="I492" s="361">
        <v>6.2348280483907177E-8</v>
      </c>
      <c r="J492" s="359" t="s">
        <v>1280</v>
      </c>
      <c r="K492" s="359" t="s">
        <v>1277</v>
      </c>
      <c r="M492" t="str">
        <f t="shared" si="8"/>
        <v>Chromium, hexavalent (as Cr)</v>
      </c>
    </row>
    <row r="493" spans="1:13" x14ac:dyDescent="0.25">
      <c r="A493" s="359" t="s">
        <v>490</v>
      </c>
      <c r="B493" s="359" t="s">
        <v>1240</v>
      </c>
      <c r="C493" s="359" t="s">
        <v>1282</v>
      </c>
      <c r="D493" s="359" t="s">
        <v>1283</v>
      </c>
      <c r="E493" s="361">
        <v>20.689342403669997</v>
      </c>
      <c r="F493" s="359" t="s">
        <v>1412</v>
      </c>
      <c r="G493" s="361">
        <v>6.3004693639369675E-6</v>
      </c>
      <c r="H493" s="359" t="s">
        <v>490</v>
      </c>
      <c r="I493" s="361">
        <v>3.571303232173283E-7</v>
      </c>
      <c r="J493" s="359" t="s">
        <v>1282</v>
      </c>
      <c r="K493" s="359" t="s">
        <v>1277</v>
      </c>
      <c r="M493" t="str">
        <f t="shared" si="8"/>
        <v>Chromium, total (as Cr)</v>
      </c>
    </row>
    <row r="494" spans="1:13" x14ac:dyDescent="0.25">
      <c r="A494" s="359" t="s">
        <v>1583</v>
      </c>
      <c r="B494" s="359" t="s">
        <v>689</v>
      </c>
      <c r="C494" s="359" t="s">
        <v>1282</v>
      </c>
      <c r="D494" s="359" t="s">
        <v>1283</v>
      </c>
      <c r="E494" s="361">
        <v>89.448652129599992</v>
      </c>
      <c r="F494" s="359" t="s">
        <v>1412</v>
      </c>
      <c r="G494" s="361">
        <v>5.9406335450018528E-6</v>
      </c>
      <c r="H494" s="359" t="s">
        <v>490</v>
      </c>
      <c r="I494" s="361">
        <v>1.4558401736885017E-6</v>
      </c>
      <c r="J494" s="359" t="s">
        <v>1282</v>
      </c>
      <c r="K494" s="359" t="s">
        <v>1277</v>
      </c>
      <c r="M494" t="str">
        <f t="shared" si="8"/>
        <v>Chromium, total (as Cr)</v>
      </c>
    </row>
    <row r="495" spans="1:13" x14ac:dyDescent="0.25">
      <c r="A495" s="359" t="s">
        <v>490</v>
      </c>
      <c r="B495" s="359" t="s">
        <v>1240</v>
      </c>
      <c r="C495" s="359" t="s">
        <v>1485</v>
      </c>
      <c r="D495" s="359" t="s">
        <v>1486</v>
      </c>
      <c r="E495" s="360"/>
      <c r="F495" s="359" t="s">
        <v>1412</v>
      </c>
      <c r="G495" s="361">
        <v>6.3004693639369675E-6</v>
      </c>
      <c r="H495" s="359" t="s">
        <v>1591</v>
      </c>
      <c r="I495" s="361">
        <v>1.0178729870069999E-6</v>
      </c>
      <c r="J495" s="359" t="s">
        <v>1485</v>
      </c>
      <c r="K495" s="359" t="s">
        <v>1272</v>
      </c>
      <c r="M495" t="str">
        <f t="shared" si="8"/>
        <v>COBALT AND COBALT COMPOUNDS</v>
      </c>
    </row>
    <row r="496" spans="1:13" x14ac:dyDescent="0.25">
      <c r="A496" s="359" t="s">
        <v>490</v>
      </c>
      <c r="B496" s="359" t="s">
        <v>1240</v>
      </c>
      <c r="C496" s="359" t="s">
        <v>1467</v>
      </c>
      <c r="D496" s="359" t="s">
        <v>1441</v>
      </c>
      <c r="E496" s="361">
        <v>485.59663988560004</v>
      </c>
      <c r="F496" s="359" t="s">
        <v>1412</v>
      </c>
      <c r="G496" s="361">
        <v>6.3004693639369675E-6</v>
      </c>
      <c r="H496" s="359" t="s">
        <v>490</v>
      </c>
      <c r="I496" s="361">
        <v>8.3821554872053563E-6</v>
      </c>
      <c r="J496" s="359" t="s">
        <v>1467</v>
      </c>
      <c r="K496" s="359" t="s">
        <v>1277</v>
      </c>
      <c r="M496" t="str">
        <f t="shared" si="8"/>
        <v>Copper, total (as Cu)</v>
      </c>
    </row>
    <row r="497" spans="1:13" x14ac:dyDescent="0.25">
      <c r="A497" s="359" t="s">
        <v>490</v>
      </c>
      <c r="B497" s="359" t="s">
        <v>1240</v>
      </c>
      <c r="C497" s="359" t="s">
        <v>1284</v>
      </c>
      <c r="D497" s="359" t="s">
        <v>1285</v>
      </c>
      <c r="E497" s="360"/>
      <c r="F497" s="359" t="s">
        <v>1412</v>
      </c>
      <c r="G497" s="361">
        <v>6.3004693639369675E-6</v>
      </c>
      <c r="H497" s="359" t="s">
        <v>1592</v>
      </c>
      <c r="I497" s="361">
        <v>2.3489376623238461E-7</v>
      </c>
      <c r="J497" s="359" t="s">
        <v>1287</v>
      </c>
      <c r="K497" s="359" t="s">
        <v>1272</v>
      </c>
      <c r="M497" t="str">
        <f t="shared" si="8"/>
        <v>ISOPROPYLBENZENE</v>
      </c>
    </row>
    <row r="498" spans="1:13" x14ac:dyDescent="0.25">
      <c r="A498" s="359" t="s">
        <v>490</v>
      </c>
      <c r="B498" s="359" t="s">
        <v>1240</v>
      </c>
      <c r="C498" s="359" t="s">
        <v>1593</v>
      </c>
      <c r="D498" s="359" t="s">
        <v>1544</v>
      </c>
      <c r="E498" s="361">
        <v>0</v>
      </c>
      <c r="F498" s="359" t="s">
        <v>1412</v>
      </c>
      <c r="G498" s="361">
        <v>6.3004693639369675E-6</v>
      </c>
      <c r="H498" s="359" t="s">
        <v>490</v>
      </c>
      <c r="I498" s="361">
        <v>0</v>
      </c>
      <c r="J498" s="359" t="s">
        <v>1593</v>
      </c>
      <c r="K498" s="359" t="s">
        <v>1277</v>
      </c>
      <c r="M498" t="str">
        <f t="shared" si="8"/>
        <v>Cyanide, free (amen. to chlorination)</v>
      </c>
    </row>
    <row r="499" spans="1:13" x14ac:dyDescent="0.25">
      <c r="A499" s="359" t="s">
        <v>1583</v>
      </c>
      <c r="B499" s="359" t="s">
        <v>689</v>
      </c>
      <c r="C499" s="359" t="s">
        <v>1543</v>
      </c>
      <c r="D499" s="359" t="s">
        <v>1544</v>
      </c>
      <c r="E499" s="361">
        <v>52.395618154399997</v>
      </c>
      <c r="F499" s="359" t="s">
        <v>1412</v>
      </c>
      <c r="G499" s="361">
        <v>5.9406335450018528E-6</v>
      </c>
      <c r="H499" s="359" t="s">
        <v>490</v>
      </c>
      <c r="I499" s="361">
        <v>8.5277579950448403E-7</v>
      </c>
      <c r="J499" s="359" t="s">
        <v>1543</v>
      </c>
      <c r="K499" s="359" t="s">
        <v>1277</v>
      </c>
      <c r="M499" t="str">
        <f t="shared" si="8"/>
        <v>Cyanide, total (as CN)</v>
      </c>
    </row>
    <row r="500" spans="1:13" x14ac:dyDescent="0.25">
      <c r="A500" s="359" t="s">
        <v>490</v>
      </c>
      <c r="B500" s="359" t="s">
        <v>1240</v>
      </c>
      <c r="C500" s="359" t="s">
        <v>1543</v>
      </c>
      <c r="D500" s="359" t="s">
        <v>1544</v>
      </c>
      <c r="E500" s="361">
        <v>5.6825396825399999</v>
      </c>
      <c r="F500" s="359" t="s">
        <v>1412</v>
      </c>
      <c r="G500" s="361">
        <v>6.3004693639369675E-6</v>
      </c>
      <c r="H500" s="359" t="s">
        <v>490</v>
      </c>
      <c r="I500" s="361">
        <v>9.8089499121094169E-8</v>
      </c>
      <c r="J500" s="359" t="s">
        <v>1543</v>
      </c>
      <c r="K500" s="359" t="s">
        <v>1277</v>
      </c>
      <c r="M500" t="str">
        <f t="shared" si="8"/>
        <v>Cyanide, total (as CN)</v>
      </c>
    </row>
    <row r="501" spans="1:13" x14ac:dyDescent="0.25">
      <c r="A501" s="359" t="s">
        <v>1583</v>
      </c>
      <c r="B501" s="359" t="s">
        <v>689</v>
      </c>
      <c r="C501" s="359" t="s">
        <v>1291</v>
      </c>
      <c r="D501" s="359" t="s">
        <v>1292</v>
      </c>
      <c r="E501" s="360"/>
      <c r="F501" s="359" t="s">
        <v>1412</v>
      </c>
      <c r="G501" s="361">
        <v>5.9406335450018528E-6</v>
      </c>
      <c r="H501" s="359" t="s">
        <v>1590</v>
      </c>
      <c r="I501" s="361">
        <v>7.3766145012440235E-2</v>
      </c>
      <c r="J501" s="359" t="s">
        <v>1291</v>
      </c>
      <c r="K501" s="359" t="s">
        <v>1272</v>
      </c>
      <c r="M501" t="str">
        <f t="shared" si="8"/>
        <v>CYCLOHEXANE</v>
      </c>
    </row>
    <row r="502" spans="1:13" x14ac:dyDescent="0.25">
      <c r="A502" s="359" t="s">
        <v>490</v>
      </c>
      <c r="B502" s="359" t="s">
        <v>1240</v>
      </c>
      <c r="C502" s="359" t="s">
        <v>1293</v>
      </c>
      <c r="D502" s="359" t="s">
        <v>1294</v>
      </c>
      <c r="E502" s="360"/>
      <c r="F502" s="359" t="s">
        <v>1412</v>
      </c>
      <c r="G502" s="361">
        <v>6.3004693639369675E-6</v>
      </c>
      <c r="H502" s="359" t="s">
        <v>1594</v>
      </c>
      <c r="I502" s="361">
        <v>7.8642432934602363E-5</v>
      </c>
      <c r="J502" s="359" t="s">
        <v>1293</v>
      </c>
      <c r="K502" s="359" t="s">
        <v>1272</v>
      </c>
      <c r="M502" t="str">
        <f t="shared" si="8"/>
        <v>DIETHANOLAMINE</v>
      </c>
    </row>
    <row r="503" spans="1:13" x14ac:dyDescent="0.25">
      <c r="A503" s="359" t="s">
        <v>1583</v>
      </c>
      <c r="B503" s="359" t="s">
        <v>689</v>
      </c>
      <c r="C503" s="359" t="s">
        <v>1295</v>
      </c>
      <c r="D503" s="359" t="s">
        <v>1296</v>
      </c>
      <c r="E503" s="360"/>
      <c r="F503" s="359" t="s">
        <v>1412</v>
      </c>
      <c r="G503" s="361">
        <v>5.9406335450018528E-6</v>
      </c>
      <c r="H503" s="359" t="s">
        <v>1487</v>
      </c>
      <c r="I503" s="361">
        <v>3.7374846806303048E-2</v>
      </c>
      <c r="J503" s="359" t="s">
        <v>1295</v>
      </c>
      <c r="K503" s="359" t="s">
        <v>1272</v>
      </c>
      <c r="M503" t="str">
        <f t="shared" si="8"/>
        <v>ETHYLBENZENE</v>
      </c>
    </row>
    <row r="504" spans="1:13" x14ac:dyDescent="0.25">
      <c r="A504" s="359" t="s">
        <v>490</v>
      </c>
      <c r="B504" s="359" t="s">
        <v>1240</v>
      </c>
      <c r="C504" s="359" t="s">
        <v>1367</v>
      </c>
      <c r="D504" s="359" t="s">
        <v>1368</v>
      </c>
      <c r="E504" s="360"/>
      <c r="F504" s="359" t="s">
        <v>1412</v>
      </c>
      <c r="G504" s="361">
        <v>6.3004693639369675E-6</v>
      </c>
      <c r="H504" s="359" t="s">
        <v>1595</v>
      </c>
      <c r="I504" s="361">
        <v>4.5647688571160078E-6</v>
      </c>
      <c r="J504" s="359" t="s">
        <v>1367</v>
      </c>
      <c r="K504" s="359" t="s">
        <v>1272</v>
      </c>
      <c r="M504" t="str">
        <f t="shared" si="8"/>
        <v>ETHYLENE GLYCOL</v>
      </c>
    </row>
    <row r="505" spans="1:13" x14ac:dyDescent="0.25">
      <c r="A505" s="359" t="s">
        <v>1583</v>
      </c>
      <c r="B505" s="359" t="s">
        <v>689</v>
      </c>
      <c r="C505" s="359" t="s">
        <v>1596</v>
      </c>
      <c r="D505" s="359" t="s">
        <v>1597</v>
      </c>
      <c r="E505" s="361">
        <v>16402.584542199998</v>
      </c>
      <c r="F505" s="359" t="s">
        <v>1412</v>
      </c>
      <c r="G505" s="361">
        <v>5.9406335450018528E-6</v>
      </c>
      <c r="H505" s="359" t="s">
        <v>490</v>
      </c>
      <c r="I505" s="361">
        <v>2.6696368207156757E-4</v>
      </c>
      <c r="J505" s="359" t="s">
        <v>1596</v>
      </c>
      <c r="K505" s="359" t="s">
        <v>1277</v>
      </c>
      <c r="M505" t="str">
        <f t="shared" si="8"/>
        <v>Fluoride, total (as F)</v>
      </c>
    </row>
    <row r="506" spans="1:13" x14ac:dyDescent="0.25">
      <c r="A506" s="359" t="s">
        <v>490</v>
      </c>
      <c r="B506" s="359" t="s">
        <v>1240</v>
      </c>
      <c r="C506" s="359" t="s">
        <v>1596</v>
      </c>
      <c r="D506" s="359" t="s">
        <v>1597</v>
      </c>
      <c r="E506" s="361">
        <v>16894.847444430001</v>
      </c>
      <c r="F506" s="359" t="s">
        <v>1412</v>
      </c>
      <c r="G506" s="361">
        <v>6.3004693639369675E-6</v>
      </c>
      <c r="H506" s="359" t="s">
        <v>490</v>
      </c>
      <c r="I506" s="361">
        <v>2.916314211836164E-4</v>
      </c>
      <c r="J506" s="359" t="s">
        <v>1596</v>
      </c>
      <c r="K506" s="359" t="s">
        <v>1277</v>
      </c>
      <c r="M506" t="str">
        <f t="shared" si="8"/>
        <v>Fluoride, total (as F)</v>
      </c>
    </row>
    <row r="507" spans="1:13" x14ac:dyDescent="0.25">
      <c r="A507" s="359" t="s">
        <v>490</v>
      </c>
      <c r="B507" s="359" t="s">
        <v>1240</v>
      </c>
      <c r="C507" s="359" t="s">
        <v>1431</v>
      </c>
      <c r="D507" s="359" t="s">
        <v>1298</v>
      </c>
      <c r="E507" s="361">
        <v>5.9546485260799997</v>
      </c>
      <c r="F507" s="359" t="s">
        <v>1412</v>
      </c>
      <c r="G507" s="361">
        <v>6.3004693639369675E-6</v>
      </c>
      <c r="H507" s="359" t="s">
        <v>490</v>
      </c>
      <c r="I507" s="361">
        <v>1.0278652222350536E-7</v>
      </c>
      <c r="J507" s="359" t="s">
        <v>1431</v>
      </c>
      <c r="K507" s="359" t="s">
        <v>1277</v>
      </c>
      <c r="M507" t="str">
        <f t="shared" si="8"/>
        <v>Lead, total (as Pb)</v>
      </c>
    </row>
    <row r="508" spans="1:13" x14ac:dyDescent="0.25">
      <c r="A508" s="359" t="s">
        <v>1583</v>
      </c>
      <c r="B508" s="359" t="s">
        <v>689</v>
      </c>
      <c r="C508" s="359" t="s">
        <v>1300</v>
      </c>
      <c r="D508" s="359" t="s">
        <v>1301</v>
      </c>
      <c r="E508" s="360"/>
      <c r="F508" s="359" t="s">
        <v>1412</v>
      </c>
      <c r="G508" s="361">
        <v>5.9406335450018528E-6</v>
      </c>
      <c r="H508" s="359" t="s">
        <v>1598</v>
      </c>
      <c r="I508" s="361">
        <v>1.5245003302570982E-3</v>
      </c>
      <c r="J508" s="359" t="s">
        <v>1300</v>
      </c>
      <c r="K508" s="359" t="s">
        <v>1272</v>
      </c>
      <c r="M508" t="str">
        <f t="shared" si="8"/>
        <v>MERCURY AND MERCURY COMPOUNDS</v>
      </c>
    </row>
    <row r="509" spans="1:13" x14ac:dyDescent="0.25">
      <c r="A509" s="359" t="s">
        <v>490</v>
      </c>
      <c r="B509" s="359" t="s">
        <v>1240</v>
      </c>
      <c r="C509" s="359" t="s">
        <v>1468</v>
      </c>
      <c r="D509" s="359" t="s">
        <v>1459</v>
      </c>
      <c r="E509" s="361">
        <v>0</v>
      </c>
      <c r="F509" s="359" t="s">
        <v>1412</v>
      </c>
      <c r="G509" s="361">
        <v>6.3004693639369675E-6</v>
      </c>
      <c r="H509" s="359" t="s">
        <v>490</v>
      </c>
      <c r="I509" s="361">
        <v>0</v>
      </c>
      <c r="J509" s="359" t="s">
        <v>1468</v>
      </c>
      <c r="K509" s="359" t="s">
        <v>1277</v>
      </c>
      <c r="M509" t="str">
        <f t="shared" si="8"/>
        <v>Mercury, total (as Hg)</v>
      </c>
    </row>
    <row r="510" spans="1:13" x14ac:dyDescent="0.25">
      <c r="A510" s="359" t="s">
        <v>490</v>
      </c>
      <c r="B510" s="359" t="s">
        <v>1240</v>
      </c>
      <c r="C510" s="359" t="s">
        <v>1375</v>
      </c>
      <c r="D510" s="359" t="s">
        <v>1376</v>
      </c>
      <c r="E510" s="360"/>
      <c r="F510" s="359" t="s">
        <v>1412</v>
      </c>
      <c r="G510" s="361">
        <v>6.3004693639369675E-6</v>
      </c>
      <c r="H510" s="359" t="s">
        <v>1473</v>
      </c>
      <c r="I510" s="361">
        <v>2.3489376623238462E-8</v>
      </c>
      <c r="J510" s="359" t="s">
        <v>1375</v>
      </c>
      <c r="K510" s="359" t="s">
        <v>1272</v>
      </c>
      <c r="M510" t="str">
        <f t="shared" si="8"/>
        <v>METHANOL</v>
      </c>
    </row>
    <row r="511" spans="1:13" x14ac:dyDescent="0.25">
      <c r="A511" s="359" t="s">
        <v>1583</v>
      </c>
      <c r="B511" s="359" t="s">
        <v>689</v>
      </c>
      <c r="C511" s="359" t="s">
        <v>1381</v>
      </c>
      <c r="D511" s="359" t="s">
        <v>1382</v>
      </c>
      <c r="E511" s="360"/>
      <c r="F511" s="359" t="s">
        <v>1412</v>
      </c>
      <c r="G511" s="361">
        <v>5.9406335450018528E-6</v>
      </c>
      <c r="H511" s="359" t="s">
        <v>1599</v>
      </c>
      <c r="I511" s="361">
        <v>0.52324785528824269</v>
      </c>
      <c r="J511" s="359" t="s">
        <v>1381</v>
      </c>
      <c r="K511" s="359" t="s">
        <v>1272</v>
      </c>
      <c r="M511" t="str">
        <f t="shared" si="8"/>
        <v>MOLYBDENUM TRIOXIDE</v>
      </c>
    </row>
    <row r="512" spans="1:13" x14ac:dyDescent="0.25">
      <c r="A512" s="359" t="s">
        <v>490</v>
      </c>
      <c r="B512" s="359" t="s">
        <v>1240</v>
      </c>
      <c r="C512" s="359" t="s">
        <v>1565</v>
      </c>
      <c r="D512" s="359" t="s">
        <v>1566</v>
      </c>
      <c r="E512" s="360"/>
      <c r="F512" s="359" t="s">
        <v>1412</v>
      </c>
      <c r="G512" s="361">
        <v>6.3004693639369675E-6</v>
      </c>
      <c r="H512" s="359" t="s">
        <v>1286</v>
      </c>
      <c r="I512" s="361">
        <v>0</v>
      </c>
      <c r="J512" s="359" t="s">
        <v>1565</v>
      </c>
      <c r="K512" s="359" t="s">
        <v>1272</v>
      </c>
      <c r="M512" t="str">
        <f t="shared" si="8"/>
        <v>M-XYLENE</v>
      </c>
    </row>
    <row r="513" spans="1:13" x14ac:dyDescent="0.25">
      <c r="A513" s="359" t="s">
        <v>1583</v>
      </c>
      <c r="B513" s="359" t="s">
        <v>689</v>
      </c>
      <c r="C513" s="359" t="s">
        <v>1303</v>
      </c>
      <c r="D513" s="359" t="s">
        <v>1304</v>
      </c>
      <c r="E513" s="360"/>
      <c r="F513" s="359" t="s">
        <v>1412</v>
      </c>
      <c r="G513" s="361">
        <v>5.9406335450018528E-6</v>
      </c>
      <c r="H513" s="359" t="s">
        <v>1487</v>
      </c>
      <c r="I513" s="361">
        <v>3.7374846806303048E-2</v>
      </c>
      <c r="J513" s="359" t="s">
        <v>1303</v>
      </c>
      <c r="K513" s="359" t="s">
        <v>1272</v>
      </c>
      <c r="M513" t="str">
        <f t="shared" si="8"/>
        <v>NAPHTHALENE</v>
      </c>
    </row>
    <row r="514" spans="1:13" x14ac:dyDescent="0.25">
      <c r="A514" s="359" t="s">
        <v>1583</v>
      </c>
      <c r="B514" s="359" t="s">
        <v>689</v>
      </c>
      <c r="C514" s="359" t="s">
        <v>1305</v>
      </c>
      <c r="D514" s="359" t="s">
        <v>1306</v>
      </c>
      <c r="E514" s="360"/>
      <c r="F514" s="359" t="s">
        <v>1412</v>
      </c>
      <c r="G514" s="361">
        <v>5.9406335450018528E-6</v>
      </c>
      <c r="H514" s="359" t="s">
        <v>1487</v>
      </c>
      <c r="I514" s="361">
        <v>3.7374846806303048E-2</v>
      </c>
      <c r="J514" s="359" t="s">
        <v>1305</v>
      </c>
      <c r="K514" s="359" t="s">
        <v>1272</v>
      </c>
      <c r="M514" t="str">
        <f t="shared" si="8"/>
        <v>N-HEXANE</v>
      </c>
    </row>
    <row r="515" spans="1:13" x14ac:dyDescent="0.25">
      <c r="A515" s="359" t="s">
        <v>1583</v>
      </c>
      <c r="B515" s="359" t="s">
        <v>689</v>
      </c>
      <c r="C515" s="359" t="s">
        <v>1384</v>
      </c>
      <c r="D515" s="359" t="s">
        <v>1385</v>
      </c>
      <c r="E515" s="360"/>
      <c r="F515" s="359" t="s">
        <v>1412</v>
      </c>
      <c r="G515" s="361">
        <v>5.9406335450018528E-6</v>
      </c>
      <c r="H515" s="359" t="s">
        <v>1600</v>
      </c>
      <c r="I515" s="361">
        <v>0.1593348732268709</v>
      </c>
      <c r="J515" s="359" t="s">
        <v>1384</v>
      </c>
      <c r="K515" s="359" t="s">
        <v>1272</v>
      </c>
      <c r="M515" t="str">
        <f t="shared" si="8"/>
        <v>NICKEL AND NICKEL COMPOUNDS</v>
      </c>
    </row>
    <row r="516" spans="1:13" x14ac:dyDescent="0.25">
      <c r="A516" s="359" t="s">
        <v>1583</v>
      </c>
      <c r="B516" s="359" t="s">
        <v>689</v>
      </c>
      <c r="C516" s="359" t="s">
        <v>1307</v>
      </c>
      <c r="D516" s="359" t="s">
        <v>1308</v>
      </c>
      <c r="E516" s="360"/>
      <c r="F516" s="359" t="s">
        <v>1412</v>
      </c>
      <c r="G516" s="361">
        <v>5.9406335450018528E-6</v>
      </c>
      <c r="H516" s="359" t="s">
        <v>1601</v>
      </c>
      <c r="I516" s="361">
        <v>5.3239485726978533</v>
      </c>
      <c r="J516" s="359" t="s">
        <v>1310</v>
      </c>
      <c r="K516" s="359" t="s">
        <v>1272</v>
      </c>
      <c r="M516" t="str">
        <f t="shared" si="8"/>
        <v>NITRATE</v>
      </c>
    </row>
    <row r="517" spans="1:13" x14ac:dyDescent="0.25">
      <c r="A517" s="359" t="s">
        <v>490</v>
      </c>
      <c r="B517" s="359" t="s">
        <v>1240</v>
      </c>
      <c r="C517" s="359" t="s">
        <v>1311</v>
      </c>
      <c r="D517" s="359" t="s">
        <v>1312</v>
      </c>
      <c r="E517" s="361">
        <v>7923.5464852592004</v>
      </c>
      <c r="F517" s="359" t="s">
        <v>1412</v>
      </c>
      <c r="G517" s="361">
        <v>6.3004693639369675E-6</v>
      </c>
      <c r="H517" s="359" t="s">
        <v>490</v>
      </c>
      <c r="I517" s="361">
        <v>1.36772772285222E-4</v>
      </c>
      <c r="J517" s="359" t="s">
        <v>1313</v>
      </c>
      <c r="K517" s="359" t="s">
        <v>1277</v>
      </c>
      <c r="M517" t="str">
        <f t="shared" si="8"/>
        <v>AMMONIA</v>
      </c>
    </row>
    <row r="518" spans="1:13" x14ac:dyDescent="0.25">
      <c r="A518" s="359" t="s">
        <v>1583</v>
      </c>
      <c r="B518" s="359" t="s">
        <v>689</v>
      </c>
      <c r="C518" s="359" t="s">
        <v>1311</v>
      </c>
      <c r="D518" s="359" t="s">
        <v>1312</v>
      </c>
      <c r="E518" s="361">
        <v>6166.8530200000005</v>
      </c>
      <c r="F518" s="359" t="s">
        <v>1412</v>
      </c>
      <c r="G518" s="361">
        <v>5.9406335450018528E-6</v>
      </c>
      <c r="H518" s="359" t="s">
        <v>490</v>
      </c>
      <c r="I518" s="361">
        <v>1.0036990114440543E-4</v>
      </c>
      <c r="J518" s="359" t="s">
        <v>1313</v>
      </c>
      <c r="K518" s="359" t="s">
        <v>1277</v>
      </c>
      <c r="M518" t="str">
        <f t="shared" ref="M518:M581" si="9">IF(J518="",C518,J518)</f>
        <v>AMMONIA</v>
      </c>
    </row>
    <row r="519" spans="1:13" x14ac:dyDescent="0.25">
      <c r="A519" s="359" t="s">
        <v>490</v>
      </c>
      <c r="B519" s="359" t="s">
        <v>1240</v>
      </c>
      <c r="C519" s="359" t="s">
        <v>1341</v>
      </c>
      <c r="D519" s="359" t="s">
        <v>490</v>
      </c>
      <c r="E519" s="361">
        <v>46525.879519115995</v>
      </c>
      <c r="F519" s="359" t="s">
        <v>1412</v>
      </c>
      <c r="G519" s="361">
        <v>6.3004693639369675E-6</v>
      </c>
      <c r="H519" s="359" t="s">
        <v>490</v>
      </c>
      <c r="I519" s="361">
        <v>8.0310925627510344E-4</v>
      </c>
      <c r="J519" s="359" t="s">
        <v>1341</v>
      </c>
      <c r="K519" s="359" t="s">
        <v>1277</v>
      </c>
      <c r="M519" t="str">
        <f t="shared" si="9"/>
        <v>Oil &amp; grease</v>
      </c>
    </row>
    <row r="520" spans="1:13" x14ac:dyDescent="0.25">
      <c r="A520" s="359" t="s">
        <v>1583</v>
      </c>
      <c r="B520" s="359" t="s">
        <v>689</v>
      </c>
      <c r="C520" s="359" t="s">
        <v>1341</v>
      </c>
      <c r="D520" s="359" t="s">
        <v>490</v>
      </c>
      <c r="E520" s="361">
        <v>24234.9310491</v>
      </c>
      <c r="F520" s="359" t="s">
        <v>1412</v>
      </c>
      <c r="G520" s="361">
        <v>5.9406335450018528E-6</v>
      </c>
      <c r="H520" s="359" t="s">
        <v>490</v>
      </c>
      <c r="I520" s="361">
        <v>3.9444066945504215E-4</v>
      </c>
      <c r="J520" s="359" t="s">
        <v>1341</v>
      </c>
      <c r="K520" s="359" t="s">
        <v>1277</v>
      </c>
      <c r="M520" t="str">
        <f t="shared" si="9"/>
        <v>Oil &amp; grease</v>
      </c>
    </row>
    <row r="521" spans="1:13" x14ac:dyDescent="0.25">
      <c r="A521" s="359" t="s">
        <v>490</v>
      </c>
      <c r="B521" s="359" t="s">
        <v>1240</v>
      </c>
      <c r="C521" s="359" t="s">
        <v>1457</v>
      </c>
      <c r="D521" s="359" t="s">
        <v>490</v>
      </c>
      <c r="E521" s="361">
        <v>2996672.3420353997</v>
      </c>
      <c r="F521" s="359" t="s">
        <v>1412</v>
      </c>
      <c r="G521" s="361">
        <v>6.3004693639369675E-6</v>
      </c>
      <c r="H521" s="359" t="s">
        <v>490</v>
      </c>
      <c r="I521" s="361">
        <v>5.1727239136304871E-2</v>
      </c>
      <c r="J521" s="359" t="s">
        <v>1457</v>
      </c>
      <c r="K521" s="359" t="s">
        <v>1277</v>
      </c>
      <c r="M521" t="str">
        <f t="shared" si="9"/>
        <v>Chemical Oxygen Demand (COD)</v>
      </c>
    </row>
    <row r="522" spans="1:13" x14ac:dyDescent="0.25">
      <c r="A522" s="359" t="s">
        <v>490</v>
      </c>
      <c r="B522" s="359" t="s">
        <v>1240</v>
      </c>
      <c r="C522" s="359" t="s">
        <v>1568</v>
      </c>
      <c r="D522" s="359" t="s">
        <v>1569</v>
      </c>
      <c r="E522" s="360"/>
      <c r="F522" s="359" t="s">
        <v>1412</v>
      </c>
      <c r="G522" s="361">
        <v>6.3004693639369675E-6</v>
      </c>
      <c r="H522" s="359" t="s">
        <v>1286</v>
      </c>
      <c r="I522" s="361">
        <v>0</v>
      </c>
      <c r="J522" s="359" t="s">
        <v>1568</v>
      </c>
      <c r="K522" s="359" t="s">
        <v>1272</v>
      </c>
      <c r="M522" t="str">
        <f t="shared" si="9"/>
        <v>O-XYLENE</v>
      </c>
    </row>
    <row r="523" spans="1:13" x14ac:dyDescent="0.25">
      <c r="A523" s="359" t="s">
        <v>1583</v>
      </c>
      <c r="B523" s="359" t="s">
        <v>689</v>
      </c>
      <c r="C523" s="359" t="s">
        <v>1315</v>
      </c>
      <c r="D523" s="359" t="s">
        <v>1316</v>
      </c>
      <c r="E523" s="360"/>
      <c r="F523" s="359" t="s">
        <v>1412</v>
      </c>
      <c r="G523" s="361">
        <v>5.9406335450018528E-6</v>
      </c>
      <c r="H523" s="359" t="s">
        <v>1602</v>
      </c>
      <c r="I523" s="361">
        <v>0.19375907423267633</v>
      </c>
      <c r="J523" s="359" t="s">
        <v>1315</v>
      </c>
      <c r="K523" s="359" t="s">
        <v>1272</v>
      </c>
      <c r="M523" t="str">
        <f t="shared" si="9"/>
        <v>PHENOL</v>
      </c>
    </row>
    <row r="524" spans="1:13" x14ac:dyDescent="0.25">
      <c r="A524" s="359" t="s">
        <v>490</v>
      </c>
      <c r="B524" s="359" t="s">
        <v>1240</v>
      </c>
      <c r="C524" s="359" t="s">
        <v>1391</v>
      </c>
      <c r="D524" s="359" t="s">
        <v>490</v>
      </c>
      <c r="E524" s="361">
        <v>2.72108843537</v>
      </c>
      <c r="F524" s="359" t="s">
        <v>1412</v>
      </c>
      <c r="G524" s="361">
        <v>6.3004693639369675E-6</v>
      </c>
      <c r="H524" s="359" t="s">
        <v>490</v>
      </c>
      <c r="I524" s="361">
        <v>4.6970231023594143E-8</v>
      </c>
      <c r="J524" s="359" t="s">
        <v>1391</v>
      </c>
      <c r="K524" s="359" t="s">
        <v>1277</v>
      </c>
      <c r="M524" t="str">
        <f t="shared" si="9"/>
        <v>Phenolic compounds, total</v>
      </c>
    </row>
    <row r="525" spans="1:13" x14ac:dyDescent="0.25">
      <c r="A525" s="359" t="s">
        <v>490</v>
      </c>
      <c r="B525" s="359" t="s">
        <v>1240</v>
      </c>
      <c r="C525" s="359" t="s">
        <v>1318</v>
      </c>
      <c r="D525" s="359" t="s">
        <v>490</v>
      </c>
      <c r="E525" s="361">
        <v>6.5029478457999996</v>
      </c>
      <c r="F525" s="359" t="s">
        <v>1412</v>
      </c>
      <c r="G525" s="361">
        <v>6.3004693639369675E-6</v>
      </c>
      <c r="H525" s="359" t="s">
        <v>490</v>
      </c>
      <c r="I525" s="361">
        <v>1.122510237746378E-7</v>
      </c>
      <c r="J525" s="359" t="s">
        <v>1318</v>
      </c>
      <c r="K525" s="359" t="s">
        <v>1277</v>
      </c>
      <c r="M525" t="str">
        <f t="shared" si="9"/>
        <v>Phenolics, total recoverable</v>
      </c>
    </row>
    <row r="526" spans="1:13" x14ac:dyDescent="0.25">
      <c r="A526" s="359" t="s">
        <v>1583</v>
      </c>
      <c r="B526" s="359" t="s">
        <v>689</v>
      </c>
      <c r="C526" s="359" t="s">
        <v>1318</v>
      </c>
      <c r="D526" s="359" t="s">
        <v>490</v>
      </c>
      <c r="E526" s="361">
        <v>77.440408873300001</v>
      </c>
      <c r="F526" s="359" t="s">
        <v>1412</v>
      </c>
      <c r="G526" s="361">
        <v>5.9406335450018528E-6</v>
      </c>
      <c r="H526" s="359" t="s">
        <v>490</v>
      </c>
      <c r="I526" s="361">
        <v>1.2603975087435208E-6</v>
      </c>
      <c r="J526" s="359" t="s">
        <v>1318</v>
      </c>
      <c r="K526" s="359" t="s">
        <v>1277</v>
      </c>
      <c r="M526" t="str">
        <f t="shared" si="9"/>
        <v>Phenolics, total recoverable</v>
      </c>
    </row>
    <row r="527" spans="1:13" x14ac:dyDescent="0.25">
      <c r="A527" s="359" t="s">
        <v>490</v>
      </c>
      <c r="B527" s="359" t="s">
        <v>1240</v>
      </c>
      <c r="C527" s="359" t="s">
        <v>1482</v>
      </c>
      <c r="D527" s="359" t="s">
        <v>490</v>
      </c>
      <c r="E527" s="361">
        <v>44.06802721092</v>
      </c>
      <c r="F527" s="359" t="s">
        <v>1412</v>
      </c>
      <c r="G527" s="361">
        <v>6.3004693639369675E-6</v>
      </c>
      <c r="H527" s="359" t="s">
        <v>490</v>
      </c>
      <c r="I527" s="361">
        <v>7.6068289142888249E-7</v>
      </c>
      <c r="J527" s="359" t="s">
        <v>1482</v>
      </c>
      <c r="K527" s="359" t="s">
        <v>1277</v>
      </c>
      <c r="M527" t="str">
        <f t="shared" si="9"/>
        <v>Phenols</v>
      </c>
    </row>
    <row r="528" spans="1:13" x14ac:dyDescent="0.25">
      <c r="A528" s="359" t="s">
        <v>1583</v>
      </c>
      <c r="B528" s="359" t="s">
        <v>689</v>
      </c>
      <c r="C528" s="359" t="s">
        <v>1319</v>
      </c>
      <c r="D528" s="359" t="s">
        <v>1320</v>
      </c>
      <c r="E528" s="360"/>
      <c r="F528" s="359" t="s">
        <v>1412</v>
      </c>
      <c r="G528" s="361">
        <v>5.9406335450018528E-6</v>
      </c>
      <c r="H528" s="359" t="s">
        <v>1520</v>
      </c>
      <c r="I528" s="361">
        <v>1.1802583201990437E-2</v>
      </c>
      <c r="J528" s="359" t="s">
        <v>1319</v>
      </c>
      <c r="K528" s="359" t="s">
        <v>1272</v>
      </c>
      <c r="M528" t="str">
        <f t="shared" si="9"/>
        <v>POLYCYCLIC AROMATIC COMPOUNDS</v>
      </c>
    </row>
    <row r="529" spans="1:13" x14ac:dyDescent="0.25">
      <c r="A529" s="359" t="s">
        <v>490</v>
      </c>
      <c r="B529" s="359" t="s">
        <v>1240</v>
      </c>
      <c r="C529" s="359" t="s">
        <v>1572</v>
      </c>
      <c r="D529" s="359" t="s">
        <v>1573</v>
      </c>
      <c r="E529" s="360"/>
      <c r="F529" s="359" t="s">
        <v>1412</v>
      </c>
      <c r="G529" s="361">
        <v>6.3004693639369675E-6</v>
      </c>
      <c r="H529" s="359" t="s">
        <v>1286</v>
      </c>
      <c r="I529" s="361">
        <v>0</v>
      </c>
      <c r="J529" s="359" t="s">
        <v>1572</v>
      </c>
      <c r="K529" s="359" t="s">
        <v>1272</v>
      </c>
      <c r="M529" t="str">
        <f t="shared" si="9"/>
        <v>P-XYLENE</v>
      </c>
    </row>
    <row r="530" spans="1:13" x14ac:dyDescent="0.25">
      <c r="A530" s="359" t="s">
        <v>490</v>
      </c>
      <c r="B530" s="359" t="s">
        <v>1240</v>
      </c>
      <c r="C530" s="359" t="s">
        <v>1603</v>
      </c>
      <c r="D530" s="359" t="s">
        <v>1427</v>
      </c>
      <c r="E530" s="360"/>
      <c r="F530" s="359" t="s">
        <v>1412</v>
      </c>
      <c r="G530" s="361">
        <v>6.3004693639369675E-6</v>
      </c>
      <c r="H530" s="359" t="s">
        <v>1604</v>
      </c>
      <c r="I530" s="361">
        <v>1.0930389922013631E-5</v>
      </c>
      <c r="J530" s="359" t="s">
        <v>1603</v>
      </c>
      <c r="K530" s="359" t="s">
        <v>1272</v>
      </c>
      <c r="M530" t="str">
        <f t="shared" si="9"/>
        <v>SELENIUM AND SELENIUM COMPOUNDS</v>
      </c>
    </row>
    <row r="531" spans="1:13" x14ac:dyDescent="0.25">
      <c r="A531" s="359" t="s">
        <v>1583</v>
      </c>
      <c r="B531" s="359" t="s">
        <v>689</v>
      </c>
      <c r="C531" s="359" t="s">
        <v>1605</v>
      </c>
      <c r="D531" s="359" t="s">
        <v>490</v>
      </c>
      <c r="E531" s="361">
        <v>41036938.371200003</v>
      </c>
      <c r="F531" s="359" t="s">
        <v>1412</v>
      </c>
      <c r="G531" s="361">
        <v>5.9406335450018528E-6</v>
      </c>
      <c r="H531" s="359" t="s">
        <v>490</v>
      </c>
      <c r="I531" s="361">
        <v>0.66790524019760111</v>
      </c>
      <c r="J531" s="359" t="s">
        <v>1605</v>
      </c>
      <c r="K531" s="359" t="s">
        <v>1277</v>
      </c>
      <c r="M531" t="str">
        <f t="shared" si="9"/>
        <v>Solids, total dissolved</v>
      </c>
    </row>
    <row r="532" spans="1:13" x14ac:dyDescent="0.25">
      <c r="A532" s="359" t="s">
        <v>490</v>
      </c>
      <c r="B532" s="359" t="s">
        <v>1240</v>
      </c>
      <c r="C532" s="359" t="s">
        <v>1322</v>
      </c>
      <c r="D532" s="359" t="s">
        <v>490</v>
      </c>
      <c r="E532" s="361">
        <v>108467.759637229</v>
      </c>
      <c r="F532" s="359" t="s">
        <v>1412</v>
      </c>
      <c r="G532" s="361">
        <v>6.3004693639369675E-6</v>
      </c>
      <c r="H532" s="359" t="s">
        <v>490</v>
      </c>
      <c r="I532" s="361">
        <v>1.8723227303266852E-3</v>
      </c>
      <c r="J532" s="359" t="s">
        <v>1322</v>
      </c>
      <c r="K532" s="359" t="s">
        <v>1277</v>
      </c>
      <c r="M532" t="str">
        <f t="shared" si="9"/>
        <v>Solids, total suspended</v>
      </c>
    </row>
    <row r="533" spans="1:13" x14ac:dyDescent="0.25">
      <c r="A533" s="359" t="s">
        <v>1583</v>
      </c>
      <c r="B533" s="359" t="s">
        <v>689</v>
      </c>
      <c r="C533" s="359" t="s">
        <v>1322</v>
      </c>
      <c r="D533" s="359" t="s">
        <v>490</v>
      </c>
      <c r="E533" s="361">
        <v>170634.97167659999</v>
      </c>
      <c r="F533" s="359" t="s">
        <v>1412</v>
      </c>
      <c r="G533" s="361">
        <v>5.9406335450018528E-6</v>
      </c>
      <c r="H533" s="359" t="s">
        <v>490</v>
      </c>
      <c r="I533" s="361">
        <v>2.7772050320341119E-3</v>
      </c>
      <c r="J533" s="359" t="s">
        <v>1322</v>
      </c>
      <c r="K533" s="359" t="s">
        <v>1277</v>
      </c>
      <c r="M533" t="str">
        <f t="shared" si="9"/>
        <v>Solids, total suspended</v>
      </c>
    </row>
    <row r="534" spans="1:13" x14ac:dyDescent="0.25">
      <c r="A534" s="359" t="s">
        <v>1583</v>
      </c>
      <c r="B534" s="359" t="s">
        <v>689</v>
      </c>
      <c r="C534" s="359" t="s">
        <v>1606</v>
      </c>
      <c r="D534" s="359" t="s">
        <v>1607</v>
      </c>
      <c r="E534" s="361">
        <v>20989726.7905</v>
      </c>
      <c r="F534" s="359" t="s">
        <v>1412</v>
      </c>
      <c r="G534" s="361">
        <v>5.9406335450018528E-6</v>
      </c>
      <c r="H534" s="359" t="s">
        <v>490</v>
      </c>
      <c r="I534" s="361">
        <v>0.34162267143032432</v>
      </c>
      <c r="J534" s="359" t="s">
        <v>1606</v>
      </c>
      <c r="K534" s="359" t="s">
        <v>1277</v>
      </c>
      <c r="M534" t="str">
        <f t="shared" si="9"/>
        <v>Sulfate (as S)</v>
      </c>
    </row>
    <row r="535" spans="1:13" x14ac:dyDescent="0.25">
      <c r="A535" s="359" t="s">
        <v>1583</v>
      </c>
      <c r="B535" s="359" t="s">
        <v>689</v>
      </c>
      <c r="C535" s="359" t="s">
        <v>1323</v>
      </c>
      <c r="D535" s="359" t="s">
        <v>1324</v>
      </c>
      <c r="E535" s="361">
        <v>29.286745520300002</v>
      </c>
      <c r="F535" s="359" t="s">
        <v>1412</v>
      </c>
      <c r="G535" s="361">
        <v>5.9406335450018528E-6</v>
      </c>
      <c r="H535" s="359" t="s">
        <v>490</v>
      </c>
      <c r="I535" s="361">
        <v>4.7666252838856688E-7</v>
      </c>
      <c r="J535" s="359" t="s">
        <v>1323</v>
      </c>
      <c r="K535" s="359" t="s">
        <v>1277</v>
      </c>
      <c r="M535" t="str">
        <f t="shared" si="9"/>
        <v>Sulfide, total (as S)</v>
      </c>
    </row>
    <row r="536" spans="1:13" x14ac:dyDescent="0.25">
      <c r="A536" s="359" t="s">
        <v>490</v>
      </c>
      <c r="B536" s="359" t="s">
        <v>1240</v>
      </c>
      <c r="C536" s="359" t="s">
        <v>1323</v>
      </c>
      <c r="D536" s="359" t="s">
        <v>1324</v>
      </c>
      <c r="E536" s="361">
        <v>235.92743764139999</v>
      </c>
      <c r="F536" s="359" t="s">
        <v>1412</v>
      </c>
      <c r="G536" s="361">
        <v>6.3004693639369675E-6</v>
      </c>
      <c r="H536" s="359" t="s">
        <v>490</v>
      </c>
      <c r="I536" s="361">
        <v>4.0724755971829861E-6</v>
      </c>
      <c r="J536" s="359" t="s">
        <v>1323</v>
      </c>
      <c r="K536" s="359" t="s">
        <v>1277</v>
      </c>
      <c r="M536" t="str">
        <f t="shared" si="9"/>
        <v>Sulfide, total (as S)</v>
      </c>
    </row>
    <row r="537" spans="1:13" x14ac:dyDescent="0.25">
      <c r="A537" s="359" t="s">
        <v>490</v>
      </c>
      <c r="B537" s="359" t="s">
        <v>1240</v>
      </c>
      <c r="C537" s="359" t="s">
        <v>1396</v>
      </c>
      <c r="D537" s="359" t="s">
        <v>1397</v>
      </c>
      <c r="E537" s="360"/>
      <c r="F537" s="359" t="s">
        <v>1412</v>
      </c>
      <c r="G537" s="361">
        <v>6.3004693639369675E-6</v>
      </c>
      <c r="H537" s="359" t="s">
        <v>1608</v>
      </c>
      <c r="I537" s="361">
        <v>5.5591524674997693E-7</v>
      </c>
      <c r="J537" s="359" t="s">
        <v>1398</v>
      </c>
      <c r="K537" s="359" t="s">
        <v>1272</v>
      </c>
      <c r="M537" t="str">
        <f t="shared" si="9"/>
        <v>PERCHLOROETHYLENE</v>
      </c>
    </row>
    <row r="538" spans="1:13" x14ac:dyDescent="0.25">
      <c r="A538" s="359" t="s">
        <v>1583</v>
      </c>
      <c r="B538" s="359" t="s">
        <v>689</v>
      </c>
      <c r="C538" s="359" t="s">
        <v>1325</v>
      </c>
      <c r="D538" s="359" t="s">
        <v>1326</v>
      </c>
      <c r="E538" s="360"/>
      <c r="F538" s="359" t="s">
        <v>1412</v>
      </c>
      <c r="G538" s="361">
        <v>5.9406335450018528E-6</v>
      </c>
      <c r="H538" s="359" t="s">
        <v>1487</v>
      </c>
      <c r="I538" s="361">
        <v>3.7374846806303048E-2</v>
      </c>
      <c r="J538" s="359" t="s">
        <v>1325</v>
      </c>
      <c r="K538" s="359" t="s">
        <v>1272</v>
      </c>
      <c r="M538" t="str">
        <f t="shared" si="9"/>
        <v>TOLUENE</v>
      </c>
    </row>
    <row r="539" spans="1:13" x14ac:dyDescent="0.25">
      <c r="A539" s="359" t="s">
        <v>490</v>
      </c>
      <c r="B539" s="359" t="s">
        <v>1240</v>
      </c>
      <c r="C539" s="359" t="s">
        <v>1400</v>
      </c>
      <c r="D539" s="359" t="s">
        <v>1401</v>
      </c>
      <c r="E539" s="360"/>
      <c r="F539" s="359" t="s">
        <v>1412</v>
      </c>
      <c r="G539" s="361">
        <v>6.3004693639369675E-6</v>
      </c>
      <c r="H539" s="359" t="s">
        <v>1609</v>
      </c>
      <c r="I539" s="361">
        <v>5.0893649350349993E-7</v>
      </c>
      <c r="J539" s="359" t="s">
        <v>1400</v>
      </c>
      <c r="K539" s="359" t="s">
        <v>1272</v>
      </c>
      <c r="M539" t="str">
        <f t="shared" si="9"/>
        <v>TRICHLOROETHYLENE</v>
      </c>
    </row>
    <row r="540" spans="1:13" x14ac:dyDescent="0.25">
      <c r="A540" s="359" t="s">
        <v>1583</v>
      </c>
      <c r="B540" s="359" t="s">
        <v>689</v>
      </c>
      <c r="C540" s="359" t="s">
        <v>1495</v>
      </c>
      <c r="D540" s="359" t="s">
        <v>1465</v>
      </c>
      <c r="E540" s="360"/>
      <c r="F540" s="359" t="s">
        <v>1412</v>
      </c>
      <c r="G540" s="361">
        <v>5.9406335450018528E-6</v>
      </c>
      <c r="H540" s="359" t="s">
        <v>1610</v>
      </c>
      <c r="I540" s="361">
        <v>4.128937023496321</v>
      </c>
      <c r="J540" s="359" t="s">
        <v>1495</v>
      </c>
      <c r="K540" s="359" t="s">
        <v>1272</v>
      </c>
      <c r="M540" t="str">
        <f t="shared" si="9"/>
        <v>VANADIUM AND VANADIUM COMPOUNDS</v>
      </c>
    </row>
    <row r="541" spans="1:13" x14ac:dyDescent="0.25">
      <c r="A541" s="359" t="s">
        <v>1583</v>
      </c>
      <c r="B541" s="359" t="s">
        <v>689</v>
      </c>
      <c r="C541" s="359" t="s">
        <v>1327</v>
      </c>
      <c r="D541" s="359" t="s">
        <v>1328</v>
      </c>
      <c r="E541" s="360"/>
      <c r="F541" s="359" t="s">
        <v>1412</v>
      </c>
      <c r="G541" s="361">
        <v>5.9406335450018528E-6</v>
      </c>
      <c r="H541" s="359" t="s">
        <v>1590</v>
      </c>
      <c r="I541" s="361">
        <v>7.3766145012440235E-2</v>
      </c>
      <c r="J541" s="359" t="s">
        <v>1329</v>
      </c>
      <c r="K541" s="359" t="s">
        <v>1272</v>
      </c>
      <c r="M541" t="str">
        <f t="shared" si="9"/>
        <v>XYLENES</v>
      </c>
    </row>
    <row r="542" spans="1:13" x14ac:dyDescent="0.25">
      <c r="A542" s="359" t="s">
        <v>490</v>
      </c>
      <c r="B542" s="359" t="s">
        <v>1240</v>
      </c>
      <c r="C542" s="359" t="s">
        <v>1611</v>
      </c>
      <c r="D542" s="359" t="s">
        <v>1343</v>
      </c>
      <c r="E542" s="361">
        <v>18699.778782107001</v>
      </c>
      <c r="F542" s="359" t="s">
        <v>1412</v>
      </c>
      <c r="G542" s="361">
        <v>6.3004693639369675E-6</v>
      </c>
      <c r="H542" s="359" t="s">
        <v>490</v>
      </c>
      <c r="I542" s="361">
        <v>3.2278735158647591E-4</v>
      </c>
      <c r="J542" s="359" t="s">
        <v>1611</v>
      </c>
      <c r="K542" s="359" t="s">
        <v>1277</v>
      </c>
      <c r="M542" t="str">
        <f t="shared" si="9"/>
        <v>Zinc, total (as Zn)</v>
      </c>
    </row>
    <row r="543" spans="1:13" ht="30" x14ac:dyDescent="0.25">
      <c r="A543" s="359" t="s">
        <v>1612</v>
      </c>
      <c r="B543" s="359" t="s">
        <v>699</v>
      </c>
      <c r="C543" s="359" t="s">
        <v>1268</v>
      </c>
      <c r="D543" s="359" t="s">
        <v>1269</v>
      </c>
      <c r="E543" s="360"/>
      <c r="F543" s="359" t="s">
        <v>1412</v>
      </c>
      <c r="G543" s="361">
        <v>8.3333333333333337E-6</v>
      </c>
      <c r="H543" s="359" t="s">
        <v>1540</v>
      </c>
      <c r="I543" s="361">
        <v>2.8973509933774833E-2</v>
      </c>
      <c r="J543" s="359" t="s">
        <v>1268</v>
      </c>
      <c r="K543" s="359" t="s">
        <v>1272</v>
      </c>
      <c r="M543" t="str">
        <f t="shared" si="9"/>
        <v>1,2,4-TRIMETHYLBENZENE</v>
      </c>
    </row>
    <row r="544" spans="1:13" ht="30" x14ac:dyDescent="0.25">
      <c r="A544" s="359" t="s">
        <v>1612</v>
      </c>
      <c r="B544" s="359" t="s">
        <v>699</v>
      </c>
      <c r="C544" s="359" t="s">
        <v>1273</v>
      </c>
      <c r="D544" s="359" t="s">
        <v>1274</v>
      </c>
      <c r="E544" s="360"/>
      <c r="F544" s="359" t="s">
        <v>1412</v>
      </c>
      <c r="G544" s="361">
        <v>8.3333333333333337E-6</v>
      </c>
      <c r="H544" s="359" t="s">
        <v>1540</v>
      </c>
      <c r="I544" s="361">
        <v>2.8973509933774833E-2</v>
      </c>
      <c r="J544" s="359" t="s">
        <v>1273</v>
      </c>
      <c r="K544" s="359" t="s">
        <v>1272</v>
      </c>
      <c r="M544" t="str">
        <f t="shared" si="9"/>
        <v>BENZENE</v>
      </c>
    </row>
    <row r="545" spans="1:13" ht="30" x14ac:dyDescent="0.25">
      <c r="A545" s="359" t="s">
        <v>1612</v>
      </c>
      <c r="B545" s="359" t="s">
        <v>699</v>
      </c>
      <c r="C545" s="359" t="s">
        <v>1276</v>
      </c>
      <c r="D545" s="359" t="s">
        <v>490</v>
      </c>
      <c r="E545" s="361">
        <v>18548.322947799999</v>
      </c>
      <c r="F545" s="359" t="s">
        <v>1412</v>
      </c>
      <c r="G545" s="361">
        <v>8.3333333333333337E-6</v>
      </c>
      <c r="H545" s="359" t="s">
        <v>490</v>
      </c>
      <c r="I545" s="361">
        <v>4.2347769287214612E-4</v>
      </c>
      <c r="J545" s="359" t="s">
        <v>1276</v>
      </c>
      <c r="K545" s="359" t="s">
        <v>1277</v>
      </c>
      <c r="M545" t="str">
        <f t="shared" si="9"/>
        <v>BOD, 5-day, 20 deg. C</v>
      </c>
    </row>
    <row r="546" spans="1:13" ht="30" x14ac:dyDescent="0.25">
      <c r="A546" s="359" t="s">
        <v>1612</v>
      </c>
      <c r="B546" s="359" t="s">
        <v>699</v>
      </c>
      <c r="C546" s="359" t="s">
        <v>1476</v>
      </c>
      <c r="D546" s="359" t="s">
        <v>1477</v>
      </c>
      <c r="E546" s="361">
        <v>1517246.3228</v>
      </c>
      <c r="F546" s="359" t="s">
        <v>1412</v>
      </c>
      <c r="G546" s="361">
        <v>8.3333333333333337E-6</v>
      </c>
      <c r="H546" s="359" t="s">
        <v>490</v>
      </c>
      <c r="I546" s="361">
        <v>3.4640327004566207E-2</v>
      </c>
      <c r="J546" s="359" t="s">
        <v>1476</v>
      </c>
      <c r="K546" s="359" t="s">
        <v>1277</v>
      </c>
      <c r="M546" t="str">
        <f t="shared" si="9"/>
        <v>Chloride (as Cl)</v>
      </c>
    </row>
    <row r="547" spans="1:13" ht="30" x14ac:dyDescent="0.25">
      <c r="A547" s="359" t="s">
        <v>1612</v>
      </c>
      <c r="B547" s="359" t="s">
        <v>699</v>
      </c>
      <c r="C547" s="359" t="s">
        <v>1437</v>
      </c>
      <c r="D547" s="359" t="s">
        <v>1438</v>
      </c>
      <c r="E547" s="360"/>
      <c r="F547" s="359" t="s">
        <v>1412</v>
      </c>
      <c r="G547" s="361">
        <v>8.3333333333333337E-6</v>
      </c>
      <c r="H547" s="359" t="s">
        <v>1609</v>
      </c>
      <c r="I547" s="361">
        <v>8.9679911699779249E-2</v>
      </c>
      <c r="J547" s="359" t="s">
        <v>1437</v>
      </c>
      <c r="K547" s="359" t="s">
        <v>1272</v>
      </c>
      <c r="M547" t="str">
        <f t="shared" si="9"/>
        <v>CHROMIUM AND CHROMIUM COMPOUNDS</v>
      </c>
    </row>
    <row r="548" spans="1:13" ht="30" x14ac:dyDescent="0.25">
      <c r="A548" s="359" t="s">
        <v>1612</v>
      </c>
      <c r="B548" s="359" t="s">
        <v>699</v>
      </c>
      <c r="C548" s="359" t="s">
        <v>1280</v>
      </c>
      <c r="D548" s="359" t="s">
        <v>1281</v>
      </c>
      <c r="E548" s="361">
        <v>2.1909297052199999E-2</v>
      </c>
      <c r="F548" s="359" t="s">
        <v>1412</v>
      </c>
      <c r="G548" s="361">
        <v>8.3333333333333337E-6</v>
      </c>
      <c r="H548" s="359" t="s">
        <v>490</v>
      </c>
      <c r="I548" s="361">
        <v>5.002122614657534E-10</v>
      </c>
      <c r="J548" s="359" t="s">
        <v>1280</v>
      </c>
      <c r="K548" s="359" t="s">
        <v>1277</v>
      </c>
      <c r="M548" t="str">
        <f t="shared" si="9"/>
        <v>Chromium, hexavalent (as Cr)</v>
      </c>
    </row>
    <row r="549" spans="1:13" ht="30" x14ac:dyDescent="0.25">
      <c r="A549" s="359" t="s">
        <v>1612</v>
      </c>
      <c r="B549" s="359" t="s">
        <v>699</v>
      </c>
      <c r="C549" s="359" t="s">
        <v>1282</v>
      </c>
      <c r="D549" s="359" t="s">
        <v>1283</v>
      </c>
      <c r="E549" s="361">
        <v>10.7653605442</v>
      </c>
      <c r="F549" s="359" t="s">
        <v>1412</v>
      </c>
      <c r="G549" s="361">
        <v>8.3333333333333337E-6</v>
      </c>
      <c r="H549" s="359" t="s">
        <v>490</v>
      </c>
      <c r="I549" s="361">
        <v>2.4578448731050226E-7</v>
      </c>
      <c r="J549" s="359" t="s">
        <v>1282</v>
      </c>
      <c r="K549" s="359" t="s">
        <v>1277</v>
      </c>
      <c r="M549" t="str">
        <f t="shared" si="9"/>
        <v>Chromium, total (as Cr)</v>
      </c>
    </row>
    <row r="550" spans="1:13" ht="30" x14ac:dyDescent="0.25">
      <c r="A550" s="359" t="s">
        <v>1612</v>
      </c>
      <c r="B550" s="359" t="s">
        <v>699</v>
      </c>
      <c r="C550" s="359" t="s">
        <v>1291</v>
      </c>
      <c r="D550" s="359" t="s">
        <v>1292</v>
      </c>
      <c r="E550" s="360"/>
      <c r="F550" s="359" t="s">
        <v>1412</v>
      </c>
      <c r="G550" s="361">
        <v>8.3333333333333337E-6</v>
      </c>
      <c r="H550" s="359" t="s">
        <v>1613</v>
      </c>
      <c r="I550" s="361">
        <v>5.65673289183223E-2</v>
      </c>
      <c r="J550" s="359" t="s">
        <v>1291</v>
      </c>
      <c r="K550" s="359" t="s">
        <v>1272</v>
      </c>
      <c r="M550" t="str">
        <f t="shared" si="9"/>
        <v>CYCLOHEXANE</v>
      </c>
    </row>
    <row r="551" spans="1:13" ht="30" x14ac:dyDescent="0.25">
      <c r="A551" s="359" t="s">
        <v>1612</v>
      </c>
      <c r="B551" s="359" t="s">
        <v>699</v>
      </c>
      <c r="C551" s="359" t="s">
        <v>1295</v>
      </c>
      <c r="D551" s="359" t="s">
        <v>1296</v>
      </c>
      <c r="E551" s="360"/>
      <c r="F551" s="359" t="s">
        <v>1412</v>
      </c>
      <c r="G551" s="361">
        <v>8.3333333333333337E-6</v>
      </c>
      <c r="H551" s="359" t="s">
        <v>1540</v>
      </c>
      <c r="I551" s="361">
        <v>2.8973509933774833E-2</v>
      </c>
      <c r="J551" s="359" t="s">
        <v>1295</v>
      </c>
      <c r="K551" s="359" t="s">
        <v>1272</v>
      </c>
      <c r="M551" t="str">
        <f t="shared" si="9"/>
        <v>ETHYLBENZENE</v>
      </c>
    </row>
    <row r="552" spans="1:13" ht="30" x14ac:dyDescent="0.25">
      <c r="A552" s="359" t="s">
        <v>1612</v>
      </c>
      <c r="B552" s="359" t="s">
        <v>699</v>
      </c>
      <c r="C552" s="359" t="s">
        <v>1596</v>
      </c>
      <c r="D552" s="359" t="s">
        <v>1597</v>
      </c>
      <c r="E552" s="361">
        <v>12143.4534563</v>
      </c>
      <c r="F552" s="359" t="s">
        <v>1412</v>
      </c>
      <c r="G552" s="361">
        <v>8.3333333333333337E-6</v>
      </c>
      <c r="H552" s="359" t="s">
        <v>490</v>
      </c>
      <c r="I552" s="361">
        <v>2.7724779580593607E-4</v>
      </c>
      <c r="J552" s="359" t="s">
        <v>1596</v>
      </c>
      <c r="K552" s="359" t="s">
        <v>1277</v>
      </c>
      <c r="M552" t="str">
        <f t="shared" si="9"/>
        <v>Fluoride, total (as F)</v>
      </c>
    </row>
    <row r="553" spans="1:13" ht="30" x14ac:dyDescent="0.25">
      <c r="A553" s="359" t="s">
        <v>1612</v>
      </c>
      <c r="B553" s="359" t="s">
        <v>699</v>
      </c>
      <c r="C553" s="359" t="s">
        <v>1303</v>
      </c>
      <c r="D553" s="359" t="s">
        <v>1304</v>
      </c>
      <c r="E553" s="360"/>
      <c r="F553" s="359" t="s">
        <v>1412</v>
      </c>
      <c r="G553" s="361">
        <v>8.3333333333333337E-6</v>
      </c>
      <c r="H553" s="359" t="s">
        <v>1500</v>
      </c>
      <c r="I553" s="361">
        <v>1.3796909492273732E-2</v>
      </c>
      <c r="J553" s="359" t="s">
        <v>1303</v>
      </c>
      <c r="K553" s="359" t="s">
        <v>1272</v>
      </c>
      <c r="M553" t="str">
        <f t="shared" si="9"/>
        <v>NAPHTHALENE</v>
      </c>
    </row>
    <row r="554" spans="1:13" ht="30" x14ac:dyDescent="0.25">
      <c r="A554" s="359" t="s">
        <v>1612</v>
      </c>
      <c r="B554" s="359" t="s">
        <v>699</v>
      </c>
      <c r="C554" s="359" t="s">
        <v>1311</v>
      </c>
      <c r="D554" s="359" t="s">
        <v>1312</v>
      </c>
      <c r="E554" s="361">
        <v>923.50546031700003</v>
      </c>
      <c r="F554" s="359" t="s">
        <v>1412</v>
      </c>
      <c r="G554" s="361">
        <v>8.3333333333333337E-6</v>
      </c>
      <c r="H554" s="359" t="s">
        <v>490</v>
      </c>
      <c r="I554" s="361">
        <v>2.1084599550616439E-5</v>
      </c>
      <c r="J554" s="359" t="s">
        <v>1313</v>
      </c>
      <c r="K554" s="359" t="s">
        <v>1277</v>
      </c>
      <c r="M554" t="str">
        <f t="shared" si="9"/>
        <v>AMMONIA</v>
      </c>
    </row>
    <row r="555" spans="1:13" ht="30" x14ac:dyDescent="0.25">
      <c r="A555" s="359" t="s">
        <v>1612</v>
      </c>
      <c r="B555" s="359" t="s">
        <v>699</v>
      </c>
      <c r="C555" s="359" t="s">
        <v>1387</v>
      </c>
      <c r="D555" s="359" t="s">
        <v>1308</v>
      </c>
      <c r="E555" s="361">
        <v>59005.519234400002</v>
      </c>
      <c r="F555" s="359" t="s">
        <v>1412</v>
      </c>
      <c r="G555" s="361">
        <v>8.3333333333333337E-6</v>
      </c>
      <c r="H555" s="359" t="s">
        <v>490</v>
      </c>
      <c r="I555" s="361">
        <v>1.3471579733881278E-3</v>
      </c>
      <c r="J555" s="359" t="s">
        <v>1310</v>
      </c>
      <c r="K555" s="359" t="s">
        <v>1277</v>
      </c>
      <c r="M555" t="str">
        <f t="shared" si="9"/>
        <v>NITRATE</v>
      </c>
    </row>
    <row r="556" spans="1:13" ht="30" x14ac:dyDescent="0.25">
      <c r="A556" s="359" t="s">
        <v>1612</v>
      </c>
      <c r="B556" s="359" t="s">
        <v>699</v>
      </c>
      <c r="C556" s="359" t="s">
        <v>1614</v>
      </c>
      <c r="D556" s="359" t="s">
        <v>1505</v>
      </c>
      <c r="E556" s="361">
        <v>9957.1944809500001</v>
      </c>
      <c r="F556" s="359" t="s">
        <v>1412</v>
      </c>
      <c r="G556" s="361">
        <v>8.3333333333333337E-6</v>
      </c>
      <c r="H556" s="359" t="s">
        <v>490</v>
      </c>
      <c r="I556" s="361">
        <v>2.2733320732762558E-4</v>
      </c>
      <c r="J556" s="359" t="s">
        <v>1506</v>
      </c>
      <c r="K556" s="359" t="s">
        <v>1277</v>
      </c>
      <c r="M556" t="str">
        <f t="shared" si="9"/>
        <v>NITROGEN</v>
      </c>
    </row>
    <row r="557" spans="1:13" ht="30" x14ac:dyDescent="0.25">
      <c r="A557" s="359" t="s">
        <v>1612</v>
      </c>
      <c r="B557" s="359" t="s">
        <v>699</v>
      </c>
      <c r="C557" s="359" t="s">
        <v>1533</v>
      </c>
      <c r="D557" s="359" t="s">
        <v>490</v>
      </c>
      <c r="E557" s="361">
        <v>10754.464898</v>
      </c>
      <c r="F557" s="359" t="s">
        <v>1412</v>
      </c>
      <c r="G557" s="361">
        <v>8.3333333333333337E-6</v>
      </c>
      <c r="H557" s="359" t="s">
        <v>490</v>
      </c>
      <c r="I557" s="361">
        <v>2.4553572826484016E-4</v>
      </c>
      <c r="J557" s="359" t="s">
        <v>1533</v>
      </c>
      <c r="K557" s="359" t="s">
        <v>1277</v>
      </c>
      <c r="M557" t="str">
        <f t="shared" si="9"/>
        <v>Oil and grease (soxhlet extr.) tot.</v>
      </c>
    </row>
    <row r="558" spans="1:13" ht="30" x14ac:dyDescent="0.25">
      <c r="A558" s="359" t="s">
        <v>1612</v>
      </c>
      <c r="B558" s="359" t="s">
        <v>699</v>
      </c>
      <c r="C558" s="359" t="s">
        <v>1457</v>
      </c>
      <c r="D558" s="359" t="s">
        <v>490</v>
      </c>
      <c r="E558" s="361">
        <v>247281.04399100001</v>
      </c>
      <c r="F558" s="359" t="s">
        <v>1412</v>
      </c>
      <c r="G558" s="361">
        <v>8.3333333333333337E-6</v>
      </c>
      <c r="H558" s="359" t="s">
        <v>490</v>
      </c>
      <c r="I558" s="361">
        <v>5.6456859358675797E-3</v>
      </c>
      <c r="J558" s="359" t="s">
        <v>1457</v>
      </c>
      <c r="K558" s="359" t="s">
        <v>1277</v>
      </c>
      <c r="M558" t="str">
        <f t="shared" si="9"/>
        <v>Chemical Oxygen Demand (COD)</v>
      </c>
    </row>
    <row r="559" spans="1:13" ht="30" x14ac:dyDescent="0.25">
      <c r="A559" s="359" t="s">
        <v>1612</v>
      </c>
      <c r="B559" s="359" t="s">
        <v>699</v>
      </c>
      <c r="C559" s="359" t="s">
        <v>1615</v>
      </c>
      <c r="D559" s="359" t="s">
        <v>1316</v>
      </c>
      <c r="E559" s="361">
        <v>182.43829478500001</v>
      </c>
      <c r="F559" s="359" t="s">
        <v>1412</v>
      </c>
      <c r="G559" s="361">
        <v>8.3333333333333337E-6</v>
      </c>
      <c r="H559" s="359" t="s">
        <v>490</v>
      </c>
      <c r="I559" s="361">
        <v>4.1652578718036529E-6</v>
      </c>
      <c r="J559" s="359" t="s">
        <v>1315</v>
      </c>
      <c r="K559" s="359" t="s">
        <v>1277</v>
      </c>
      <c r="M559" t="str">
        <f t="shared" si="9"/>
        <v>PHENOL</v>
      </c>
    </row>
    <row r="560" spans="1:13" ht="30" x14ac:dyDescent="0.25">
      <c r="A560" s="359" t="s">
        <v>1612</v>
      </c>
      <c r="B560" s="359" t="s">
        <v>699</v>
      </c>
      <c r="C560" s="359" t="s">
        <v>1461</v>
      </c>
      <c r="D560" s="359" t="s">
        <v>1462</v>
      </c>
      <c r="E560" s="361">
        <v>757.72151884000004</v>
      </c>
      <c r="F560" s="359" t="s">
        <v>1412</v>
      </c>
      <c r="G560" s="361">
        <v>8.3333333333333337E-6</v>
      </c>
      <c r="H560" s="359" t="s">
        <v>490</v>
      </c>
      <c r="I560" s="361">
        <v>1.7299578055707764E-5</v>
      </c>
      <c r="J560" s="359" t="s">
        <v>1463</v>
      </c>
      <c r="K560" s="359" t="s">
        <v>1277</v>
      </c>
      <c r="M560" t="str">
        <f t="shared" si="9"/>
        <v>PHOSPHORUS</v>
      </c>
    </row>
    <row r="561" spans="1:13" ht="30" x14ac:dyDescent="0.25">
      <c r="A561" s="359" t="s">
        <v>1612</v>
      </c>
      <c r="B561" s="359" t="s">
        <v>699</v>
      </c>
      <c r="C561" s="359" t="s">
        <v>1322</v>
      </c>
      <c r="D561" s="359" t="s">
        <v>490</v>
      </c>
      <c r="E561" s="361">
        <v>130885.941559</v>
      </c>
      <c r="F561" s="359" t="s">
        <v>1412</v>
      </c>
      <c r="G561" s="361">
        <v>8.3333333333333337E-6</v>
      </c>
      <c r="H561" s="359" t="s">
        <v>490</v>
      </c>
      <c r="I561" s="361">
        <v>2.988263505913242E-3</v>
      </c>
      <c r="J561" s="359" t="s">
        <v>1322</v>
      </c>
      <c r="K561" s="359" t="s">
        <v>1277</v>
      </c>
      <c r="M561" t="str">
        <f t="shared" si="9"/>
        <v>Solids, total suspended</v>
      </c>
    </row>
    <row r="562" spans="1:13" ht="30" x14ac:dyDescent="0.25">
      <c r="A562" s="359" t="s">
        <v>1612</v>
      </c>
      <c r="B562" s="359" t="s">
        <v>699</v>
      </c>
      <c r="C562" s="359" t="s">
        <v>1616</v>
      </c>
      <c r="D562" s="359" t="s">
        <v>1607</v>
      </c>
      <c r="E562" s="361">
        <v>1302871.9347300001</v>
      </c>
      <c r="F562" s="359" t="s">
        <v>1412</v>
      </c>
      <c r="G562" s="361">
        <v>8.3333333333333337E-6</v>
      </c>
      <c r="H562" s="359" t="s">
        <v>490</v>
      </c>
      <c r="I562" s="361">
        <v>2.9745934582876714E-2</v>
      </c>
      <c r="J562" s="359" t="s">
        <v>1616</v>
      </c>
      <c r="K562" s="359" t="s">
        <v>1277</v>
      </c>
      <c r="M562" t="str">
        <f t="shared" si="9"/>
        <v>Sulfate, total (as SO4)</v>
      </c>
    </row>
    <row r="563" spans="1:13" ht="30" x14ac:dyDescent="0.25">
      <c r="A563" s="359" t="s">
        <v>1612</v>
      </c>
      <c r="B563" s="359" t="s">
        <v>699</v>
      </c>
      <c r="C563" s="359" t="s">
        <v>1323</v>
      </c>
      <c r="D563" s="359" t="s">
        <v>1324</v>
      </c>
      <c r="E563" s="361">
        <v>115.245628118</v>
      </c>
      <c r="F563" s="359" t="s">
        <v>1412</v>
      </c>
      <c r="G563" s="361">
        <v>8.3333333333333337E-6</v>
      </c>
      <c r="H563" s="359" t="s">
        <v>490</v>
      </c>
      <c r="I563" s="361">
        <v>2.6311787241552512E-6</v>
      </c>
      <c r="J563" s="359" t="s">
        <v>1323</v>
      </c>
      <c r="K563" s="359" t="s">
        <v>1277</v>
      </c>
      <c r="M563" t="str">
        <f t="shared" si="9"/>
        <v>Sulfide, total (as S)</v>
      </c>
    </row>
    <row r="564" spans="1:13" ht="30" x14ac:dyDescent="0.25">
      <c r="A564" s="359" t="s">
        <v>1612</v>
      </c>
      <c r="B564" s="359" t="s">
        <v>699</v>
      </c>
      <c r="C564" s="359" t="s">
        <v>1325</v>
      </c>
      <c r="D564" s="359" t="s">
        <v>1326</v>
      </c>
      <c r="E564" s="360"/>
      <c r="F564" s="359" t="s">
        <v>1412</v>
      </c>
      <c r="G564" s="361">
        <v>8.3333333333333337E-6</v>
      </c>
      <c r="H564" s="359" t="s">
        <v>1540</v>
      </c>
      <c r="I564" s="361">
        <v>2.8973509933774833E-2</v>
      </c>
      <c r="J564" s="359" t="s">
        <v>1325</v>
      </c>
      <c r="K564" s="359" t="s">
        <v>1272</v>
      </c>
      <c r="M564" t="str">
        <f t="shared" si="9"/>
        <v>TOLUENE</v>
      </c>
    </row>
    <row r="565" spans="1:13" ht="30" x14ac:dyDescent="0.25">
      <c r="A565" s="359" t="s">
        <v>1612</v>
      </c>
      <c r="B565" s="359" t="s">
        <v>699</v>
      </c>
      <c r="C565" s="359" t="s">
        <v>1327</v>
      </c>
      <c r="D565" s="359" t="s">
        <v>1328</v>
      </c>
      <c r="E565" s="360"/>
      <c r="F565" s="359" t="s">
        <v>1412</v>
      </c>
      <c r="G565" s="361">
        <v>8.3333333333333337E-6</v>
      </c>
      <c r="H565" s="359" t="s">
        <v>1613</v>
      </c>
      <c r="I565" s="361">
        <v>5.65673289183223E-2</v>
      </c>
      <c r="J565" s="359" t="s">
        <v>1329</v>
      </c>
      <c r="K565" s="359" t="s">
        <v>1272</v>
      </c>
      <c r="M565" t="str">
        <f t="shared" si="9"/>
        <v>XYLENES</v>
      </c>
    </row>
    <row r="566" spans="1:13" x14ac:dyDescent="0.25">
      <c r="A566" s="359" t="s">
        <v>1617</v>
      </c>
      <c r="B566" s="359" t="s">
        <v>883</v>
      </c>
      <c r="C566" s="359" t="s">
        <v>1268</v>
      </c>
      <c r="D566" s="359" t="s">
        <v>1269</v>
      </c>
      <c r="E566" s="360"/>
      <c r="F566" s="359" t="s">
        <v>1270</v>
      </c>
      <c r="G566" s="361">
        <v>1.0000000000000001E-5</v>
      </c>
      <c r="H566" s="359" t="s">
        <v>1286</v>
      </c>
      <c r="I566" s="361">
        <v>0</v>
      </c>
      <c r="J566" s="359" t="s">
        <v>1268</v>
      </c>
      <c r="K566" s="359" t="s">
        <v>1272</v>
      </c>
      <c r="M566" t="str">
        <f t="shared" si="9"/>
        <v>1,2,4-TRIMETHYLBENZENE</v>
      </c>
    </row>
    <row r="567" spans="1:13" x14ac:dyDescent="0.25">
      <c r="A567" s="359" t="s">
        <v>1617</v>
      </c>
      <c r="B567" s="359" t="s">
        <v>883</v>
      </c>
      <c r="C567" s="359" t="s">
        <v>1313</v>
      </c>
      <c r="D567" s="359" t="s">
        <v>1312</v>
      </c>
      <c r="E567" s="360"/>
      <c r="F567" s="359" t="s">
        <v>1270</v>
      </c>
      <c r="G567" s="361">
        <v>1.0000000000000001E-5</v>
      </c>
      <c r="H567" s="359" t="s">
        <v>1618</v>
      </c>
      <c r="I567" s="361">
        <v>0.10264900662251657</v>
      </c>
      <c r="J567" s="359" t="s">
        <v>1313</v>
      </c>
      <c r="K567" s="359" t="s">
        <v>1272</v>
      </c>
      <c r="M567" t="str">
        <f t="shared" si="9"/>
        <v>AMMONIA</v>
      </c>
    </row>
    <row r="568" spans="1:13" x14ac:dyDescent="0.25">
      <c r="A568" s="359" t="s">
        <v>1617</v>
      </c>
      <c r="B568" s="359" t="s">
        <v>883</v>
      </c>
      <c r="C568" s="359" t="s">
        <v>1349</v>
      </c>
      <c r="D568" s="359" t="s">
        <v>1350</v>
      </c>
      <c r="E568" s="360"/>
      <c r="F568" s="359" t="s">
        <v>1270</v>
      </c>
      <c r="G568" s="361">
        <v>1.0000000000000001E-5</v>
      </c>
      <c r="H568" s="359" t="s">
        <v>1286</v>
      </c>
      <c r="I568" s="361">
        <v>0</v>
      </c>
      <c r="J568" s="359" t="s">
        <v>1349</v>
      </c>
      <c r="K568" s="359" t="s">
        <v>1272</v>
      </c>
      <c r="M568" t="str">
        <f t="shared" si="9"/>
        <v>ANTHRACENE</v>
      </c>
    </row>
    <row r="569" spans="1:13" x14ac:dyDescent="0.25">
      <c r="A569" s="359" t="s">
        <v>1617</v>
      </c>
      <c r="B569" s="359" t="s">
        <v>883</v>
      </c>
      <c r="C569" s="359" t="s">
        <v>1273</v>
      </c>
      <c r="D569" s="359" t="s">
        <v>1274</v>
      </c>
      <c r="E569" s="360"/>
      <c r="F569" s="359" t="s">
        <v>1270</v>
      </c>
      <c r="G569" s="361">
        <v>1.0000000000000001E-5</v>
      </c>
      <c r="H569" s="359" t="s">
        <v>1286</v>
      </c>
      <c r="I569" s="361">
        <v>0</v>
      </c>
      <c r="J569" s="359" t="s">
        <v>1273</v>
      </c>
      <c r="K569" s="359" t="s">
        <v>1272</v>
      </c>
      <c r="M569" t="str">
        <f t="shared" si="9"/>
        <v>BENZENE</v>
      </c>
    </row>
    <row r="570" spans="1:13" x14ac:dyDescent="0.25">
      <c r="A570" s="359" t="s">
        <v>1617</v>
      </c>
      <c r="B570" s="359" t="s">
        <v>883</v>
      </c>
      <c r="C570" s="359" t="s">
        <v>1352</v>
      </c>
      <c r="D570" s="359" t="s">
        <v>1353</v>
      </c>
      <c r="E570" s="360"/>
      <c r="F570" s="359" t="s">
        <v>1270</v>
      </c>
      <c r="G570" s="361">
        <v>1.0000000000000001E-5</v>
      </c>
      <c r="H570" s="359" t="s">
        <v>1286</v>
      </c>
      <c r="I570" s="361">
        <v>0</v>
      </c>
      <c r="J570" s="359" t="s">
        <v>1352</v>
      </c>
      <c r="K570" s="359" t="s">
        <v>1272</v>
      </c>
      <c r="M570" t="str">
        <f t="shared" si="9"/>
        <v>BENZO(G,H,I)PERYLENE</v>
      </c>
    </row>
    <row r="571" spans="1:13" x14ac:dyDescent="0.25">
      <c r="A571" s="359" t="s">
        <v>1617</v>
      </c>
      <c r="B571" s="359" t="s">
        <v>883</v>
      </c>
      <c r="C571" s="359" t="s">
        <v>1414</v>
      </c>
      <c r="D571" s="359" t="s">
        <v>1415</v>
      </c>
      <c r="E571" s="360"/>
      <c r="F571" s="359" t="s">
        <v>1270</v>
      </c>
      <c r="G571" s="361">
        <v>1.0000000000000001E-5</v>
      </c>
      <c r="H571" s="359" t="s">
        <v>1286</v>
      </c>
      <c r="I571" s="361">
        <v>0</v>
      </c>
      <c r="J571" s="359" t="s">
        <v>1414</v>
      </c>
      <c r="K571" s="359" t="s">
        <v>1272</v>
      </c>
      <c r="M571" t="str">
        <f t="shared" si="9"/>
        <v>BIPHENYL</v>
      </c>
    </row>
    <row r="572" spans="1:13" x14ac:dyDescent="0.25">
      <c r="A572" s="359" t="s">
        <v>1617</v>
      </c>
      <c r="B572" s="359" t="s">
        <v>883</v>
      </c>
      <c r="C572" s="359" t="s">
        <v>1443</v>
      </c>
      <c r="D572" s="359" t="s">
        <v>1444</v>
      </c>
      <c r="E572" s="360"/>
      <c r="F572" s="359" t="s">
        <v>1270</v>
      </c>
      <c r="G572" s="361">
        <v>1.0000000000000001E-5</v>
      </c>
      <c r="H572" s="359" t="s">
        <v>1286</v>
      </c>
      <c r="I572" s="361">
        <v>0</v>
      </c>
      <c r="J572" s="359" t="s">
        <v>1445</v>
      </c>
      <c r="K572" s="359" t="s">
        <v>1272</v>
      </c>
      <c r="M572" t="str">
        <f t="shared" si="9"/>
        <v>CRESOL(S)</v>
      </c>
    </row>
    <row r="573" spans="1:13" x14ac:dyDescent="0.25">
      <c r="A573" s="359" t="s">
        <v>1617</v>
      </c>
      <c r="B573" s="359" t="s">
        <v>883</v>
      </c>
      <c r="C573" s="359" t="s">
        <v>1284</v>
      </c>
      <c r="D573" s="359" t="s">
        <v>1285</v>
      </c>
      <c r="E573" s="360"/>
      <c r="F573" s="359" t="s">
        <v>1270</v>
      </c>
      <c r="G573" s="361">
        <v>1.0000000000000001E-5</v>
      </c>
      <c r="H573" s="359" t="s">
        <v>1286</v>
      </c>
      <c r="I573" s="361">
        <v>0</v>
      </c>
      <c r="J573" s="359" t="s">
        <v>1287</v>
      </c>
      <c r="K573" s="359" t="s">
        <v>1272</v>
      </c>
      <c r="M573" t="str">
        <f t="shared" si="9"/>
        <v>ISOPROPYLBENZENE</v>
      </c>
    </row>
    <row r="574" spans="1:13" x14ac:dyDescent="0.25">
      <c r="A574" s="359" t="s">
        <v>1617</v>
      </c>
      <c r="B574" s="359" t="s">
        <v>883</v>
      </c>
      <c r="C574" s="359" t="s">
        <v>1291</v>
      </c>
      <c r="D574" s="359" t="s">
        <v>1292</v>
      </c>
      <c r="E574" s="360"/>
      <c r="F574" s="359" t="s">
        <v>1270</v>
      </c>
      <c r="G574" s="361">
        <v>1.0000000000000001E-5</v>
      </c>
      <c r="H574" s="359" t="s">
        <v>1286</v>
      </c>
      <c r="I574" s="361">
        <v>0</v>
      </c>
      <c r="J574" s="359" t="s">
        <v>1291</v>
      </c>
      <c r="K574" s="359" t="s">
        <v>1272</v>
      </c>
      <c r="M574" t="str">
        <f t="shared" si="9"/>
        <v>CYCLOHEXANE</v>
      </c>
    </row>
    <row r="575" spans="1:13" x14ac:dyDescent="0.25">
      <c r="A575" s="359" t="s">
        <v>1617</v>
      </c>
      <c r="B575" s="359" t="s">
        <v>883</v>
      </c>
      <c r="C575" s="359" t="s">
        <v>1362</v>
      </c>
      <c r="D575" s="359" t="s">
        <v>1363</v>
      </c>
      <c r="E575" s="360"/>
      <c r="F575" s="359" t="s">
        <v>1270</v>
      </c>
      <c r="G575" s="361">
        <v>1.0000000000000001E-5</v>
      </c>
      <c r="H575" s="359" t="s">
        <v>1286</v>
      </c>
      <c r="I575" s="361">
        <v>0</v>
      </c>
      <c r="J575" s="359" t="s">
        <v>1362</v>
      </c>
      <c r="K575" s="359" t="s">
        <v>1272</v>
      </c>
      <c r="M575" t="str">
        <f t="shared" si="9"/>
        <v>DIOXIN AND DIOXIN-LIKE COMPOUNDS</v>
      </c>
    </row>
    <row r="576" spans="1:13" x14ac:dyDescent="0.25">
      <c r="A576" s="359" t="s">
        <v>1617</v>
      </c>
      <c r="B576" s="359" t="s">
        <v>883</v>
      </c>
      <c r="C576" s="359" t="s">
        <v>1295</v>
      </c>
      <c r="D576" s="359" t="s">
        <v>1296</v>
      </c>
      <c r="E576" s="360"/>
      <c r="F576" s="359" t="s">
        <v>1270</v>
      </c>
      <c r="G576" s="361">
        <v>1.0000000000000001E-5</v>
      </c>
      <c r="H576" s="359" t="s">
        <v>1286</v>
      </c>
      <c r="I576" s="361">
        <v>0</v>
      </c>
      <c r="J576" s="359" t="s">
        <v>1295</v>
      </c>
      <c r="K576" s="359" t="s">
        <v>1272</v>
      </c>
      <c r="M576" t="str">
        <f t="shared" si="9"/>
        <v>ETHYLBENZENE</v>
      </c>
    </row>
    <row r="577" spans="1:13" x14ac:dyDescent="0.25">
      <c r="A577" s="359" t="s">
        <v>1617</v>
      </c>
      <c r="B577" s="359" t="s">
        <v>883</v>
      </c>
      <c r="C577" s="359" t="s">
        <v>1365</v>
      </c>
      <c r="D577" s="359" t="s">
        <v>1366</v>
      </c>
      <c r="E577" s="360"/>
      <c r="F577" s="359" t="s">
        <v>1270</v>
      </c>
      <c r="G577" s="361">
        <v>1.0000000000000001E-5</v>
      </c>
      <c r="H577" s="359" t="s">
        <v>1286</v>
      </c>
      <c r="I577" s="361">
        <v>0</v>
      </c>
      <c r="J577" s="359" t="s">
        <v>1028</v>
      </c>
      <c r="K577" s="359" t="s">
        <v>1272</v>
      </c>
      <c r="M577" t="str">
        <f t="shared" si="9"/>
        <v>ETHENE</v>
      </c>
    </row>
    <row r="578" spans="1:13" x14ac:dyDescent="0.25">
      <c r="A578" s="359" t="s">
        <v>1617</v>
      </c>
      <c r="B578" s="359" t="s">
        <v>883</v>
      </c>
      <c r="C578" s="359" t="s">
        <v>1297</v>
      </c>
      <c r="D578" s="359" t="s">
        <v>1298</v>
      </c>
      <c r="E578" s="360"/>
      <c r="F578" s="359" t="s">
        <v>1270</v>
      </c>
      <c r="G578" s="361">
        <v>1.0000000000000001E-5</v>
      </c>
      <c r="H578" s="359" t="s">
        <v>1539</v>
      </c>
      <c r="I578" s="361">
        <v>1.8211920529801324E-2</v>
      </c>
      <c r="J578" s="359" t="s">
        <v>1297</v>
      </c>
      <c r="K578" s="359" t="s">
        <v>1272</v>
      </c>
      <c r="M578" t="str">
        <f t="shared" si="9"/>
        <v>LEAD AND LEAD COMPOUNDS</v>
      </c>
    </row>
    <row r="579" spans="1:13" x14ac:dyDescent="0.25">
      <c r="A579" s="359" t="s">
        <v>1617</v>
      </c>
      <c r="B579" s="359" t="s">
        <v>883</v>
      </c>
      <c r="C579" s="359" t="s">
        <v>1300</v>
      </c>
      <c r="D579" s="359" t="s">
        <v>1301</v>
      </c>
      <c r="E579" s="360"/>
      <c r="F579" s="359" t="s">
        <v>1270</v>
      </c>
      <c r="G579" s="361">
        <v>1.0000000000000001E-5</v>
      </c>
      <c r="H579" s="359" t="s">
        <v>1491</v>
      </c>
      <c r="I579" s="361">
        <v>3.3112582781456959E-4</v>
      </c>
      <c r="J579" s="359" t="s">
        <v>1300</v>
      </c>
      <c r="K579" s="359" t="s">
        <v>1272</v>
      </c>
      <c r="M579" t="str">
        <f t="shared" si="9"/>
        <v>MERCURY AND MERCURY COMPOUNDS</v>
      </c>
    </row>
    <row r="580" spans="1:13" x14ac:dyDescent="0.25">
      <c r="A580" s="359" t="s">
        <v>1617</v>
      </c>
      <c r="B580" s="359" t="s">
        <v>883</v>
      </c>
      <c r="C580" s="359" t="s">
        <v>1303</v>
      </c>
      <c r="D580" s="359" t="s">
        <v>1304</v>
      </c>
      <c r="E580" s="360"/>
      <c r="F580" s="359" t="s">
        <v>1270</v>
      </c>
      <c r="G580" s="361">
        <v>1.0000000000000001E-5</v>
      </c>
      <c r="H580" s="359" t="s">
        <v>1286</v>
      </c>
      <c r="I580" s="361">
        <v>0</v>
      </c>
      <c r="J580" s="359" t="s">
        <v>1303</v>
      </c>
      <c r="K580" s="359" t="s">
        <v>1272</v>
      </c>
      <c r="M580" t="str">
        <f t="shared" si="9"/>
        <v>NAPHTHALENE</v>
      </c>
    </row>
    <row r="581" spans="1:13" x14ac:dyDescent="0.25">
      <c r="A581" s="359" t="s">
        <v>1617</v>
      </c>
      <c r="B581" s="359" t="s">
        <v>883</v>
      </c>
      <c r="C581" s="359" t="s">
        <v>1305</v>
      </c>
      <c r="D581" s="359" t="s">
        <v>1306</v>
      </c>
      <c r="E581" s="360"/>
      <c r="F581" s="359" t="s">
        <v>1270</v>
      </c>
      <c r="G581" s="361">
        <v>1.0000000000000001E-5</v>
      </c>
      <c r="H581" s="359" t="s">
        <v>1286</v>
      </c>
      <c r="I581" s="361">
        <v>0</v>
      </c>
      <c r="J581" s="359" t="s">
        <v>1305</v>
      </c>
      <c r="K581" s="359" t="s">
        <v>1272</v>
      </c>
      <c r="M581" t="str">
        <f t="shared" si="9"/>
        <v>N-HEXANE</v>
      </c>
    </row>
    <row r="582" spans="1:13" x14ac:dyDescent="0.25">
      <c r="A582" s="359" t="s">
        <v>1617</v>
      </c>
      <c r="B582" s="359" t="s">
        <v>883</v>
      </c>
      <c r="C582" s="359" t="s">
        <v>1384</v>
      </c>
      <c r="D582" s="359" t="s">
        <v>1385</v>
      </c>
      <c r="E582" s="360"/>
      <c r="F582" s="359" t="s">
        <v>1270</v>
      </c>
      <c r="G582" s="361">
        <v>1.0000000000000001E-5</v>
      </c>
      <c r="H582" s="359" t="s">
        <v>1619</v>
      </c>
      <c r="I582" s="361">
        <v>8.2781456953642391E-2</v>
      </c>
      <c r="J582" s="359" t="s">
        <v>1384</v>
      </c>
      <c r="K582" s="359" t="s">
        <v>1272</v>
      </c>
      <c r="M582" t="str">
        <f t="shared" ref="M582:M645" si="10">IF(J582="",C582,J582)</f>
        <v>NICKEL AND NICKEL COMPOUNDS</v>
      </c>
    </row>
    <row r="583" spans="1:13" x14ac:dyDescent="0.25">
      <c r="A583" s="359" t="s">
        <v>1617</v>
      </c>
      <c r="B583" s="359" t="s">
        <v>883</v>
      </c>
      <c r="C583" s="359" t="s">
        <v>1307</v>
      </c>
      <c r="D583" s="359" t="s">
        <v>1308</v>
      </c>
      <c r="E583" s="360"/>
      <c r="F583" s="359" t="s">
        <v>1270</v>
      </c>
      <c r="G583" s="361">
        <v>1.0000000000000001E-5</v>
      </c>
      <c r="H583" s="359" t="s">
        <v>1620</v>
      </c>
      <c r="I583" s="361">
        <v>41.021523178807946</v>
      </c>
      <c r="J583" s="359" t="s">
        <v>1310</v>
      </c>
      <c r="K583" s="359" t="s">
        <v>1272</v>
      </c>
      <c r="M583" t="str">
        <f t="shared" si="10"/>
        <v>NITRATE</v>
      </c>
    </row>
    <row r="584" spans="1:13" x14ac:dyDescent="0.25">
      <c r="A584" s="359" t="s">
        <v>1617</v>
      </c>
      <c r="B584" s="359" t="s">
        <v>883</v>
      </c>
      <c r="C584" s="359" t="s">
        <v>1388</v>
      </c>
      <c r="D584" s="359" t="s">
        <v>1389</v>
      </c>
      <c r="E584" s="360"/>
      <c r="F584" s="359" t="s">
        <v>1270</v>
      </c>
      <c r="G584" s="361">
        <v>1.0000000000000001E-5</v>
      </c>
      <c r="H584" s="359" t="s">
        <v>1286</v>
      </c>
      <c r="I584" s="361">
        <v>0</v>
      </c>
      <c r="J584" s="359" t="s">
        <v>1388</v>
      </c>
      <c r="K584" s="359" t="s">
        <v>1272</v>
      </c>
      <c r="M584" t="str">
        <f t="shared" si="10"/>
        <v>PHENANTHRENE</v>
      </c>
    </row>
    <row r="585" spans="1:13" x14ac:dyDescent="0.25">
      <c r="A585" s="359" t="s">
        <v>1617</v>
      </c>
      <c r="B585" s="359" t="s">
        <v>883</v>
      </c>
      <c r="C585" s="359" t="s">
        <v>1315</v>
      </c>
      <c r="D585" s="359" t="s">
        <v>1316</v>
      </c>
      <c r="E585" s="360"/>
      <c r="F585" s="359" t="s">
        <v>1270</v>
      </c>
      <c r="G585" s="361">
        <v>1.0000000000000001E-5</v>
      </c>
      <c r="H585" s="359" t="s">
        <v>1621</v>
      </c>
      <c r="I585" s="361">
        <v>9.105960264900663E-2</v>
      </c>
      <c r="J585" s="359" t="s">
        <v>1315</v>
      </c>
      <c r="K585" s="359" t="s">
        <v>1272</v>
      </c>
      <c r="M585" t="str">
        <f t="shared" si="10"/>
        <v>PHENOL</v>
      </c>
    </row>
    <row r="586" spans="1:13" x14ac:dyDescent="0.25">
      <c r="A586" s="359" t="s">
        <v>1617</v>
      </c>
      <c r="B586" s="359" t="s">
        <v>883</v>
      </c>
      <c r="C586" s="359" t="s">
        <v>1319</v>
      </c>
      <c r="D586" s="359" t="s">
        <v>1320</v>
      </c>
      <c r="E586" s="360"/>
      <c r="F586" s="359" t="s">
        <v>1270</v>
      </c>
      <c r="G586" s="361">
        <v>1.0000000000000001E-5</v>
      </c>
      <c r="H586" s="359" t="s">
        <v>1286</v>
      </c>
      <c r="I586" s="361">
        <v>0</v>
      </c>
      <c r="J586" s="359" t="s">
        <v>1319</v>
      </c>
      <c r="K586" s="359" t="s">
        <v>1272</v>
      </c>
      <c r="M586" t="str">
        <f t="shared" si="10"/>
        <v>POLYCYCLIC AROMATIC COMPOUNDS</v>
      </c>
    </row>
    <row r="587" spans="1:13" x14ac:dyDescent="0.25">
      <c r="A587" s="359" t="s">
        <v>1617</v>
      </c>
      <c r="B587" s="359" t="s">
        <v>883</v>
      </c>
      <c r="C587" s="359" t="s">
        <v>1425</v>
      </c>
      <c r="D587" s="359" t="s">
        <v>1426</v>
      </c>
      <c r="E587" s="360"/>
      <c r="F587" s="359" t="s">
        <v>1270</v>
      </c>
      <c r="G587" s="361">
        <v>1.0000000000000001E-5</v>
      </c>
      <c r="H587" s="359" t="s">
        <v>1286</v>
      </c>
      <c r="I587" s="361">
        <v>0</v>
      </c>
      <c r="J587" s="359" t="s">
        <v>1425</v>
      </c>
      <c r="K587" s="359" t="s">
        <v>1272</v>
      </c>
      <c r="M587" t="str">
        <f t="shared" si="10"/>
        <v>PROPYLENE</v>
      </c>
    </row>
    <row r="588" spans="1:13" x14ac:dyDescent="0.25">
      <c r="A588" s="359" t="s">
        <v>1617</v>
      </c>
      <c r="B588" s="359" t="s">
        <v>883</v>
      </c>
      <c r="C588" s="359" t="s">
        <v>1325</v>
      </c>
      <c r="D588" s="359" t="s">
        <v>1326</v>
      </c>
      <c r="E588" s="360"/>
      <c r="F588" s="359" t="s">
        <v>1270</v>
      </c>
      <c r="G588" s="361">
        <v>1.0000000000000001E-5</v>
      </c>
      <c r="H588" s="359" t="s">
        <v>1286</v>
      </c>
      <c r="I588" s="361">
        <v>0</v>
      </c>
      <c r="J588" s="359" t="s">
        <v>1325</v>
      </c>
      <c r="K588" s="359" t="s">
        <v>1272</v>
      </c>
      <c r="M588" t="str">
        <f t="shared" si="10"/>
        <v>TOLUENE</v>
      </c>
    </row>
    <row r="589" spans="1:13" x14ac:dyDescent="0.25">
      <c r="A589" s="359" t="s">
        <v>1617</v>
      </c>
      <c r="B589" s="359" t="s">
        <v>883</v>
      </c>
      <c r="C589" s="359" t="s">
        <v>1327</v>
      </c>
      <c r="D589" s="359" t="s">
        <v>1328</v>
      </c>
      <c r="E589" s="360"/>
      <c r="F589" s="359" t="s">
        <v>1270</v>
      </c>
      <c r="G589" s="361">
        <v>1.0000000000000001E-5</v>
      </c>
      <c r="H589" s="359" t="s">
        <v>1286</v>
      </c>
      <c r="I589" s="361">
        <v>0</v>
      </c>
      <c r="J589" s="359" t="s">
        <v>1329</v>
      </c>
      <c r="K589" s="359" t="s">
        <v>1272</v>
      </c>
      <c r="M589" t="str">
        <f t="shared" si="10"/>
        <v>XYLENES</v>
      </c>
    </row>
    <row r="590" spans="1:13" x14ac:dyDescent="0.25">
      <c r="A590" s="359" t="s">
        <v>1617</v>
      </c>
      <c r="B590" s="359" t="s">
        <v>883</v>
      </c>
      <c r="C590" s="359" t="s">
        <v>1342</v>
      </c>
      <c r="D590" s="359" t="s">
        <v>1343</v>
      </c>
      <c r="E590" s="360"/>
      <c r="F590" s="359" t="s">
        <v>1270</v>
      </c>
      <c r="G590" s="361">
        <v>1.0000000000000001E-5</v>
      </c>
      <c r="H590" s="359" t="s">
        <v>1622</v>
      </c>
      <c r="I590" s="361">
        <v>0.47350993377483441</v>
      </c>
      <c r="J590" s="359" t="s">
        <v>1342</v>
      </c>
      <c r="K590" s="359" t="s">
        <v>1272</v>
      </c>
      <c r="M590" t="str">
        <f t="shared" si="10"/>
        <v>ZINC AND ZINC COMPOUNDS</v>
      </c>
    </row>
    <row r="591" spans="1:13" x14ac:dyDescent="0.25">
      <c r="A591" s="359" t="s">
        <v>1623</v>
      </c>
      <c r="B591" s="359" t="s">
        <v>687</v>
      </c>
      <c r="C591" s="359" t="s">
        <v>1268</v>
      </c>
      <c r="D591" s="359" t="s">
        <v>1269</v>
      </c>
      <c r="E591" s="360"/>
      <c r="F591" s="359" t="s">
        <v>1346</v>
      </c>
      <c r="G591" s="361">
        <v>3.0800049408972026E-6</v>
      </c>
      <c r="H591" s="359" t="s">
        <v>1286</v>
      </c>
      <c r="I591" s="361">
        <v>0</v>
      </c>
      <c r="J591" s="359" t="s">
        <v>1268</v>
      </c>
      <c r="K591" s="359" t="s">
        <v>1272</v>
      </c>
      <c r="M591" t="str">
        <f t="shared" si="10"/>
        <v>1,2,4-TRIMETHYLBENZENE</v>
      </c>
    </row>
    <row r="592" spans="1:13" x14ac:dyDescent="0.25">
      <c r="A592" s="359" t="s">
        <v>1623</v>
      </c>
      <c r="B592" s="359" t="s">
        <v>687</v>
      </c>
      <c r="C592" s="359" t="s">
        <v>1273</v>
      </c>
      <c r="D592" s="359" t="s">
        <v>1274</v>
      </c>
      <c r="E592" s="360"/>
      <c r="F592" s="359" t="s">
        <v>1346</v>
      </c>
      <c r="G592" s="361">
        <v>3.0800049408972026E-6</v>
      </c>
      <c r="H592" s="359" t="s">
        <v>1286</v>
      </c>
      <c r="I592" s="361">
        <v>0</v>
      </c>
      <c r="J592" s="359" t="s">
        <v>1273</v>
      </c>
      <c r="K592" s="359" t="s">
        <v>1272</v>
      </c>
      <c r="M592" t="str">
        <f t="shared" si="10"/>
        <v>BENZENE</v>
      </c>
    </row>
    <row r="593" spans="1:13" x14ac:dyDescent="0.25">
      <c r="A593" s="359" t="s">
        <v>1623</v>
      </c>
      <c r="B593" s="359" t="s">
        <v>687</v>
      </c>
      <c r="C593" s="359" t="s">
        <v>1352</v>
      </c>
      <c r="D593" s="359" t="s">
        <v>1353</v>
      </c>
      <c r="E593" s="360"/>
      <c r="F593" s="359" t="s">
        <v>1346</v>
      </c>
      <c r="G593" s="361">
        <v>3.0800049408972026E-6</v>
      </c>
      <c r="H593" s="359" t="s">
        <v>1286</v>
      </c>
      <c r="I593" s="361">
        <v>0</v>
      </c>
      <c r="J593" s="359" t="s">
        <v>1352</v>
      </c>
      <c r="K593" s="359" t="s">
        <v>1272</v>
      </c>
      <c r="M593" t="str">
        <f t="shared" si="10"/>
        <v>BENZO(G,H,I)PERYLENE</v>
      </c>
    </row>
    <row r="594" spans="1:13" x14ac:dyDescent="0.25">
      <c r="A594" s="359" t="s">
        <v>1623</v>
      </c>
      <c r="B594" s="359" t="s">
        <v>687</v>
      </c>
      <c r="C594" s="359" t="s">
        <v>1414</v>
      </c>
      <c r="D594" s="359" t="s">
        <v>1415</v>
      </c>
      <c r="E594" s="360"/>
      <c r="F594" s="359" t="s">
        <v>1346</v>
      </c>
      <c r="G594" s="361">
        <v>3.0800049408972026E-6</v>
      </c>
      <c r="H594" s="359" t="s">
        <v>1286</v>
      </c>
      <c r="I594" s="361">
        <v>0</v>
      </c>
      <c r="J594" s="359" t="s">
        <v>1414</v>
      </c>
      <c r="K594" s="359" t="s">
        <v>1272</v>
      </c>
      <c r="M594" t="str">
        <f t="shared" si="10"/>
        <v>BIPHENYL</v>
      </c>
    </row>
    <row r="595" spans="1:13" x14ac:dyDescent="0.25">
      <c r="A595" s="359" t="s">
        <v>1623</v>
      </c>
      <c r="B595" s="359" t="s">
        <v>687</v>
      </c>
      <c r="C595" s="359" t="s">
        <v>1276</v>
      </c>
      <c r="D595" s="359" t="s">
        <v>490</v>
      </c>
      <c r="E595" s="361">
        <v>195443.0839005</v>
      </c>
      <c r="F595" s="359" t="s">
        <v>1346</v>
      </c>
      <c r="G595" s="361">
        <v>3.0800049408972026E-6</v>
      </c>
      <c r="H595" s="359" t="s">
        <v>490</v>
      </c>
      <c r="I595" s="361">
        <v>1.6492209974732234E-3</v>
      </c>
      <c r="J595" s="359" t="s">
        <v>1276</v>
      </c>
      <c r="K595" s="359" t="s">
        <v>1277</v>
      </c>
      <c r="M595" t="str">
        <f t="shared" si="10"/>
        <v>BOD, 5-day, 20 deg. C</v>
      </c>
    </row>
    <row r="596" spans="1:13" x14ac:dyDescent="0.25">
      <c r="A596" s="359" t="s">
        <v>1623</v>
      </c>
      <c r="B596" s="359" t="s">
        <v>687</v>
      </c>
      <c r="C596" s="359" t="s">
        <v>1437</v>
      </c>
      <c r="D596" s="359" t="s">
        <v>1438</v>
      </c>
      <c r="E596" s="360"/>
      <c r="F596" s="359" t="s">
        <v>1346</v>
      </c>
      <c r="G596" s="361">
        <v>3.0800049408972026E-6</v>
      </c>
      <c r="H596" s="359" t="s">
        <v>1624</v>
      </c>
      <c r="I596" s="361">
        <v>0.14074194763040196</v>
      </c>
      <c r="J596" s="359" t="s">
        <v>1437</v>
      </c>
      <c r="K596" s="359" t="s">
        <v>1272</v>
      </c>
      <c r="M596" t="str">
        <f t="shared" si="10"/>
        <v>CHROMIUM AND CHROMIUM COMPOUNDS</v>
      </c>
    </row>
    <row r="597" spans="1:13" x14ac:dyDescent="0.25">
      <c r="A597" s="359" t="s">
        <v>1623</v>
      </c>
      <c r="B597" s="359" t="s">
        <v>687</v>
      </c>
      <c r="C597" s="359" t="s">
        <v>1280</v>
      </c>
      <c r="D597" s="359" t="s">
        <v>1281</v>
      </c>
      <c r="E597" s="361">
        <v>31.791383219930001</v>
      </c>
      <c r="F597" s="359" t="s">
        <v>1346</v>
      </c>
      <c r="G597" s="361">
        <v>3.0800049408972026E-6</v>
      </c>
      <c r="H597" s="359" t="s">
        <v>490</v>
      </c>
      <c r="I597" s="361">
        <v>2.6826744491874201E-7</v>
      </c>
      <c r="J597" s="359" t="s">
        <v>1280</v>
      </c>
      <c r="K597" s="359" t="s">
        <v>1277</v>
      </c>
      <c r="M597" t="str">
        <f t="shared" si="10"/>
        <v>Chromium, hexavalent (as Cr)</v>
      </c>
    </row>
    <row r="598" spans="1:13" x14ac:dyDescent="0.25">
      <c r="A598" s="359" t="s">
        <v>1623</v>
      </c>
      <c r="B598" s="359" t="s">
        <v>687</v>
      </c>
      <c r="C598" s="359" t="s">
        <v>1282</v>
      </c>
      <c r="D598" s="359" t="s">
        <v>1283</v>
      </c>
      <c r="E598" s="361">
        <v>106.7755102041</v>
      </c>
      <c r="F598" s="359" t="s">
        <v>1346</v>
      </c>
      <c r="G598" s="361">
        <v>3.0800049408972026E-6</v>
      </c>
      <c r="H598" s="359" t="s">
        <v>490</v>
      </c>
      <c r="I598" s="361">
        <v>9.0101123012451427E-7</v>
      </c>
      <c r="J598" s="359" t="s">
        <v>1282</v>
      </c>
      <c r="K598" s="359" t="s">
        <v>1277</v>
      </c>
      <c r="M598" t="str">
        <f t="shared" si="10"/>
        <v>Chromium, total (as Cr)</v>
      </c>
    </row>
    <row r="599" spans="1:13" x14ac:dyDescent="0.25">
      <c r="A599" s="359" t="s">
        <v>1623</v>
      </c>
      <c r="B599" s="359" t="s">
        <v>687</v>
      </c>
      <c r="C599" s="359" t="s">
        <v>1485</v>
      </c>
      <c r="D599" s="359" t="s">
        <v>1486</v>
      </c>
      <c r="E599" s="360"/>
      <c r="F599" s="359" t="s">
        <v>1346</v>
      </c>
      <c r="G599" s="361">
        <v>3.0800049408972026E-6</v>
      </c>
      <c r="H599" s="359" t="s">
        <v>1286</v>
      </c>
      <c r="I599" s="361">
        <v>0</v>
      </c>
      <c r="J599" s="359" t="s">
        <v>1485</v>
      </c>
      <c r="K599" s="359" t="s">
        <v>1272</v>
      </c>
      <c r="M599" t="str">
        <f t="shared" si="10"/>
        <v>COBALT AND COBALT COMPOUNDS</v>
      </c>
    </row>
    <row r="600" spans="1:13" x14ac:dyDescent="0.25">
      <c r="A600" s="359" t="s">
        <v>1623</v>
      </c>
      <c r="B600" s="359" t="s">
        <v>687</v>
      </c>
      <c r="C600" s="359" t="s">
        <v>1440</v>
      </c>
      <c r="D600" s="359" t="s">
        <v>1441</v>
      </c>
      <c r="E600" s="360"/>
      <c r="F600" s="359" t="s">
        <v>1346</v>
      </c>
      <c r="G600" s="361">
        <v>3.0800049408972026E-6</v>
      </c>
      <c r="H600" s="359" t="s">
        <v>1625</v>
      </c>
      <c r="I600" s="361">
        <v>4.9973590100649966E-2</v>
      </c>
      <c r="J600" s="359" t="s">
        <v>1440</v>
      </c>
      <c r="K600" s="359" t="s">
        <v>1272</v>
      </c>
      <c r="M600" t="str">
        <f t="shared" si="10"/>
        <v>COPPER AND COPPER COMPOUNDS</v>
      </c>
    </row>
    <row r="601" spans="1:13" x14ac:dyDescent="0.25">
      <c r="A601" s="359" t="s">
        <v>1623</v>
      </c>
      <c r="B601" s="359" t="s">
        <v>687</v>
      </c>
      <c r="C601" s="359" t="s">
        <v>1443</v>
      </c>
      <c r="D601" s="359" t="s">
        <v>1444</v>
      </c>
      <c r="E601" s="360"/>
      <c r="F601" s="359" t="s">
        <v>1346</v>
      </c>
      <c r="G601" s="361">
        <v>3.0800049408972026E-6</v>
      </c>
      <c r="H601" s="359" t="s">
        <v>1286</v>
      </c>
      <c r="I601" s="361">
        <v>0</v>
      </c>
      <c r="J601" s="359" t="s">
        <v>1445</v>
      </c>
      <c r="K601" s="359" t="s">
        <v>1272</v>
      </c>
      <c r="M601" t="str">
        <f t="shared" si="10"/>
        <v>CRESOL(S)</v>
      </c>
    </row>
    <row r="602" spans="1:13" x14ac:dyDescent="0.25">
      <c r="A602" s="359" t="s">
        <v>1623</v>
      </c>
      <c r="B602" s="359" t="s">
        <v>687</v>
      </c>
      <c r="C602" s="359" t="s">
        <v>1284</v>
      </c>
      <c r="D602" s="359" t="s">
        <v>1285</v>
      </c>
      <c r="E602" s="360"/>
      <c r="F602" s="359" t="s">
        <v>1346</v>
      </c>
      <c r="G602" s="361">
        <v>3.0800049408972026E-6</v>
      </c>
      <c r="H602" s="359" t="s">
        <v>1286</v>
      </c>
      <c r="I602" s="361">
        <v>0</v>
      </c>
      <c r="J602" s="359" t="s">
        <v>1287</v>
      </c>
      <c r="K602" s="359" t="s">
        <v>1272</v>
      </c>
      <c r="M602" t="str">
        <f t="shared" si="10"/>
        <v>ISOPROPYLBENZENE</v>
      </c>
    </row>
    <row r="603" spans="1:13" x14ac:dyDescent="0.25">
      <c r="A603" s="359" t="s">
        <v>1623</v>
      </c>
      <c r="B603" s="359" t="s">
        <v>687</v>
      </c>
      <c r="C603" s="359" t="s">
        <v>1543</v>
      </c>
      <c r="D603" s="359" t="s">
        <v>1544</v>
      </c>
      <c r="E603" s="361">
        <v>458.04988662100004</v>
      </c>
      <c r="F603" s="359" t="s">
        <v>1346</v>
      </c>
      <c r="G603" s="361">
        <v>3.0800049408972026E-6</v>
      </c>
      <c r="H603" s="359" t="s">
        <v>490</v>
      </c>
      <c r="I603" s="361">
        <v>3.8651942848495443E-6</v>
      </c>
      <c r="J603" s="359" t="s">
        <v>1543</v>
      </c>
      <c r="K603" s="359" t="s">
        <v>1277</v>
      </c>
      <c r="M603" t="str">
        <f t="shared" si="10"/>
        <v>Cyanide, total (as CN)</v>
      </c>
    </row>
    <row r="604" spans="1:13" x14ac:dyDescent="0.25">
      <c r="A604" s="359" t="s">
        <v>1623</v>
      </c>
      <c r="B604" s="359" t="s">
        <v>687</v>
      </c>
      <c r="C604" s="359" t="s">
        <v>1291</v>
      </c>
      <c r="D604" s="359" t="s">
        <v>1292</v>
      </c>
      <c r="E604" s="360"/>
      <c r="F604" s="359" t="s">
        <v>1346</v>
      </c>
      <c r="G604" s="361">
        <v>3.0800049408972026E-6</v>
      </c>
      <c r="H604" s="359" t="s">
        <v>1286</v>
      </c>
      <c r="I604" s="361">
        <v>0</v>
      </c>
      <c r="J604" s="359" t="s">
        <v>1291</v>
      </c>
      <c r="K604" s="359" t="s">
        <v>1272</v>
      </c>
      <c r="M604" t="str">
        <f t="shared" si="10"/>
        <v>CYCLOHEXANE</v>
      </c>
    </row>
    <row r="605" spans="1:13" x14ac:dyDescent="0.25">
      <c r="A605" s="359" t="s">
        <v>1623</v>
      </c>
      <c r="B605" s="359" t="s">
        <v>687</v>
      </c>
      <c r="C605" s="359" t="s">
        <v>1293</v>
      </c>
      <c r="D605" s="359" t="s">
        <v>1294</v>
      </c>
      <c r="E605" s="360"/>
      <c r="F605" s="359" t="s">
        <v>1346</v>
      </c>
      <c r="G605" s="361">
        <v>3.0800049408972026E-6</v>
      </c>
      <c r="H605" s="359" t="s">
        <v>1286</v>
      </c>
      <c r="I605" s="361">
        <v>0</v>
      </c>
      <c r="J605" s="359" t="s">
        <v>1293</v>
      </c>
      <c r="K605" s="359" t="s">
        <v>1272</v>
      </c>
      <c r="M605" t="str">
        <f t="shared" si="10"/>
        <v>DIETHANOLAMINE</v>
      </c>
    </row>
    <row r="606" spans="1:13" x14ac:dyDescent="0.25">
      <c r="A606" s="359" t="s">
        <v>1623</v>
      </c>
      <c r="B606" s="359" t="s">
        <v>687</v>
      </c>
      <c r="C606" s="359" t="s">
        <v>1362</v>
      </c>
      <c r="D606" s="359" t="s">
        <v>1363</v>
      </c>
      <c r="E606" s="360"/>
      <c r="F606" s="359" t="s">
        <v>1346</v>
      </c>
      <c r="G606" s="361">
        <v>3.0800049408972026E-6</v>
      </c>
      <c r="H606" s="359" t="s">
        <v>1286</v>
      </c>
      <c r="I606" s="361">
        <v>0</v>
      </c>
      <c r="J606" s="359" t="s">
        <v>1362</v>
      </c>
      <c r="K606" s="359" t="s">
        <v>1272</v>
      </c>
      <c r="M606" t="str">
        <f t="shared" si="10"/>
        <v>DIOXIN AND DIOXIN-LIKE COMPOUNDS</v>
      </c>
    </row>
    <row r="607" spans="1:13" x14ac:dyDescent="0.25">
      <c r="A607" s="359" t="s">
        <v>1623</v>
      </c>
      <c r="B607" s="359" t="s">
        <v>687</v>
      </c>
      <c r="C607" s="359" t="s">
        <v>1295</v>
      </c>
      <c r="D607" s="359" t="s">
        <v>1296</v>
      </c>
      <c r="E607" s="360"/>
      <c r="F607" s="359" t="s">
        <v>1346</v>
      </c>
      <c r="G607" s="361">
        <v>3.0800049408972026E-6</v>
      </c>
      <c r="H607" s="359" t="s">
        <v>1286</v>
      </c>
      <c r="I607" s="361">
        <v>0</v>
      </c>
      <c r="J607" s="359" t="s">
        <v>1295</v>
      </c>
      <c r="K607" s="359" t="s">
        <v>1272</v>
      </c>
      <c r="M607" t="str">
        <f t="shared" si="10"/>
        <v>ETHYLBENZENE</v>
      </c>
    </row>
    <row r="608" spans="1:13" x14ac:dyDescent="0.25">
      <c r="A608" s="359" t="s">
        <v>1623</v>
      </c>
      <c r="B608" s="359" t="s">
        <v>687</v>
      </c>
      <c r="C608" s="359" t="s">
        <v>1297</v>
      </c>
      <c r="D608" s="359" t="s">
        <v>1298</v>
      </c>
      <c r="E608" s="360"/>
      <c r="F608" s="359" t="s">
        <v>1346</v>
      </c>
      <c r="G608" s="361">
        <v>3.0800049408972026E-6</v>
      </c>
      <c r="H608" s="359" t="s">
        <v>1626</v>
      </c>
      <c r="I608" s="361">
        <v>1.7133802320222848E-2</v>
      </c>
      <c r="J608" s="359" t="s">
        <v>1297</v>
      </c>
      <c r="K608" s="359" t="s">
        <v>1272</v>
      </c>
      <c r="M608" t="str">
        <f t="shared" si="10"/>
        <v>LEAD AND LEAD COMPOUNDS</v>
      </c>
    </row>
    <row r="609" spans="1:13" x14ac:dyDescent="0.25">
      <c r="A609" s="359" t="s">
        <v>1623</v>
      </c>
      <c r="B609" s="359" t="s">
        <v>687</v>
      </c>
      <c r="C609" s="359" t="s">
        <v>1300</v>
      </c>
      <c r="D609" s="359" t="s">
        <v>1301</v>
      </c>
      <c r="E609" s="360"/>
      <c r="F609" s="359" t="s">
        <v>1346</v>
      </c>
      <c r="G609" s="361">
        <v>3.0800049408972026E-6</v>
      </c>
      <c r="H609" s="359" t="s">
        <v>1627</v>
      </c>
      <c r="I609" s="361">
        <v>1.9377514528823458E-4</v>
      </c>
      <c r="J609" s="359" t="s">
        <v>1300</v>
      </c>
      <c r="K609" s="359" t="s">
        <v>1272</v>
      </c>
      <c r="M609" t="str">
        <f t="shared" si="10"/>
        <v>MERCURY AND MERCURY COMPOUNDS</v>
      </c>
    </row>
    <row r="610" spans="1:13" x14ac:dyDescent="0.25">
      <c r="A610" s="359" t="s">
        <v>1623</v>
      </c>
      <c r="B610" s="359" t="s">
        <v>687</v>
      </c>
      <c r="C610" s="359" t="s">
        <v>1375</v>
      </c>
      <c r="D610" s="359" t="s">
        <v>1376</v>
      </c>
      <c r="E610" s="360"/>
      <c r="F610" s="359" t="s">
        <v>1346</v>
      </c>
      <c r="G610" s="361">
        <v>3.0800049408972026E-6</v>
      </c>
      <c r="H610" s="359" t="s">
        <v>1286</v>
      </c>
      <c r="I610" s="361">
        <v>0</v>
      </c>
      <c r="J610" s="359" t="s">
        <v>1375</v>
      </c>
      <c r="K610" s="359" t="s">
        <v>1272</v>
      </c>
      <c r="M610" t="str">
        <f t="shared" si="10"/>
        <v>METHANOL</v>
      </c>
    </row>
    <row r="611" spans="1:13" x14ac:dyDescent="0.25">
      <c r="A611" s="359" t="s">
        <v>1623</v>
      </c>
      <c r="B611" s="359" t="s">
        <v>687</v>
      </c>
      <c r="C611" s="359" t="s">
        <v>1381</v>
      </c>
      <c r="D611" s="359" t="s">
        <v>1382</v>
      </c>
      <c r="E611" s="360"/>
      <c r="F611" s="359" t="s">
        <v>1346</v>
      </c>
      <c r="G611" s="361">
        <v>3.0800049408972026E-6</v>
      </c>
      <c r="H611" s="359" t="s">
        <v>1628</v>
      </c>
      <c r="I611" s="361">
        <v>0.71237862623069392</v>
      </c>
      <c r="J611" s="359" t="s">
        <v>1381</v>
      </c>
      <c r="K611" s="359" t="s">
        <v>1272</v>
      </c>
      <c r="M611" t="str">
        <f t="shared" si="10"/>
        <v>MOLYBDENUM TRIOXIDE</v>
      </c>
    </row>
    <row r="612" spans="1:13" x14ac:dyDescent="0.25">
      <c r="A612" s="359" t="s">
        <v>1623</v>
      </c>
      <c r="B612" s="359" t="s">
        <v>687</v>
      </c>
      <c r="C612" s="359" t="s">
        <v>1303</v>
      </c>
      <c r="D612" s="359" t="s">
        <v>1304</v>
      </c>
      <c r="E612" s="360"/>
      <c r="F612" s="359" t="s">
        <v>1346</v>
      </c>
      <c r="G612" s="361">
        <v>3.0800049408972026E-6</v>
      </c>
      <c r="H612" s="359" t="s">
        <v>1286</v>
      </c>
      <c r="I612" s="361">
        <v>0</v>
      </c>
      <c r="J612" s="359" t="s">
        <v>1303</v>
      </c>
      <c r="K612" s="359" t="s">
        <v>1272</v>
      </c>
      <c r="M612" t="str">
        <f t="shared" si="10"/>
        <v>NAPHTHALENE</v>
      </c>
    </row>
    <row r="613" spans="1:13" x14ac:dyDescent="0.25">
      <c r="A613" s="359" t="s">
        <v>1623</v>
      </c>
      <c r="B613" s="359" t="s">
        <v>687</v>
      </c>
      <c r="C613" s="359" t="s">
        <v>1629</v>
      </c>
      <c r="D613" s="359" t="s">
        <v>1630</v>
      </c>
      <c r="E613" s="360"/>
      <c r="F613" s="359" t="s">
        <v>1346</v>
      </c>
      <c r="G613" s="361">
        <v>3.0800049408972026E-6</v>
      </c>
      <c r="H613" s="359" t="s">
        <v>1286</v>
      </c>
      <c r="I613" s="361">
        <v>0</v>
      </c>
      <c r="J613" s="359" t="s">
        <v>1631</v>
      </c>
      <c r="K613" s="359" t="s">
        <v>1272</v>
      </c>
      <c r="M613" t="str">
        <f t="shared" si="10"/>
        <v>1-BUTANOL</v>
      </c>
    </row>
    <row r="614" spans="1:13" x14ac:dyDescent="0.25">
      <c r="A614" s="359" t="s">
        <v>1623</v>
      </c>
      <c r="B614" s="359" t="s">
        <v>687</v>
      </c>
      <c r="C614" s="359" t="s">
        <v>1305</v>
      </c>
      <c r="D614" s="359" t="s">
        <v>1306</v>
      </c>
      <c r="E614" s="360"/>
      <c r="F614" s="359" t="s">
        <v>1346</v>
      </c>
      <c r="G614" s="361">
        <v>3.0800049408972026E-6</v>
      </c>
      <c r="H614" s="359" t="s">
        <v>1286</v>
      </c>
      <c r="I614" s="361">
        <v>0</v>
      </c>
      <c r="J614" s="359" t="s">
        <v>1305</v>
      </c>
      <c r="K614" s="359" t="s">
        <v>1272</v>
      </c>
      <c r="M614" t="str">
        <f t="shared" si="10"/>
        <v>N-HEXANE</v>
      </c>
    </row>
    <row r="615" spans="1:13" x14ac:dyDescent="0.25">
      <c r="A615" s="359" t="s">
        <v>1623</v>
      </c>
      <c r="B615" s="359" t="s">
        <v>687</v>
      </c>
      <c r="C615" s="359" t="s">
        <v>1384</v>
      </c>
      <c r="D615" s="359" t="s">
        <v>1385</v>
      </c>
      <c r="E615" s="360"/>
      <c r="F615" s="359" t="s">
        <v>1346</v>
      </c>
      <c r="G615" s="361">
        <v>3.0800049408972026E-6</v>
      </c>
      <c r="H615" s="359" t="s">
        <v>1632</v>
      </c>
      <c r="I615" s="361">
        <v>1.2758563513451657</v>
      </c>
      <c r="J615" s="359" t="s">
        <v>1384</v>
      </c>
      <c r="K615" s="359" t="s">
        <v>1272</v>
      </c>
      <c r="M615" t="str">
        <f t="shared" si="10"/>
        <v>NICKEL AND NICKEL COMPOUNDS</v>
      </c>
    </row>
    <row r="616" spans="1:13" x14ac:dyDescent="0.25">
      <c r="A616" s="359" t="s">
        <v>1623</v>
      </c>
      <c r="B616" s="359" t="s">
        <v>687</v>
      </c>
      <c r="C616" s="359" t="s">
        <v>1633</v>
      </c>
      <c r="D616" s="359" t="s">
        <v>1479</v>
      </c>
      <c r="E616" s="361">
        <v>1449.6145124720001</v>
      </c>
      <c r="F616" s="359" t="s">
        <v>1346</v>
      </c>
      <c r="G616" s="361">
        <v>3.0800049408972026E-6</v>
      </c>
      <c r="H616" s="359" t="s">
        <v>490</v>
      </c>
      <c r="I616" s="361">
        <v>1.2232383180301507E-5</v>
      </c>
      <c r="J616" s="359" t="s">
        <v>1633</v>
      </c>
      <c r="K616" s="359" t="s">
        <v>1277</v>
      </c>
      <c r="M616" t="str">
        <f t="shared" si="10"/>
        <v>Nickel, total (as Ni)</v>
      </c>
    </row>
    <row r="617" spans="1:13" x14ac:dyDescent="0.25">
      <c r="A617" s="359" t="s">
        <v>1623</v>
      </c>
      <c r="B617" s="359" t="s">
        <v>687</v>
      </c>
      <c r="C617" s="359" t="s">
        <v>1307</v>
      </c>
      <c r="D617" s="359" t="s">
        <v>1308</v>
      </c>
      <c r="E617" s="360"/>
      <c r="F617" s="359" t="s">
        <v>1346</v>
      </c>
      <c r="G617" s="361">
        <v>3.0800049408972026E-6</v>
      </c>
      <c r="H617" s="359" t="s">
        <v>1634</v>
      </c>
      <c r="I617" s="361">
        <v>17.2597561646602</v>
      </c>
      <c r="J617" s="359" t="s">
        <v>1310</v>
      </c>
      <c r="K617" s="359" t="s">
        <v>1272</v>
      </c>
      <c r="M617" t="str">
        <f t="shared" si="10"/>
        <v>NITRATE</v>
      </c>
    </row>
    <row r="618" spans="1:13" x14ac:dyDescent="0.25">
      <c r="A618" s="359" t="s">
        <v>1623</v>
      </c>
      <c r="B618" s="359" t="s">
        <v>687</v>
      </c>
      <c r="C618" s="359" t="s">
        <v>1311</v>
      </c>
      <c r="D618" s="359" t="s">
        <v>1312</v>
      </c>
      <c r="E618" s="361">
        <v>106481.63265310001</v>
      </c>
      <c r="F618" s="359" t="s">
        <v>1346</v>
      </c>
      <c r="G618" s="361">
        <v>3.0800049408972026E-6</v>
      </c>
      <c r="H618" s="359" t="s">
        <v>490</v>
      </c>
      <c r="I618" s="361">
        <v>8.9853138270232593E-4</v>
      </c>
      <c r="J618" s="359" t="s">
        <v>1313</v>
      </c>
      <c r="K618" s="359" t="s">
        <v>1277</v>
      </c>
      <c r="M618" t="str">
        <f t="shared" si="10"/>
        <v>AMMONIA</v>
      </c>
    </row>
    <row r="619" spans="1:13" x14ac:dyDescent="0.25">
      <c r="A619" s="359" t="s">
        <v>1623</v>
      </c>
      <c r="B619" s="359" t="s">
        <v>687</v>
      </c>
      <c r="C619" s="359" t="s">
        <v>1314</v>
      </c>
      <c r="D619" s="359" t="s">
        <v>490</v>
      </c>
      <c r="E619" s="361">
        <v>103445.35147389999</v>
      </c>
      <c r="F619" s="359" t="s">
        <v>1346</v>
      </c>
      <c r="G619" s="361">
        <v>3.0800049408972026E-6</v>
      </c>
      <c r="H619" s="359" t="s">
        <v>490</v>
      </c>
      <c r="I619" s="361">
        <v>8.7291011959578007E-4</v>
      </c>
      <c r="J619" s="359" t="s">
        <v>1314</v>
      </c>
      <c r="K619" s="359" t="s">
        <v>1277</v>
      </c>
      <c r="M619" t="str">
        <f t="shared" si="10"/>
        <v>Oil and grease</v>
      </c>
    </row>
    <row r="620" spans="1:13" x14ac:dyDescent="0.25">
      <c r="A620" s="359" t="s">
        <v>1623</v>
      </c>
      <c r="B620" s="359" t="s">
        <v>687</v>
      </c>
      <c r="C620" s="359" t="s">
        <v>1457</v>
      </c>
      <c r="D620" s="359" t="s">
        <v>490</v>
      </c>
      <c r="E620" s="361">
        <v>1947686.1678010002</v>
      </c>
      <c r="F620" s="359" t="s">
        <v>1346</v>
      </c>
      <c r="G620" s="361">
        <v>3.0800049408972026E-6</v>
      </c>
      <c r="H620" s="359" t="s">
        <v>490</v>
      </c>
      <c r="I620" s="361">
        <v>1.64352959456006E-2</v>
      </c>
      <c r="J620" s="359" t="s">
        <v>1457</v>
      </c>
      <c r="K620" s="359" t="s">
        <v>1277</v>
      </c>
      <c r="M620" t="str">
        <f t="shared" si="10"/>
        <v>Chemical Oxygen Demand (COD)</v>
      </c>
    </row>
    <row r="621" spans="1:13" x14ac:dyDescent="0.25">
      <c r="A621" s="359" t="s">
        <v>1623</v>
      </c>
      <c r="B621" s="359" t="s">
        <v>687</v>
      </c>
      <c r="C621" s="359" t="s">
        <v>1315</v>
      </c>
      <c r="D621" s="359" t="s">
        <v>1316</v>
      </c>
      <c r="E621" s="360"/>
      <c r="F621" s="359" t="s">
        <v>1346</v>
      </c>
      <c r="G621" s="361">
        <v>3.0800049408972026E-6</v>
      </c>
      <c r="H621" s="359" t="s">
        <v>1635</v>
      </c>
      <c r="I621" s="361">
        <v>0.21060298685273915</v>
      </c>
      <c r="J621" s="359" t="s">
        <v>1315</v>
      </c>
      <c r="K621" s="359" t="s">
        <v>1272</v>
      </c>
      <c r="M621" t="str">
        <f t="shared" si="10"/>
        <v>PHENOL</v>
      </c>
    </row>
    <row r="622" spans="1:13" x14ac:dyDescent="0.25">
      <c r="A622" s="359" t="s">
        <v>1623</v>
      </c>
      <c r="B622" s="359" t="s">
        <v>687</v>
      </c>
      <c r="C622" s="359" t="s">
        <v>1318</v>
      </c>
      <c r="D622" s="359" t="s">
        <v>490</v>
      </c>
      <c r="E622" s="361">
        <v>253.142857142</v>
      </c>
      <c r="F622" s="359" t="s">
        <v>1346</v>
      </c>
      <c r="G622" s="361">
        <v>3.0800049408972026E-6</v>
      </c>
      <c r="H622" s="359" t="s">
        <v>490</v>
      </c>
      <c r="I622" s="361">
        <v>2.1361130157539581E-6</v>
      </c>
      <c r="J622" s="359" t="s">
        <v>1318</v>
      </c>
      <c r="K622" s="359" t="s">
        <v>1277</v>
      </c>
      <c r="M622" t="str">
        <f t="shared" si="10"/>
        <v>Phenolics, total recoverable</v>
      </c>
    </row>
    <row r="623" spans="1:13" x14ac:dyDescent="0.25">
      <c r="A623" s="359" t="s">
        <v>1623</v>
      </c>
      <c r="B623" s="359" t="s">
        <v>687</v>
      </c>
      <c r="C623" s="359" t="s">
        <v>1461</v>
      </c>
      <c r="D623" s="359" t="s">
        <v>1462</v>
      </c>
      <c r="E623" s="361">
        <v>6347.3922227700004</v>
      </c>
      <c r="F623" s="359" t="s">
        <v>1346</v>
      </c>
      <c r="G623" s="361">
        <v>3.0800049408972026E-6</v>
      </c>
      <c r="H623" s="359" t="s">
        <v>490</v>
      </c>
      <c r="I623" s="361">
        <v>5.3561642213545423E-5</v>
      </c>
      <c r="J623" s="359" t="s">
        <v>1463</v>
      </c>
      <c r="K623" s="359" t="s">
        <v>1277</v>
      </c>
      <c r="M623" t="str">
        <f t="shared" si="10"/>
        <v>PHOSPHORUS</v>
      </c>
    </row>
    <row r="624" spans="1:13" x14ac:dyDescent="0.25">
      <c r="A624" s="359" t="s">
        <v>1623</v>
      </c>
      <c r="B624" s="359" t="s">
        <v>687</v>
      </c>
      <c r="C624" s="359" t="s">
        <v>1319</v>
      </c>
      <c r="D624" s="359" t="s">
        <v>1320</v>
      </c>
      <c r="E624" s="360"/>
      <c r="F624" s="359" t="s">
        <v>1346</v>
      </c>
      <c r="G624" s="361">
        <v>3.0800049408972026E-6</v>
      </c>
      <c r="H624" s="359" t="s">
        <v>1351</v>
      </c>
      <c r="I624" s="361">
        <v>6.6291497072290774E-3</v>
      </c>
      <c r="J624" s="359" t="s">
        <v>1319</v>
      </c>
      <c r="K624" s="359" t="s">
        <v>1272</v>
      </c>
      <c r="M624" t="str">
        <f t="shared" si="10"/>
        <v>POLYCYCLIC AROMATIC COMPOUNDS</v>
      </c>
    </row>
    <row r="625" spans="1:13" x14ac:dyDescent="0.25">
      <c r="A625" s="359" t="s">
        <v>1623</v>
      </c>
      <c r="B625" s="359" t="s">
        <v>687</v>
      </c>
      <c r="C625" s="359" t="s">
        <v>1322</v>
      </c>
      <c r="D625" s="359" t="s">
        <v>490</v>
      </c>
      <c r="E625" s="361">
        <v>569947.84580500005</v>
      </c>
      <c r="F625" s="359" t="s">
        <v>1346</v>
      </c>
      <c r="G625" s="361">
        <v>3.0800049408972026E-6</v>
      </c>
      <c r="H625" s="359" t="s">
        <v>490</v>
      </c>
      <c r="I625" s="361">
        <v>4.8094306332414167E-3</v>
      </c>
      <c r="J625" s="359" t="s">
        <v>1322</v>
      </c>
      <c r="K625" s="359" t="s">
        <v>1277</v>
      </c>
      <c r="M625" t="str">
        <f t="shared" si="10"/>
        <v>Solids, total suspended</v>
      </c>
    </row>
    <row r="626" spans="1:13" x14ac:dyDescent="0.25">
      <c r="A626" s="359" t="s">
        <v>1623</v>
      </c>
      <c r="B626" s="359" t="s">
        <v>687</v>
      </c>
      <c r="C626" s="359" t="s">
        <v>1392</v>
      </c>
      <c r="D626" s="359" t="s">
        <v>1393</v>
      </c>
      <c r="E626" s="360"/>
      <c r="F626" s="359" t="s">
        <v>1346</v>
      </c>
      <c r="G626" s="361">
        <v>3.0800049408972026E-6</v>
      </c>
      <c r="H626" s="359" t="s">
        <v>1286</v>
      </c>
      <c r="I626" s="361">
        <v>0</v>
      </c>
      <c r="J626" s="359" t="s">
        <v>1392</v>
      </c>
      <c r="K626" s="359" t="s">
        <v>1272</v>
      </c>
      <c r="M626" t="str">
        <f t="shared" si="10"/>
        <v>STYRENE</v>
      </c>
    </row>
    <row r="627" spans="1:13" x14ac:dyDescent="0.25">
      <c r="A627" s="359" t="s">
        <v>1623</v>
      </c>
      <c r="B627" s="359" t="s">
        <v>687</v>
      </c>
      <c r="C627" s="359" t="s">
        <v>1323</v>
      </c>
      <c r="D627" s="359" t="s">
        <v>1324</v>
      </c>
      <c r="E627" s="361">
        <v>1264.408163265</v>
      </c>
      <c r="F627" s="359" t="s">
        <v>1346</v>
      </c>
      <c r="G627" s="361">
        <v>3.0800049408972026E-6</v>
      </c>
      <c r="H627" s="359" t="s">
        <v>490</v>
      </c>
      <c r="I627" s="361">
        <v>1.0669543534703993E-5</v>
      </c>
      <c r="J627" s="359" t="s">
        <v>1323</v>
      </c>
      <c r="K627" s="359" t="s">
        <v>1277</v>
      </c>
      <c r="M627" t="str">
        <f t="shared" si="10"/>
        <v>Sulfide, total (as S)</v>
      </c>
    </row>
    <row r="628" spans="1:13" x14ac:dyDescent="0.25">
      <c r="A628" s="359" t="s">
        <v>1623</v>
      </c>
      <c r="B628" s="359" t="s">
        <v>687</v>
      </c>
      <c r="C628" s="359" t="s">
        <v>1396</v>
      </c>
      <c r="D628" s="359" t="s">
        <v>1397</v>
      </c>
      <c r="E628" s="360"/>
      <c r="F628" s="359" t="s">
        <v>1346</v>
      </c>
      <c r="G628" s="361">
        <v>3.0800049408972026E-6</v>
      </c>
      <c r="H628" s="359" t="s">
        <v>1286</v>
      </c>
      <c r="I628" s="361">
        <v>0</v>
      </c>
      <c r="J628" s="359" t="s">
        <v>1398</v>
      </c>
      <c r="K628" s="359" t="s">
        <v>1272</v>
      </c>
      <c r="M628" t="str">
        <f t="shared" si="10"/>
        <v>PERCHLOROETHYLENE</v>
      </c>
    </row>
    <row r="629" spans="1:13" x14ac:dyDescent="0.25">
      <c r="A629" s="359" t="s">
        <v>1623</v>
      </c>
      <c r="B629" s="359" t="s">
        <v>687</v>
      </c>
      <c r="C629" s="359" t="s">
        <v>1325</v>
      </c>
      <c r="D629" s="359" t="s">
        <v>1326</v>
      </c>
      <c r="E629" s="360"/>
      <c r="F629" s="359" t="s">
        <v>1346</v>
      </c>
      <c r="G629" s="361">
        <v>3.0800049408972026E-6</v>
      </c>
      <c r="H629" s="359" t="s">
        <v>1286</v>
      </c>
      <c r="I629" s="361">
        <v>0</v>
      </c>
      <c r="J629" s="359" t="s">
        <v>1325</v>
      </c>
      <c r="K629" s="359" t="s">
        <v>1272</v>
      </c>
      <c r="M629" t="str">
        <f t="shared" si="10"/>
        <v>TOLUENE</v>
      </c>
    </row>
    <row r="630" spans="1:13" x14ac:dyDescent="0.25">
      <c r="A630" s="359" t="s">
        <v>1623</v>
      </c>
      <c r="B630" s="359" t="s">
        <v>687</v>
      </c>
      <c r="C630" s="359" t="s">
        <v>1495</v>
      </c>
      <c r="D630" s="359" t="s">
        <v>1465</v>
      </c>
      <c r="E630" s="360"/>
      <c r="F630" s="359" t="s">
        <v>1346</v>
      </c>
      <c r="G630" s="361">
        <v>3.0800049408972026E-6</v>
      </c>
      <c r="H630" s="359" t="s">
        <v>1636</v>
      </c>
      <c r="I630" s="361">
        <v>1.4395453556544375</v>
      </c>
      <c r="J630" s="359" t="s">
        <v>1495</v>
      </c>
      <c r="K630" s="359" t="s">
        <v>1272</v>
      </c>
      <c r="M630" t="str">
        <f t="shared" si="10"/>
        <v>VANADIUM AND VANADIUM COMPOUNDS</v>
      </c>
    </row>
    <row r="631" spans="1:13" x14ac:dyDescent="0.25">
      <c r="A631" s="359" t="s">
        <v>1623</v>
      </c>
      <c r="B631" s="359" t="s">
        <v>687</v>
      </c>
      <c r="C631" s="359" t="s">
        <v>1327</v>
      </c>
      <c r="D631" s="359" t="s">
        <v>1328</v>
      </c>
      <c r="E631" s="360"/>
      <c r="F631" s="359" t="s">
        <v>1346</v>
      </c>
      <c r="G631" s="361">
        <v>3.0800049408972026E-6</v>
      </c>
      <c r="H631" s="359" t="s">
        <v>1286</v>
      </c>
      <c r="I631" s="361">
        <v>0</v>
      </c>
      <c r="J631" s="359" t="s">
        <v>1329</v>
      </c>
      <c r="K631" s="359" t="s">
        <v>1272</v>
      </c>
      <c r="M631" t="str">
        <f t="shared" si="10"/>
        <v>XYLENES</v>
      </c>
    </row>
    <row r="632" spans="1:13" x14ac:dyDescent="0.25">
      <c r="A632" s="359" t="s">
        <v>1623</v>
      </c>
      <c r="B632" s="359" t="s">
        <v>687</v>
      </c>
      <c r="C632" s="359" t="s">
        <v>1342</v>
      </c>
      <c r="D632" s="359" t="s">
        <v>1343</v>
      </c>
      <c r="E632" s="360"/>
      <c r="F632" s="359" t="s">
        <v>1346</v>
      </c>
      <c r="G632" s="361">
        <v>3.0800049408972026E-6</v>
      </c>
      <c r="H632" s="359" t="s">
        <v>1637</v>
      </c>
      <c r="I632" s="361">
        <v>1.4890090111622236</v>
      </c>
      <c r="J632" s="359" t="s">
        <v>1342</v>
      </c>
      <c r="K632" s="359" t="s">
        <v>1272</v>
      </c>
      <c r="M632" t="str">
        <f t="shared" si="10"/>
        <v>ZINC AND ZINC COMPOUNDS</v>
      </c>
    </row>
    <row r="633" spans="1:13" ht="30" x14ac:dyDescent="0.25">
      <c r="A633" s="359" t="s">
        <v>1638</v>
      </c>
      <c r="B633" s="359" t="s">
        <v>712</v>
      </c>
      <c r="C633" s="359" t="s">
        <v>1268</v>
      </c>
      <c r="D633" s="359" t="s">
        <v>1269</v>
      </c>
      <c r="E633" s="360"/>
      <c r="F633" s="359" t="s">
        <v>1412</v>
      </c>
      <c r="G633" s="361">
        <v>3.9794198707720958E-6</v>
      </c>
      <c r="H633" s="359" t="s">
        <v>1412</v>
      </c>
      <c r="I633" s="361">
        <v>2.6353773978623151E-3</v>
      </c>
      <c r="J633" s="359" t="s">
        <v>1268</v>
      </c>
      <c r="K633" s="359" t="s">
        <v>1272</v>
      </c>
      <c r="M633" t="str">
        <f t="shared" si="10"/>
        <v>1,2,4-TRIMETHYLBENZENE</v>
      </c>
    </row>
    <row r="634" spans="1:13" ht="30" x14ac:dyDescent="0.25">
      <c r="A634" s="359" t="s">
        <v>1638</v>
      </c>
      <c r="B634" s="359" t="s">
        <v>712</v>
      </c>
      <c r="C634" s="359" t="s">
        <v>1347</v>
      </c>
      <c r="D634" s="359" t="s">
        <v>1348</v>
      </c>
      <c r="E634" s="360"/>
      <c r="F634" s="359" t="s">
        <v>1412</v>
      </c>
      <c r="G634" s="361">
        <v>3.9794198707720958E-6</v>
      </c>
      <c r="H634" s="359" t="s">
        <v>1286</v>
      </c>
      <c r="I634" s="361">
        <v>0</v>
      </c>
      <c r="J634" s="359" t="s">
        <v>1347</v>
      </c>
      <c r="K634" s="359" t="s">
        <v>1272</v>
      </c>
      <c r="M634" t="str">
        <f t="shared" si="10"/>
        <v>1,3-BUTADIENE</v>
      </c>
    </row>
    <row r="635" spans="1:13" ht="30" x14ac:dyDescent="0.25">
      <c r="A635" s="359" t="s">
        <v>1638</v>
      </c>
      <c r="B635" s="359" t="s">
        <v>712</v>
      </c>
      <c r="C635" s="359" t="s">
        <v>1586</v>
      </c>
      <c r="D635" s="359" t="s">
        <v>1587</v>
      </c>
      <c r="E635" s="360"/>
      <c r="F635" s="359" t="s">
        <v>1412</v>
      </c>
      <c r="G635" s="361">
        <v>3.9794198707720958E-6</v>
      </c>
      <c r="H635" s="359" t="s">
        <v>1639</v>
      </c>
      <c r="I635" s="361">
        <v>5.6001769704574197E-2</v>
      </c>
      <c r="J635" s="359" t="s">
        <v>1586</v>
      </c>
      <c r="K635" s="359" t="s">
        <v>1272</v>
      </c>
      <c r="M635" t="str">
        <f t="shared" si="10"/>
        <v>ANTIMONY AND ANTIMONY COMPOUNDS</v>
      </c>
    </row>
    <row r="636" spans="1:13" ht="30" x14ac:dyDescent="0.25">
      <c r="A636" s="359" t="s">
        <v>1638</v>
      </c>
      <c r="B636" s="359" t="s">
        <v>712</v>
      </c>
      <c r="C636" s="359" t="s">
        <v>1273</v>
      </c>
      <c r="D636" s="359" t="s">
        <v>1274</v>
      </c>
      <c r="E636" s="360"/>
      <c r="F636" s="359" t="s">
        <v>1412</v>
      </c>
      <c r="G636" s="361">
        <v>3.9794198707720958E-6</v>
      </c>
      <c r="H636" s="359" t="s">
        <v>1640</v>
      </c>
      <c r="I636" s="361">
        <v>2.7671462677554305E-2</v>
      </c>
      <c r="J636" s="359" t="s">
        <v>1273</v>
      </c>
      <c r="K636" s="359" t="s">
        <v>1272</v>
      </c>
      <c r="M636" t="str">
        <f t="shared" si="10"/>
        <v>BENZENE</v>
      </c>
    </row>
    <row r="637" spans="1:13" ht="30" x14ac:dyDescent="0.25">
      <c r="A637" s="359" t="s">
        <v>1638</v>
      </c>
      <c r="B637" s="359" t="s">
        <v>712</v>
      </c>
      <c r="C637" s="359" t="s">
        <v>1352</v>
      </c>
      <c r="D637" s="359" t="s">
        <v>1353</v>
      </c>
      <c r="E637" s="360"/>
      <c r="F637" s="359" t="s">
        <v>1412</v>
      </c>
      <c r="G637" s="361">
        <v>3.9794198707720958E-6</v>
      </c>
      <c r="H637" s="359" t="s">
        <v>1286</v>
      </c>
      <c r="I637" s="361">
        <v>0</v>
      </c>
      <c r="J637" s="359" t="s">
        <v>1352</v>
      </c>
      <c r="K637" s="359" t="s">
        <v>1272</v>
      </c>
      <c r="M637" t="str">
        <f t="shared" si="10"/>
        <v>BENZO(G,H,I)PERYLENE</v>
      </c>
    </row>
    <row r="638" spans="1:13" ht="30" x14ac:dyDescent="0.25">
      <c r="A638" s="359" t="s">
        <v>1638</v>
      </c>
      <c r="B638" s="359" t="s">
        <v>712</v>
      </c>
      <c r="C638" s="359" t="s">
        <v>1276</v>
      </c>
      <c r="D638" s="359" t="s">
        <v>490</v>
      </c>
      <c r="E638" s="361">
        <v>54872.108843499998</v>
      </c>
      <c r="F638" s="359" t="s">
        <v>1412</v>
      </c>
      <c r="G638" s="361">
        <v>3.9794198707720958E-6</v>
      </c>
      <c r="H638" s="359" t="s">
        <v>490</v>
      </c>
      <c r="I638" s="361">
        <v>5.982442747479264E-4</v>
      </c>
      <c r="J638" s="359" t="s">
        <v>1276</v>
      </c>
      <c r="K638" s="359" t="s">
        <v>1277</v>
      </c>
      <c r="M638" t="str">
        <f t="shared" si="10"/>
        <v>BOD, 5-day, 20 deg. C</v>
      </c>
    </row>
    <row r="639" spans="1:13" ht="30" x14ac:dyDescent="0.25">
      <c r="A639" s="359" t="s">
        <v>1638</v>
      </c>
      <c r="B639" s="359" t="s">
        <v>712</v>
      </c>
      <c r="C639" s="359" t="s">
        <v>1278</v>
      </c>
      <c r="D639" s="359" t="s">
        <v>1279</v>
      </c>
      <c r="E639" s="361">
        <v>66300.07362000001</v>
      </c>
      <c r="F639" s="359" t="s">
        <v>1412</v>
      </c>
      <c r="G639" s="361">
        <v>3.9794198707720958E-6</v>
      </c>
      <c r="H639" s="359" t="s">
        <v>490</v>
      </c>
      <c r="I639" s="361">
        <v>7.2283789149885167E-4</v>
      </c>
      <c r="J639" s="359" t="s">
        <v>1278</v>
      </c>
      <c r="K639" s="359" t="s">
        <v>1277</v>
      </c>
      <c r="M639" t="str">
        <f t="shared" si="10"/>
        <v>Carbon, tot organic (TOC)</v>
      </c>
    </row>
    <row r="640" spans="1:13" ht="30" x14ac:dyDescent="0.25">
      <c r="A640" s="359" t="s">
        <v>1638</v>
      </c>
      <c r="B640" s="359" t="s">
        <v>712</v>
      </c>
      <c r="C640" s="359" t="s">
        <v>1280</v>
      </c>
      <c r="D640" s="359" t="s">
        <v>1281</v>
      </c>
      <c r="E640" s="361">
        <v>16.870748299300001</v>
      </c>
      <c r="F640" s="359" t="s">
        <v>1412</v>
      </c>
      <c r="G640" s="361">
        <v>3.9794198707720958E-6</v>
      </c>
      <c r="H640" s="359" t="s">
        <v>490</v>
      </c>
      <c r="I640" s="361">
        <v>1.8393367401925742E-7</v>
      </c>
      <c r="J640" s="359" t="s">
        <v>1280</v>
      </c>
      <c r="K640" s="359" t="s">
        <v>1277</v>
      </c>
      <c r="M640" t="str">
        <f t="shared" si="10"/>
        <v>Chromium, hexavalent (as Cr)</v>
      </c>
    </row>
    <row r="641" spans="1:13" ht="30" x14ac:dyDescent="0.25">
      <c r="A641" s="359" t="s">
        <v>1638</v>
      </c>
      <c r="B641" s="359" t="s">
        <v>712</v>
      </c>
      <c r="C641" s="359" t="s">
        <v>1282</v>
      </c>
      <c r="D641" s="359" t="s">
        <v>1283</v>
      </c>
      <c r="E641" s="361">
        <v>0</v>
      </c>
      <c r="F641" s="359" t="s">
        <v>1412</v>
      </c>
      <c r="G641" s="361">
        <v>3.9794198707720958E-6</v>
      </c>
      <c r="H641" s="359" t="s">
        <v>490</v>
      </c>
      <c r="I641" s="361">
        <v>0</v>
      </c>
      <c r="J641" s="359" t="s">
        <v>1282</v>
      </c>
      <c r="K641" s="359" t="s">
        <v>1277</v>
      </c>
      <c r="M641" t="str">
        <f t="shared" si="10"/>
        <v>Chromium, total (as Cr)</v>
      </c>
    </row>
    <row r="642" spans="1:13" ht="30" x14ac:dyDescent="0.25">
      <c r="A642" s="359" t="s">
        <v>1638</v>
      </c>
      <c r="B642" s="359" t="s">
        <v>712</v>
      </c>
      <c r="C642" s="359" t="s">
        <v>1485</v>
      </c>
      <c r="D642" s="359" t="s">
        <v>1486</v>
      </c>
      <c r="E642" s="360"/>
      <c r="F642" s="359" t="s">
        <v>1412</v>
      </c>
      <c r="G642" s="361">
        <v>3.9794198707720958E-6</v>
      </c>
      <c r="H642" s="359" t="s">
        <v>1641</v>
      </c>
      <c r="I642" s="361">
        <v>0.13967500208670269</v>
      </c>
      <c r="J642" s="359" t="s">
        <v>1485</v>
      </c>
      <c r="K642" s="359" t="s">
        <v>1272</v>
      </c>
      <c r="M642" t="str">
        <f t="shared" si="10"/>
        <v>COBALT AND COBALT COMPOUNDS</v>
      </c>
    </row>
    <row r="643" spans="1:13" ht="30" x14ac:dyDescent="0.25">
      <c r="A643" s="359" t="s">
        <v>1638</v>
      </c>
      <c r="B643" s="359" t="s">
        <v>712</v>
      </c>
      <c r="C643" s="359" t="s">
        <v>1443</v>
      </c>
      <c r="D643" s="359" t="s">
        <v>1444</v>
      </c>
      <c r="E643" s="360"/>
      <c r="F643" s="359" t="s">
        <v>1412</v>
      </c>
      <c r="G643" s="361">
        <v>3.9794198707720958E-6</v>
      </c>
      <c r="H643" s="359" t="s">
        <v>1286</v>
      </c>
      <c r="I643" s="361">
        <v>0</v>
      </c>
      <c r="J643" s="359" t="s">
        <v>1445</v>
      </c>
      <c r="K643" s="359" t="s">
        <v>1272</v>
      </c>
      <c r="M643" t="str">
        <f t="shared" si="10"/>
        <v>CRESOL(S)</v>
      </c>
    </row>
    <row r="644" spans="1:13" ht="30" x14ac:dyDescent="0.25">
      <c r="A644" s="359" t="s">
        <v>1638</v>
      </c>
      <c r="B644" s="359" t="s">
        <v>712</v>
      </c>
      <c r="C644" s="359" t="s">
        <v>1284</v>
      </c>
      <c r="D644" s="359" t="s">
        <v>1285</v>
      </c>
      <c r="E644" s="360"/>
      <c r="F644" s="359" t="s">
        <v>1412</v>
      </c>
      <c r="G644" s="361">
        <v>3.9794198707720958E-6</v>
      </c>
      <c r="H644" s="359" t="s">
        <v>1286</v>
      </c>
      <c r="I644" s="361">
        <v>0</v>
      </c>
      <c r="J644" s="359" t="s">
        <v>1287</v>
      </c>
      <c r="K644" s="359" t="s">
        <v>1272</v>
      </c>
      <c r="M644" t="str">
        <f t="shared" si="10"/>
        <v>ISOPROPYLBENZENE</v>
      </c>
    </row>
    <row r="645" spans="1:13" ht="30" x14ac:dyDescent="0.25">
      <c r="A645" s="359" t="s">
        <v>1638</v>
      </c>
      <c r="B645" s="359" t="s">
        <v>712</v>
      </c>
      <c r="C645" s="359" t="s">
        <v>1291</v>
      </c>
      <c r="D645" s="359" t="s">
        <v>1292</v>
      </c>
      <c r="E645" s="360"/>
      <c r="F645" s="359" t="s">
        <v>1412</v>
      </c>
      <c r="G645" s="361">
        <v>3.9794198707720958E-6</v>
      </c>
      <c r="H645" s="359" t="s">
        <v>1286</v>
      </c>
      <c r="I645" s="361">
        <v>0</v>
      </c>
      <c r="J645" s="359" t="s">
        <v>1291</v>
      </c>
      <c r="K645" s="359" t="s">
        <v>1272</v>
      </c>
      <c r="M645" t="str">
        <f t="shared" si="10"/>
        <v>CYCLOHEXANE</v>
      </c>
    </row>
    <row r="646" spans="1:13" ht="30" x14ac:dyDescent="0.25">
      <c r="A646" s="359" t="s">
        <v>1638</v>
      </c>
      <c r="B646" s="359" t="s">
        <v>712</v>
      </c>
      <c r="C646" s="359" t="s">
        <v>1293</v>
      </c>
      <c r="D646" s="359" t="s">
        <v>1294</v>
      </c>
      <c r="E646" s="360"/>
      <c r="F646" s="359" t="s">
        <v>1412</v>
      </c>
      <c r="G646" s="361">
        <v>3.9794198707720958E-6</v>
      </c>
      <c r="H646" s="359" t="s">
        <v>1642</v>
      </c>
      <c r="I646" s="361">
        <v>3.4918750521675673E-2</v>
      </c>
      <c r="J646" s="359" t="s">
        <v>1293</v>
      </c>
      <c r="K646" s="359" t="s">
        <v>1272</v>
      </c>
      <c r="M646" t="str">
        <f t="shared" ref="M646:M709" si="11">IF(J646="",C646,J646)</f>
        <v>DIETHANOLAMINE</v>
      </c>
    </row>
    <row r="647" spans="1:13" ht="30" x14ac:dyDescent="0.25">
      <c r="A647" s="359" t="s">
        <v>1638</v>
      </c>
      <c r="B647" s="359" t="s">
        <v>712</v>
      </c>
      <c r="C647" s="359" t="s">
        <v>1362</v>
      </c>
      <c r="D647" s="359" t="s">
        <v>1363</v>
      </c>
      <c r="E647" s="360"/>
      <c r="F647" s="359" t="s">
        <v>1412</v>
      </c>
      <c r="G647" s="361">
        <v>3.9794198707720958E-6</v>
      </c>
      <c r="H647" s="359" t="s">
        <v>1286</v>
      </c>
      <c r="I647" s="361">
        <v>0</v>
      </c>
      <c r="J647" s="359" t="s">
        <v>1362</v>
      </c>
      <c r="K647" s="359" t="s">
        <v>1272</v>
      </c>
      <c r="M647" t="str">
        <f t="shared" si="11"/>
        <v>DIOXIN AND DIOXIN-LIKE COMPOUNDS</v>
      </c>
    </row>
    <row r="648" spans="1:13" ht="30" x14ac:dyDescent="0.25">
      <c r="A648" s="359" t="s">
        <v>1638</v>
      </c>
      <c r="B648" s="359" t="s">
        <v>712</v>
      </c>
      <c r="C648" s="359" t="s">
        <v>1295</v>
      </c>
      <c r="D648" s="359" t="s">
        <v>1296</v>
      </c>
      <c r="E648" s="360"/>
      <c r="F648" s="359" t="s">
        <v>1412</v>
      </c>
      <c r="G648" s="361">
        <v>3.9794198707720958E-6</v>
      </c>
      <c r="H648" s="359" t="s">
        <v>1640</v>
      </c>
      <c r="I648" s="361">
        <v>2.7671462677554305E-2</v>
      </c>
      <c r="J648" s="359" t="s">
        <v>1295</v>
      </c>
      <c r="K648" s="359" t="s">
        <v>1272</v>
      </c>
      <c r="M648" t="str">
        <f t="shared" si="11"/>
        <v>ETHYLBENZENE</v>
      </c>
    </row>
    <row r="649" spans="1:13" ht="30" x14ac:dyDescent="0.25">
      <c r="A649" s="359" t="s">
        <v>1638</v>
      </c>
      <c r="B649" s="359" t="s">
        <v>712</v>
      </c>
      <c r="C649" s="359" t="s">
        <v>1643</v>
      </c>
      <c r="D649" s="359" t="s">
        <v>1644</v>
      </c>
      <c r="E649" s="360"/>
      <c r="F649" s="359" t="s">
        <v>1412</v>
      </c>
      <c r="G649" s="361">
        <v>3.9794198707720958E-6</v>
      </c>
      <c r="H649" s="359" t="s">
        <v>1286</v>
      </c>
      <c r="I649" s="361">
        <v>0</v>
      </c>
      <c r="J649" s="359" t="s">
        <v>1643</v>
      </c>
      <c r="K649" s="359" t="s">
        <v>1272</v>
      </c>
      <c r="M649" t="str">
        <f t="shared" si="11"/>
        <v>FORMIC ACID</v>
      </c>
    </row>
    <row r="650" spans="1:13" ht="30" x14ac:dyDescent="0.25">
      <c r="A650" s="359" t="s">
        <v>1638</v>
      </c>
      <c r="B650" s="359" t="s">
        <v>712</v>
      </c>
      <c r="C650" s="359" t="s">
        <v>1488</v>
      </c>
      <c r="D650" s="359" t="s">
        <v>1489</v>
      </c>
      <c r="E650" s="360"/>
      <c r="F650" s="359" t="s">
        <v>1412</v>
      </c>
      <c r="G650" s="361">
        <v>3.9794198707720958E-6</v>
      </c>
      <c r="H650" s="359" t="s">
        <v>1286</v>
      </c>
      <c r="I650" s="361">
        <v>0</v>
      </c>
      <c r="J650" s="359" t="s">
        <v>1490</v>
      </c>
      <c r="K650" s="359" t="s">
        <v>1272</v>
      </c>
      <c r="M650" t="str">
        <f t="shared" si="11"/>
        <v>HYDROFLUORIC ACID</v>
      </c>
    </row>
    <row r="651" spans="1:13" ht="30" x14ac:dyDescent="0.25">
      <c r="A651" s="359" t="s">
        <v>1638</v>
      </c>
      <c r="B651" s="359" t="s">
        <v>712</v>
      </c>
      <c r="C651" s="359" t="s">
        <v>1297</v>
      </c>
      <c r="D651" s="359" t="s">
        <v>1298</v>
      </c>
      <c r="E651" s="360"/>
      <c r="F651" s="359" t="s">
        <v>1412</v>
      </c>
      <c r="G651" s="361">
        <v>3.9794198707720958E-6</v>
      </c>
      <c r="H651" s="359" t="s">
        <v>1645</v>
      </c>
      <c r="I651" s="361">
        <v>1.3938840479468518E-2</v>
      </c>
      <c r="J651" s="359" t="s">
        <v>1297</v>
      </c>
      <c r="K651" s="359" t="s">
        <v>1272</v>
      </c>
      <c r="M651" t="str">
        <f t="shared" si="11"/>
        <v>LEAD AND LEAD COMPOUNDS</v>
      </c>
    </row>
    <row r="652" spans="1:13" ht="30" x14ac:dyDescent="0.25">
      <c r="A652" s="359" t="s">
        <v>1638</v>
      </c>
      <c r="B652" s="359" t="s">
        <v>712</v>
      </c>
      <c r="C652" s="359" t="s">
        <v>1300</v>
      </c>
      <c r="D652" s="359" t="s">
        <v>1301</v>
      </c>
      <c r="E652" s="360"/>
      <c r="F652" s="359" t="s">
        <v>1412</v>
      </c>
      <c r="G652" s="361">
        <v>3.9794198707720958E-6</v>
      </c>
      <c r="H652" s="359" t="s">
        <v>1646</v>
      </c>
      <c r="I652" s="361">
        <v>5.6001769704574198E-4</v>
      </c>
      <c r="J652" s="359" t="s">
        <v>1300</v>
      </c>
      <c r="K652" s="359" t="s">
        <v>1272</v>
      </c>
      <c r="M652" t="str">
        <f t="shared" si="11"/>
        <v>MERCURY AND MERCURY COMPOUNDS</v>
      </c>
    </row>
    <row r="653" spans="1:13" ht="30" x14ac:dyDescent="0.25">
      <c r="A653" s="359" t="s">
        <v>1638</v>
      </c>
      <c r="B653" s="359" t="s">
        <v>712</v>
      </c>
      <c r="C653" s="359" t="s">
        <v>1381</v>
      </c>
      <c r="D653" s="359" t="s">
        <v>1382</v>
      </c>
      <c r="E653" s="360"/>
      <c r="F653" s="359" t="s">
        <v>1412</v>
      </c>
      <c r="G653" s="361">
        <v>3.9794198707720958E-6</v>
      </c>
      <c r="H653" s="359" t="s">
        <v>1647</v>
      </c>
      <c r="I653" s="361">
        <v>4.1507194016331461E-2</v>
      </c>
      <c r="J653" s="359" t="s">
        <v>1381</v>
      </c>
      <c r="K653" s="359" t="s">
        <v>1272</v>
      </c>
      <c r="M653" t="str">
        <f t="shared" si="11"/>
        <v>MOLYBDENUM TRIOXIDE</v>
      </c>
    </row>
    <row r="654" spans="1:13" ht="30" x14ac:dyDescent="0.25">
      <c r="A654" s="359" t="s">
        <v>1638</v>
      </c>
      <c r="B654" s="359" t="s">
        <v>712</v>
      </c>
      <c r="C654" s="359" t="s">
        <v>1303</v>
      </c>
      <c r="D654" s="359" t="s">
        <v>1304</v>
      </c>
      <c r="E654" s="360"/>
      <c r="F654" s="359" t="s">
        <v>1412</v>
      </c>
      <c r="G654" s="361">
        <v>3.9794198707720958E-6</v>
      </c>
      <c r="H654" s="359" t="s">
        <v>1640</v>
      </c>
      <c r="I654" s="361">
        <v>2.7671462677554305E-2</v>
      </c>
      <c r="J654" s="359" t="s">
        <v>1303</v>
      </c>
      <c r="K654" s="359" t="s">
        <v>1272</v>
      </c>
      <c r="M654" t="str">
        <f t="shared" si="11"/>
        <v>NAPHTHALENE</v>
      </c>
    </row>
    <row r="655" spans="1:13" ht="30" x14ac:dyDescent="0.25">
      <c r="A655" s="359" t="s">
        <v>1638</v>
      </c>
      <c r="B655" s="359" t="s">
        <v>712</v>
      </c>
      <c r="C655" s="359" t="s">
        <v>1305</v>
      </c>
      <c r="D655" s="359" t="s">
        <v>1306</v>
      </c>
      <c r="E655" s="360"/>
      <c r="F655" s="359" t="s">
        <v>1412</v>
      </c>
      <c r="G655" s="361">
        <v>3.9794198707720958E-6</v>
      </c>
      <c r="H655" s="359" t="s">
        <v>1286</v>
      </c>
      <c r="I655" s="361">
        <v>0</v>
      </c>
      <c r="J655" s="359" t="s">
        <v>1305</v>
      </c>
      <c r="K655" s="359" t="s">
        <v>1272</v>
      </c>
      <c r="M655" t="str">
        <f t="shared" si="11"/>
        <v>N-HEXANE</v>
      </c>
    </row>
    <row r="656" spans="1:13" ht="30" x14ac:dyDescent="0.25">
      <c r="A656" s="359" t="s">
        <v>1638</v>
      </c>
      <c r="B656" s="359" t="s">
        <v>712</v>
      </c>
      <c r="C656" s="359" t="s">
        <v>1384</v>
      </c>
      <c r="D656" s="359" t="s">
        <v>1385</v>
      </c>
      <c r="E656" s="360"/>
      <c r="F656" s="359" t="s">
        <v>1412</v>
      </c>
      <c r="G656" s="361">
        <v>3.9794198707720958E-6</v>
      </c>
      <c r="H656" s="359" t="s">
        <v>1648</v>
      </c>
      <c r="I656" s="361">
        <v>0.11134469505968281</v>
      </c>
      <c r="J656" s="359" t="s">
        <v>1384</v>
      </c>
      <c r="K656" s="359" t="s">
        <v>1272</v>
      </c>
      <c r="M656" t="str">
        <f t="shared" si="11"/>
        <v>NICKEL AND NICKEL COMPOUNDS</v>
      </c>
    </row>
    <row r="657" spans="1:13" ht="30" x14ac:dyDescent="0.25">
      <c r="A657" s="359" t="s">
        <v>1638</v>
      </c>
      <c r="B657" s="359" t="s">
        <v>712</v>
      </c>
      <c r="C657" s="359" t="s">
        <v>1307</v>
      </c>
      <c r="D657" s="359" t="s">
        <v>1308</v>
      </c>
      <c r="E657" s="360"/>
      <c r="F657" s="359" t="s">
        <v>1412</v>
      </c>
      <c r="G657" s="361">
        <v>3.9794198707720958E-6</v>
      </c>
      <c r="H657" s="359" t="s">
        <v>1649</v>
      </c>
      <c r="I657" s="361">
        <v>42.364350514986178</v>
      </c>
      <c r="J657" s="359" t="s">
        <v>1310</v>
      </c>
      <c r="K657" s="359" t="s">
        <v>1272</v>
      </c>
      <c r="M657" t="str">
        <f t="shared" si="11"/>
        <v>NITRATE</v>
      </c>
    </row>
    <row r="658" spans="1:13" ht="30" x14ac:dyDescent="0.25">
      <c r="A658" s="359" t="s">
        <v>1638</v>
      </c>
      <c r="B658" s="359" t="s">
        <v>712</v>
      </c>
      <c r="C658" s="359" t="s">
        <v>1311</v>
      </c>
      <c r="D658" s="359" t="s">
        <v>1312</v>
      </c>
      <c r="E658" s="361">
        <v>94358.276643999998</v>
      </c>
      <c r="F658" s="359" t="s">
        <v>1412</v>
      </c>
      <c r="G658" s="361">
        <v>3.9794198707720958E-6</v>
      </c>
      <c r="H658" s="359" t="s">
        <v>490</v>
      </c>
      <c r="I658" s="361">
        <v>1.0287430165724497E-3</v>
      </c>
      <c r="J658" s="359" t="s">
        <v>1313</v>
      </c>
      <c r="K658" s="359" t="s">
        <v>1277</v>
      </c>
      <c r="M658" t="str">
        <f t="shared" si="11"/>
        <v>AMMONIA</v>
      </c>
    </row>
    <row r="659" spans="1:13" ht="30" x14ac:dyDescent="0.25">
      <c r="A659" s="359" t="s">
        <v>1638</v>
      </c>
      <c r="B659" s="359" t="s">
        <v>712</v>
      </c>
      <c r="C659" s="359" t="s">
        <v>1314</v>
      </c>
      <c r="D659" s="359" t="s">
        <v>490</v>
      </c>
      <c r="E659" s="361">
        <v>2690.4915500000002</v>
      </c>
      <c r="F659" s="359" t="s">
        <v>1412</v>
      </c>
      <c r="G659" s="361">
        <v>3.9794198707720958E-6</v>
      </c>
      <c r="H659" s="359" t="s">
        <v>490</v>
      </c>
      <c r="I659" s="361">
        <v>2.9333138455381961E-5</v>
      </c>
      <c r="J659" s="359" t="s">
        <v>1314</v>
      </c>
      <c r="K659" s="359" t="s">
        <v>1277</v>
      </c>
      <c r="M659" t="str">
        <f t="shared" si="11"/>
        <v>Oil and grease</v>
      </c>
    </row>
    <row r="660" spans="1:13" ht="30" x14ac:dyDescent="0.25">
      <c r="A660" s="359" t="s">
        <v>1638</v>
      </c>
      <c r="B660" s="359" t="s">
        <v>712</v>
      </c>
      <c r="C660" s="359" t="s">
        <v>1457</v>
      </c>
      <c r="D660" s="359" t="s">
        <v>490</v>
      </c>
      <c r="E660" s="361">
        <v>658682.53968299995</v>
      </c>
      <c r="F660" s="359" t="s">
        <v>1412</v>
      </c>
      <c r="G660" s="361">
        <v>3.9794198707720958E-6</v>
      </c>
      <c r="H660" s="359" t="s">
        <v>490</v>
      </c>
      <c r="I660" s="361">
        <v>7.1812996902607109E-3</v>
      </c>
      <c r="J660" s="359" t="s">
        <v>1457</v>
      </c>
      <c r="K660" s="359" t="s">
        <v>1277</v>
      </c>
      <c r="M660" t="str">
        <f t="shared" si="11"/>
        <v>Chemical Oxygen Demand (COD)</v>
      </c>
    </row>
    <row r="661" spans="1:13" ht="30" x14ac:dyDescent="0.25">
      <c r="A661" s="359" t="s">
        <v>1638</v>
      </c>
      <c r="B661" s="359" t="s">
        <v>712</v>
      </c>
      <c r="C661" s="359" t="s">
        <v>1315</v>
      </c>
      <c r="D661" s="359" t="s">
        <v>1316</v>
      </c>
      <c r="E661" s="360"/>
      <c r="F661" s="359" t="s">
        <v>1412</v>
      </c>
      <c r="G661" s="361">
        <v>3.9794198707720958E-6</v>
      </c>
      <c r="H661" s="359" t="s">
        <v>1640</v>
      </c>
      <c r="I661" s="361">
        <v>2.7671462677554305E-2</v>
      </c>
      <c r="J661" s="359" t="s">
        <v>1315</v>
      </c>
      <c r="K661" s="359" t="s">
        <v>1272</v>
      </c>
      <c r="M661" t="str">
        <f t="shared" si="11"/>
        <v>PHENOL</v>
      </c>
    </row>
    <row r="662" spans="1:13" ht="30" x14ac:dyDescent="0.25">
      <c r="A662" s="359" t="s">
        <v>1638</v>
      </c>
      <c r="B662" s="359" t="s">
        <v>712</v>
      </c>
      <c r="C662" s="359" t="s">
        <v>1319</v>
      </c>
      <c r="D662" s="359" t="s">
        <v>1320</v>
      </c>
      <c r="E662" s="360"/>
      <c r="F662" s="359" t="s">
        <v>1412</v>
      </c>
      <c r="G662" s="361">
        <v>3.9794198707720958E-6</v>
      </c>
      <c r="H662" s="359" t="s">
        <v>1650</v>
      </c>
      <c r="I662" s="361">
        <v>2.7877680958937036E-2</v>
      </c>
      <c r="J662" s="359" t="s">
        <v>1319</v>
      </c>
      <c r="K662" s="359" t="s">
        <v>1272</v>
      </c>
      <c r="M662" t="str">
        <f t="shared" si="11"/>
        <v>POLYCYCLIC AROMATIC COMPOUNDS</v>
      </c>
    </row>
    <row r="663" spans="1:13" ht="30" x14ac:dyDescent="0.25">
      <c r="A663" s="359" t="s">
        <v>1638</v>
      </c>
      <c r="B663" s="359" t="s">
        <v>712</v>
      </c>
      <c r="C663" s="359" t="s">
        <v>1322</v>
      </c>
      <c r="D663" s="359" t="s">
        <v>490</v>
      </c>
      <c r="E663" s="361">
        <v>84559.637188199995</v>
      </c>
      <c r="F663" s="359" t="s">
        <v>1412</v>
      </c>
      <c r="G663" s="361">
        <v>3.9794198707720958E-6</v>
      </c>
      <c r="H663" s="359" t="s">
        <v>490</v>
      </c>
      <c r="I663" s="361">
        <v>9.2191315203288249E-4</v>
      </c>
      <c r="J663" s="359" t="s">
        <v>1322</v>
      </c>
      <c r="K663" s="359" t="s">
        <v>1277</v>
      </c>
      <c r="M663" t="str">
        <f t="shared" si="11"/>
        <v>Solids, total suspended</v>
      </c>
    </row>
    <row r="664" spans="1:13" ht="30" x14ac:dyDescent="0.25">
      <c r="A664" s="359" t="s">
        <v>1638</v>
      </c>
      <c r="B664" s="359" t="s">
        <v>712</v>
      </c>
      <c r="C664" s="359" t="s">
        <v>1323</v>
      </c>
      <c r="D664" s="359" t="s">
        <v>1324</v>
      </c>
      <c r="E664" s="361">
        <v>170.702947846</v>
      </c>
      <c r="F664" s="359" t="s">
        <v>1412</v>
      </c>
      <c r="G664" s="361">
        <v>3.9794198707720958E-6</v>
      </c>
      <c r="H664" s="359" t="s">
        <v>490</v>
      </c>
      <c r="I664" s="361">
        <v>1.8610923360486167E-6</v>
      </c>
      <c r="J664" s="359" t="s">
        <v>1323</v>
      </c>
      <c r="K664" s="359" t="s">
        <v>1277</v>
      </c>
      <c r="M664" t="str">
        <f t="shared" si="11"/>
        <v>Sulfide, total (as S)</v>
      </c>
    </row>
    <row r="665" spans="1:13" ht="30" x14ac:dyDescent="0.25">
      <c r="A665" s="359" t="s">
        <v>1638</v>
      </c>
      <c r="B665" s="359" t="s">
        <v>712</v>
      </c>
      <c r="C665" s="359" t="s">
        <v>1325</v>
      </c>
      <c r="D665" s="359" t="s">
        <v>1326</v>
      </c>
      <c r="E665" s="360"/>
      <c r="F665" s="359" t="s">
        <v>1412</v>
      </c>
      <c r="G665" s="361">
        <v>3.9794198707720958E-6</v>
      </c>
      <c r="H665" s="359" t="s">
        <v>1640</v>
      </c>
      <c r="I665" s="361">
        <v>2.7671462677554305E-2</v>
      </c>
      <c r="J665" s="359" t="s">
        <v>1325</v>
      </c>
      <c r="K665" s="359" t="s">
        <v>1272</v>
      </c>
      <c r="M665" t="str">
        <f t="shared" si="11"/>
        <v>TOLUENE</v>
      </c>
    </row>
    <row r="666" spans="1:13" ht="30" x14ac:dyDescent="0.25">
      <c r="A666" s="359" t="s">
        <v>1638</v>
      </c>
      <c r="B666" s="359" t="s">
        <v>712</v>
      </c>
      <c r="C666" s="359" t="s">
        <v>1495</v>
      </c>
      <c r="D666" s="359" t="s">
        <v>1465</v>
      </c>
      <c r="E666" s="360"/>
      <c r="F666" s="359" t="s">
        <v>1412</v>
      </c>
      <c r="G666" s="361">
        <v>3.9794198707720958E-6</v>
      </c>
      <c r="H666" s="359" t="s">
        <v>1286</v>
      </c>
      <c r="I666" s="361">
        <v>0</v>
      </c>
      <c r="J666" s="359" t="s">
        <v>1495</v>
      </c>
      <c r="K666" s="359" t="s">
        <v>1272</v>
      </c>
      <c r="M666" t="str">
        <f t="shared" si="11"/>
        <v>VANADIUM AND VANADIUM COMPOUNDS</v>
      </c>
    </row>
    <row r="667" spans="1:13" ht="30" x14ac:dyDescent="0.25">
      <c r="A667" s="359" t="s">
        <v>1638</v>
      </c>
      <c r="B667" s="359" t="s">
        <v>712</v>
      </c>
      <c r="C667" s="359" t="s">
        <v>1327</v>
      </c>
      <c r="D667" s="359" t="s">
        <v>1328</v>
      </c>
      <c r="E667" s="360"/>
      <c r="F667" s="359" t="s">
        <v>1412</v>
      </c>
      <c r="G667" s="361">
        <v>3.9794198707720958E-6</v>
      </c>
      <c r="H667" s="359" t="s">
        <v>1640</v>
      </c>
      <c r="I667" s="361">
        <v>2.7671462677554305E-2</v>
      </c>
      <c r="J667" s="359" t="s">
        <v>1329</v>
      </c>
      <c r="K667" s="359" t="s">
        <v>1272</v>
      </c>
      <c r="M667" t="str">
        <f t="shared" si="11"/>
        <v>XYLENES</v>
      </c>
    </row>
    <row r="668" spans="1:13" ht="30" x14ac:dyDescent="0.25">
      <c r="A668" s="359" t="s">
        <v>1651</v>
      </c>
      <c r="B668" s="359" t="s">
        <v>726</v>
      </c>
      <c r="C668" s="359" t="s">
        <v>1268</v>
      </c>
      <c r="D668" s="359" t="s">
        <v>1269</v>
      </c>
      <c r="E668" s="360"/>
      <c r="F668" s="359" t="s">
        <v>1346</v>
      </c>
      <c r="G668" s="361">
        <v>4.1126222095427099E-6</v>
      </c>
      <c r="H668" s="359" t="s">
        <v>1652</v>
      </c>
      <c r="I668" s="361">
        <v>2.7235908672468275E-2</v>
      </c>
      <c r="J668" s="359" t="s">
        <v>1268</v>
      </c>
      <c r="K668" s="359" t="s">
        <v>1272</v>
      </c>
      <c r="M668" t="str">
        <f t="shared" si="11"/>
        <v>1,2,4-TRIMETHYLBENZENE</v>
      </c>
    </row>
    <row r="669" spans="1:13" ht="30" x14ac:dyDescent="0.25">
      <c r="A669" s="359" t="s">
        <v>1651</v>
      </c>
      <c r="B669" s="359" t="s">
        <v>726</v>
      </c>
      <c r="C669" s="359" t="s">
        <v>1653</v>
      </c>
      <c r="D669" s="359" t="s">
        <v>1654</v>
      </c>
      <c r="E669" s="361">
        <v>5.5026455026500001</v>
      </c>
      <c r="F669" s="359" t="s">
        <v>1346</v>
      </c>
      <c r="G669" s="361">
        <v>4.1126222095427099E-6</v>
      </c>
      <c r="H669" s="359" t="s">
        <v>490</v>
      </c>
      <c r="I669" s="361">
        <v>6.2000827686133422E-8</v>
      </c>
      <c r="J669" s="359" t="s">
        <v>1655</v>
      </c>
      <c r="K669" s="359" t="s">
        <v>1277</v>
      </c>
      <c r="M669" t="str">
        <f t="shared" si="11"/>
        <v>1,2-DICHLOROETHANE</v>
      </c>
    </row>
    <row r="670" spans="1:13" ht="30" x14ac:dyDescent="0.25">
      <c r="A670" s="359" t="s">
        <v>1651</v>
      </c>
      <c r="B670" s="359" t="s">
        <v>726</v>
      </c>
      <c r="C670" s="359" t="s">
        <v>1347</v>
      </c>
      <c r="D670" s="359" t="s">
        <v>1348</v>
      </c>
      <c r="E670" s="360"/>
      <c r="F670" s="359" t="s">
        <v>1346</v>
      </c>
      <c r="G670" s="361">
        <v>4.1126222095427099E-6</v>
      </c>
      <c r="H670" s="359" t="s">
        <v>1652</v>
      </c>
      <c r="I670" s="361">
        <v>2.7235908672468275E-2</v>
      </c>
      <c r="J670" s="359" t="s">
        <v>1347</v>
      </c>
      <c r="K670" s="359" t="s">
        <v>1272</v>
      </c>
      <c r="M670" t="str">
        <f t="shared" si="11"/>
        <v>1,3-BUTADIENE</v>
      </c>
    </row>
    <row r="671" spans="1:13" ht="30" x14ac:dyDescent="0.25">
      <c r="A671" s="359" t="s">
        <v>1651</v>
      </c>
      <c r="B671" s="359" t="s">
        <v>726</v>
      </c>
      <c r="C671" s="359" t="s">
        <v>1656</v>
      </c>
      <c r="D671" s="359" t="s">
        <v>1657</v>
      </c>
      <c r="E671" s="361">
        <v>74.920634920599994</v>
      </c>
      <c r="F671" s="359" t="s">
        <v>1346</v>
      </c>
      <c r="G671" s="361">
        <v>4.1126222095427099E-6</v>
      </c>
      <c r="H671" s="359" t="s">
        <v>490</v>
      </c>
      <c r="I671" s="361">
        <v>8.441651154178101E-7</v>
      </c>
      <c r="J671" s="359" t="s">
        <v>1658</v>
      </c>
      <c r="K671" s="359" t="s">
        <v>1277</v>
      </c>
      <c r="M671" t="str">
        <f t="shared" si="11"/>
        <v>2-METHYLNAPHTHALENE</v>
      </c>
    </row>
    <row r="672" spans="1:13" ht="30" x14ac:dyDescent="0.25">
      <c r="A672" s="359" t="s">
        <v>1651</v>
      </c>
      <c r="B672" s="359" t="s">
        <v>726</v>
      </c>
      <c r="C672" s="359" t="s">
        <v>1313</v>
      </c>
      <c r="D672" s="359" t="s">
        <v>1312</v>
      </c>
      <c r="E672" s="360"/>
      <c r="F672" s="359" t="s">
        <v>1346</v>
      </c>
      <c r="G672" s="361">
        <v>4.1126222095427099E-6</v>
      </c>
      <c r="H672" s="359" t="s">
        <v>1659</v>
      </c>
      <c r="I672" s="361">
        <v>6.4433350941891829</v>
      </c>
      <c r="J672" s="359" t="s">
        <v>1313</v>
      </c>
      <c r="K672" s="359" t="s">
        <v>1272</v>
      </c>
      <c r="M672" t="str">
        <f t="shared" si="11"/>
        <v>AMMONIA</v>
      </c>
    </row>
    <row r="673" spans="1:13" ht="30" x14ac:dyDescent="0.25">
      <c r="A673" s="359" t="s">
        <v>1651</v>
      </c>
      <c r="B673" s="359" t="s">
        <v>726</v>
      </c>
      <c r="C673" s="359" t="s">
        <v>1660</v>
      </c>
      <c r="D673" s="359" t="s">
        <v>1350</v>
      </c>
      <c r="E673" s="361">
        <v>1.6507936507900001</v>
      </c>
      <c r="F673" s="359" t="s">
        <v>1346</v>
      </c>
      <c r="G673" s="361">
        <v>4.1126222095427099E-6</v>
      </c>
      <c r="H673" s="359" t="s">
        <v>490</v>
      </c>
      <c r="I673" s="361">
        <v>1.8600248305783689E-8</v>
      </c>
      <c r="J673" s="359" t="s">
        <v>1349</v>
      </c>
      <c r="K673" s="359" t="s">
        <v>1277</v>
      </c>
      <c r="M673" t="str">
        <f t="shared" si="11"/>
        <v>ANTHRACENE</v>
      </c>
    </row>
    <row r="674" spans="1:13" ht="30" x14ac:dyDescent="0.25">
      <c r="A674" s="359" t="s">
        <v>1651</v>
      </c>
      <c r="B674" s="359" t="s">
        <v>726</v>
      </c>
      <c r="C674" s="359" t="s">
        <v>1273</v>
      </c>
      <c r="D674" s="359" t="s">
        <v>1274</v>
      </c>
      <c r="E674" s="360"/>
      <c r="F674" s="359" t="s">
        <v>1346</v>
      </c>
      <c r="G674" s="361">
        <v>4.1126222095427099E-6</v>
      </c>
      <c r="H674" s="359" t="s">
        <v>1526</v>
      </c>
      <c r="I674" s="361">
        <v>5.5833612778559971E-2</v>
      </c>
      <c r="J674" s="359" t="s">
        <v>1273</v>
      </c>
      <c r="K674" s="359" t="s">
        <v>1272</v>
      </c>
      <c r="M674" t="str">
        <f t="shared" si="11"/>
        <v>BENZENE</v>
      </c>
    </row>
    <row r="675" spans="1:13" ht="30" x14ac:dyDescent="0.25">
      <c r="A675" s="359" t="s">
        <v>1651</v>
      </c>
      <c r="B675" s="359" t="s">
        <v>726</v>
      </c>
      <c r="C675" s="359" t="s">
        <v>1661</v>
      </c>
      <c r="D675" s="359" t="s">
        <v>1662</v>
      </c>
      <c r="E675" s="361">
        <v>0</v>
      </c>
      <c r="F675" s="359" t="s">
        <v>1346</v>
      </c>
      <c r="G675" s="361">
        <v>4.1126222095427099E-6</v>
      </c>
      <c r="H675" s="359" t="s">
        <v>490</v>
      </c>
      <c r="I675" s="361">
        <v>0</v>
      </c>
      <c r="J675" s="359" t="s">
        <v>1663</v>
      </c>
      <c r="K675" s="359" t="s">
        <v>1277</v>
      </c>
      <c r="M675" t="str">
        <f t="shared" si="11"/>
        <v>BENZ[A]ANTHRACENE</v>
      </c>
    </row>
    <row r="676" spans="1:13" ht="30" x14ac:dyDescent="0.25">
      <c r="A676" s="359" t="s">
        <v>1651</v>
      </c>
      <c r="B676" s="359" t="s">
        <v>726</v>
      </c>
      <c r="C676" s="359" t="s">
        <v>1664</v>
      </c>
      <c r="D676" s="359" t="s">
        <v>1665</v>
      </c>
      <c r="E676" s="361">
        <v>2.2010582010599999</v>
      </c>
      <c r="F676" s="359" t="s">
        <v>1346</v>
      </c>
      <c r="G676" s="361">
        <v>4.1126222095427099E-6</v>
      </c>
      <c r="H676" s="359" t="s">
        <v>490</v>
      </c>
      <c r="I676" s="361">
        <v>2.4800331074453369E-8</v>
      </c>
      <c r="J676" s="359" t="s">
        <v>1666</v>
      </c>
      <c r="K676" s="359" t="s">
        <v>1277</v>
      </c>
      <c r="M676" t="str">
        <f t="shared" si="11"/>
        <v>BENZO[A]PYRENE</v>
      </c>
    </row>
    <row r="677" spans="1:13" ht="30" x14ac:dyDescent="0.25">
      <c r="A677" s="359" t="s">
        <v>1651</v>
      </c>
      <c r="B677" s="359" t="s">
        <v>726</v>
      </c>
      <c r="C677" s="359" t="s">
        <v>1352</v>
      </c>
      <c r="D677" s="359" t="s">
        <v>1353</v>
      </c>
      <c r="E677" s="360"/>
      <c r="F677" s="359" t="s">
        <v>1346</v>
      </c>
      <c r="G677" s="361">
        <v>4.1126222095427099E-6</v>
      </c>
      <c r="H677" s="359" t="s">
        <v>1667</v>
      </c>
      <c r="I677" s="361">
        <v>3.4044885840585343E-4</v>
      </c>
      <c r="J677" s="359" t="s">
        <v>1352</v>
      </c>
      <c r="K677" s="359" t="s">
        <v>1272</v>
      </c>
      <c r="M677" t="str">
        <f t="shared" si="11"/>
        <v>BENZO(G,H,I)PERYLENE</v>
      </c>
    </row>
    <row r="678" spans="1:13" ht="30" x14ac:dyDescent="0.25">
      <c r="A678" s="359" t="s">
        <v>1651</v>
      </c>
      <c r="B678" s="359" t="s">
        <v>726</v>
      </c>
      <c r="C678" s="359" t="s">
        <v>1414</v>
      </c>
      <c r="D678" s="359" t="s">
        <v>1415</v>
      </c>
      <c r="E678" s="360"/>
      <c r="F678" s="359" t="s">
        <v>1346</v>
      </c>
      <c r="G678" s="361">
        <v>4.1126222095427099E-6</v>
      </c>
      <c r="H678" s="359" t="s">
        <v>1652</v>
      </c>
      <c r="I678" s="361">
        <v>2.7235908672468275E-2</v>
      </c>
      <c r="J678" s="359" t="s">
        <v>1414</v>
      </c>
      <c r="K678" s="359" t="s">
        <v>1272</v>
      </c>
      <c r="M678" t="str">
        <f t="shared" si="11"/>
        <v>BIPHENYL</v>
      </c>
    </row>
    <row r="679" spans="1:13" ht="30" x14ac:dyDescent="0.25">
      <c r="A679" s="359" t="s">
        <v>1651</v>
      </c>
      <c r="B679" s="359" t="s">
        <v>726</v>
      </c>
      <c r="C679" s="359" t="s">
        <v>1355</v>
      </c>
      <c r="D679" s="359" t="s">
        <v>1356</v>
      </c>
      <c r="E679" s="360"/>
      <c r="F679" s="359" t="s">
        <v>1346</v>
      </c>
      <c r="G679" s="361">
        <v>4.1126222095427099E-6</v>
      </c>
      <c r="H679" s="359" t="s">
        <v>1668</v>
      </c>
      <c r="I679" s="361">
        <v>5.5152715061748257E-2</v>
      </c>
      <c r="J679" s="359" t="s">
        <v>1355</v>
      </c>
      <c r="K679" s="359" t="s">
        <v>1272</v>
      </c>
      <c r="M679" t="str">
        <f t="shared" si="11"/>
        <v>CARBON DISULFIDE</v>
      </c>
    </row>
    <row r="680" spans="1:13" ht="30" x14ac:dyDescent="0.25">
      <c r="A680" s="359" t="s">
        <v>1651</v>
      </c>
      <c r="B680" s="359" t="s">
        <v>726</v>
      </c>
      <c r="C680" s="359" t="s">
        <v>1278</v>
      </c>
      <c r="D680" s="359" t="s">
        <v>1279</v>
      </c>
      <c r="E680" s="361">
        <v>25317.425940000001</v>
      </c>
      <c r="F680" s="359" t="s">
        <v>1346</v>
      </c>
      <c r="G680" s="361">
        <v>4.1126222095427099E-6</v>
      </c>
      <c r="H680" s="359" t="s">
        <v>490</v>
      </c>
      <c r="I680" s="361">
        <v>2.8526303618985402E-4</v>
      </c>
      <c r="J680" s="359" t="s">
        <v>1278</v>
      </c>
      <c r="K680" s="359" t="s">
        <v>1277</v>
      </c>
      <c r="M680" t="str">
        <f t="shared" si="11"/>
        <v>Carbon, tot organic (TOC)</v>
      </c>
    </row>
    <row r="681" spans="1:13" ht="30" x14ac:dyDescent="0.25">
      <c r="A681" s="359" t="s">
        <v>1651</v>
      </c>
      <c r="B681" s="359" t="s">
        <v>726</v>
      </c>
      <c r="C681" s="359" t="s">
        <v>1357</v>
      </c>
      <c r="D681" s="359" t="s">
        <v>1358</v>
      </c>
      <c r="E681" s="360"/>
      <c r="F681" s="359" t="s">
        <v>1346</v>
      </c>
      <c r="G681" s="361">
        <v>4.1126222095427099E-6</v>
      </c>
      <c r="H681" s="359" t="s">
        <v>1669</v>
      </c>
      <c r="I681" s="361">
        <v>0.59646639992705519</v>
      </c>
      <c r="J681" s="359" t="s">
        <v>1357</v>
      </c>
      <c r="K681" s="359" t="s">
        <v>1272</v>
      </c>
      <c r="M681" t="str">
        <f t="shared" si="11"/>
        <v>CARBONYL SULFIDE</v>
      </c>
    </row>
    <row r="682" spans="1:13" ht="30" x14ac:dyDescent="0.25">
      <c r="A682" s="359" t="s">
        <v>1651</v>
      </c>
      <c r="B682" s="359" t="s">
        <v>726</v>
      </c>
      <c r="C682" s="359" t="s">
        <v>1670</v>
      </c>
      <c r="D682" s="359" t="s">
        <v>1671</v>
      </c>
      <c r="E682" s="361">
        <v>5.5026455026500001</v>
      </c>
      <c r="F682" s="359" t="s">
        <v>1346</v>
      </c>
      <c r="G682" s="361">
        <v>4.1126222095427099E-6</v>
      </c>
      <c r="H682" s="359" t="s">
        <v>490</v>
      </c>
      <c r="I682" s="361">
        <v>6.2000827686133422E-8</v>
      </c>
      <c r="J682" s="359" t="s">
        <v>1670</v>
      </c>
      <c r="K682" s="359" t="s">
        <v>1277</v>
      </c>
      <c r="M682" t="str">
        <f t="shared" si="11"/>
        <v>Chrysene</v>
      </c>
    </row>
    <row r="683" spans="1:13" ht="30" x14ac:dyDescent="0.25">
      <c r="A683" s="359" t="s">
        <v>1651</v>
      </c>
      <c r="B683" s="359" t="s">
        <v>726</v>
      </c>
      <c r="C683" s="359" t="s">
        <v>1485</v>
      </c>
      <c r="D683" s="359" t="s">
        <v>1486</v>
      </c>
      <c r="E683" s="360"/>
      <c r="F683" s="359" t="s">
        <v>1346</v>
      </c>
      <c r="G683" s="361">
        <v>4.1126222095427099E-6</v>
      </c>
      <c r="H683" s="359" t="s">
        <v>1672</v>
      </c>
      <c r="I683" s="361">
        <v>0.27508267759192956</v>
      </c>
      <c r="J683" s="359" t="s">
        <v>1485</v>
      </c>
      <c r="K683" s="359" t="s">
        <v>1272</v>
      </c>
      <c r="M683" t="str">
        <f t="shared" si="11"/>
        <v>COBALT AND COBALT COMPOUNDS</v>
      </c>
    </row>
    <row r="684" spans="1:13" ht="30" x14ac:dyDescent="0.25">
      <c r="A684" s="359" t="s">
        <v>1651</v>
      </c>
      <c r="B684" s="359" t="s">
        <v>726</v>
      </c>
      <c r="C684" s="359" t="s">
        <v>1467</v>
      </c>
      <c r="D684" s="359" t="s">
        <v>1441</v>
      </c>
      <c r="E684" s="361">
        <v>19.0113378685</v>
      </c>
      <c r="F684" s="359" t="s">
        <v>1346</v>
      </c>
      <c r="G684" s="361">
        <v>4.1126222095427099E-6</v>
      </c>
      <c r="H684" s="359" t="s">
        <v>490</v>
      </c>
      <c r="I684" s="361">
        <v>2.1420945301674921E-7</v>
      </c>
      <c r="J684" s="359" t="s">
        <v>1467</v>
      </c>
      <c r="K684" s="359" t="s">
        <v>1277</v>
      </c>
      <c r="M684" t="str">
        <f t="shared" si="11"/>
        <v>Copper, total (as Cu)</v>
      </c>
    </row>
    <row r="685" spans="1:13" ht="30" x14ac:dyDescent="0.25">
      <c r="A685" s="359" t="s">
        <v>1651</v>
      </c>
      <c r="B685" s="359" t="s">
        <v>726</v>
      </c>
      <c r="C685" s="359" t="s">
        <v>1284</v>
      </c>
      <c r="D685" s="359" t="s">
        <v>1285</v>
      </c>
      <c r="E685" s="360"/>
      <c r="F685" s="359" t="s">
        <v>1346</v>
      </c>
      <c r="G685" s="361">
        <v>4.1126222095427099E-6</v>
      </c>
      <c r="H685" s="359" t="s">
        <v>1652</v>
      </c>
      <c r="I685" s="361">
        <v>2.7235908672468275E-2</v>
      </c>
      <c r="J685" s="359" t="s">
        <v>1287</v>
      </c>
      <c r="K685" s="359" t="s">
        <v>1272</v>
      </c>
      <c r="M685" t="str">
        <f t="shared" si="11"/>
        <v>ISOPROPYLBENZENE</v>
      </c>
    </row>
    <row r="686" spans="1:13" ht="30" x14ac:dyDescent="0.25">
      <c r="A686" s="359" t="s">
        <v>1651</v>
      </c>
      <c r="B686" s="359" t="s">
        <v>726</v>
      </c>
      <c r="C686" s="359" t="s">
        <v>1291</v>
      </c>
      <c r="D686" s="359" t="s">
        <v>1292</v>
      </c>
      <c r="E686" s="360"/>
      <c r="F686" s="359" t="s">
        <v>1346</v>
      </c>
      <c r="G686" s="361">
        <v>4.1126222095427099E-6</v>
      </c>
      <c r="H686" s="359" t="s">
        <v>1652</v>
      </c>
      <c r="I686" s="361">
        <v>2.7235908672468275E-2</v>
      </c>
      <c r="J686" s="359" t="s">
        <v>1291</v>
      </c>
      <c r="K686" s="359" t="s">
        <v>1272</v>
      </c>
      <c r="M686" t="str">
        <f t="shared" si="11"/>
        <v>CYCLOHEXANE</v>
      </c>
    </row>
    <row r="687" spans="1:13" ht="30" x14ac:dyDescent="0.25">
      <c r="A687" s="359" t="s">
        <v>1651</v>
      </c>
      <c r="B687" s="359" t="s">
        <v>726</v>
      </c>
      <c r="C687" s="359" t="s">
        <v>1673</v>
      </c>
      <c r="D687" s="359" t="s">
        <v>1674</v>
      </c>
      <c r="E687" s="361">
        <v>5.5026455026500001</v>
      </c>
      <c r="F687" s="359" t="s">
        <v>1346</v>
      </c>
      <c r="G687" s="361">
        <v>4.1126222095427099E-6</v>
      </c>
      <c r="H687" s="359" t="s">
        <v>490</v>
      </c>
      <c r="I687" s="361">
        <v>6.2000827686133422E-8</v>
      </c>
      <c r="J687" s="359" t="s">
        <v>1675</v>
      </c>
      <c r="K687" s="359" t="s">
        <v>1277</v>
      </c>
      <c r="M687" t="str">
        <f t="shared" si="11"/>
        <v>DIBENZ(A,H)ANTHRACENE</v>
      </c>
    </row>
    <row r="688" spans="1:13" ht="30" x14ac:dyDescent="0.25">
      <c r="A688" s="359" t="s">
        <v>1651</v>
      </c>
      <c r="B688" s="359" t="s">
        <v>726</v>
      </c>
      <c r="C688" s="359" t="s">
        <v>1295</v>
      </c>
      <c r="D688" s="359" t="s">
        <v>1296</v>
      </c>
      <c r="E688" s="360"/>
      <c r="F688" s="359" t="s">
        <v>1346</v>
      </c>
      <c r="G688" s="361">
        <v>4.1126222095427099E-6</v>
      </c>
      <c r="H688" s="359" t="s">
        <v>1526</v>
      </c>
      <c r="I688" s="361">
        <v>5.5833612778559971E-2</v>
      </c>
      <c r="J688" s="359" t="s">
        <v>1295</v>
      </c>
      <c r="K688" s="359" t="s">
        <v>1272</v>
      </c>
      <c r="M688" t="str">
        <f t="shared" si="11"/>
        <v>ETHYLBENZENE</v>
      </c>
    </row>
    <row r="689" spans="1:13" ht="30" x14ac:dyDescent="0.25">
      <c r="A689" s="359" t="s">
        <v>1651</v>
      </c>
      <c r="B689" s="359" t="s">
        <v>726</v>
      </c>
      <c r="C689" s="359" t="s">
        <v>1676</v>
      </c>
      <c r="D689" s="359" t="s">
        <v>1677</v>
      </c>
      <c r="E689" s="361">
        <v>0</v>
      </c>
      <c r="F689" s="359" t="s">
        <v>1346</v>
      </c>
      <c r="G689" s="361">
        <v>4.1126222095427099E-6</v>
      </c>
      <c r="H689" s="359" t="s">
        <v>490</v>
      </c>
      <c r="I689" s="361">
        <v>0</v>
      </c>
      <c r="J689" s="359" t="s">
        <v>1678</v>
      </c>
      <c r="K689" s="359" t="s">
        <v>1277</v>
      </c>
      <c r="M689" t="str">
        <f t="shared" si="11"/>
        <v>FLUORANTHENE</v>
      </c>
    </row>
    <row r="690" spans="1:13" ht="30" x14ac:dyDescent="0.25">
      <c r="A690" s="359" t="s">
        <v>1651</v>
      </c>
      <c r="B690" s="359" t="s">
        <v>726</v>
      </c>
      <c r="C690" s="359" t="s">
        <v>1297</v>
      </c>
      <c r="D690" s="359" t="s">
        <v>1298</v>
      </c>
      <c r="E690" s="360"/>
      <c r="F690" s="359" t="s">
        <v>1346</v>
      </c>
      <c r="G690" s="361">
        <v>4.1126222095427099E-6</v>
      </c>
      <c r="H690" s="359" t="s">
        <v>1679</v>
      </c>
      <c r="I690" s="361">
        <v>2.7508267759192954E-2</v>
      </c>
      <c r="J690" s="359" t="s">
        <v>1297</v>
      </c>
      <c r="K690" s="359" t="s">
        <v>1272</v>
      </c>
      <c r="M690" t="str">
        <f t="shared" si="11"/>
        <v>LEAD AND LEAD COMPOUNDS</v>
      </c>
    </row>
    <row r="691" spans="1:13" ht="30" x14ac:dyDescent="0.25">
      <c r="A691" s="359" t="s">
        <v>1651</v>
      </c>
      <c r="B691" s="359" t="s">
        <v>726</v>
      </c>
      <c r="C691" s="359" t="s">
        <v>1300</v>
      </c>
      <c r="D691" s="359" t="s">
        <v>1301</v>
      </c>
      <c r="E691" s="360"/>
      <c r="F691" s="359" t="s">
        <v>1346</v>
      </c>
      <c r="G691" s="361">
        <v>4.1126222095427099E-6</v>
      </c>
      <c r="H691" s="359" t="s">
        <v>1302</v>
      </c>
      <c r="I691" s="361">
        <v>1.0894363468987311E-3</v>
      </c>
      <c r="J691" s="359" t="s">
        <v>1300</v>
      </c>
      <c r="K691" s="359" t="s">
        <v>1272</v>
      </c>
      <c r="M691" t="str">
        <f t="shared" si="11"/>
        <v>MERCURY AND MERCURY COMPOUNDS</v>
      </c>
    </row>
    <row r="692" spans="1:13" ht="30" x14ac:dyDescent="0.25">
      <c r="A692" s="359" t="s">
        <v>1651</v>
      </c>
      <c r="B692" s="359" t="s">
        <v>726</v>
      </c>
      <c r="C692" s="359" t="s">
        <v>1468</v>
      </c>
      <c r="D692" s="359" t="s">
        <v>1459</v>
      </c>
      <c r="E692" s="361">
        <v>0</v>
      </c>
      <c r="F692" s="359" t="s">
        <v>1346</v>
      </c>
      <c r="G692" s="361">
        <v>4.1126222095427099E-6</v>
      </c>
      <c r="H692" s="359" t="s">
        <v>490</v>
      </c>
      <c r="I692" s="361">
        <v>0</v>
      </c>
      <c r="J692" s="359" t="s">
        <v>1468</v>
      </c>
      <c r="K692" s="359" t="s">
        <v>1277</v>
      </c>
      <c r="M692" t="str">
        <f t="shared" si="11"/>
        <v>Mercury, total (as Hg)</v>
      </c>
    </row>
    <row r="693" spans="1:13" ht="30" x14ac:dyDescent="0.25">
      <c r="A693" s="359" t="s">
        <v>1651</v>
      </c>
      <c r="B693" s="359" t="s">
        <v>726</v>
      </c>
      <c r="C693" s="359" t="s">
        <v>1381</v>
      </c>
      <c r="D693" s="359" t="s">
        <v>1382</v>
      </c>
      <c r="E693" s="360"/>
      <c r="F693" s="359" t="s">
        <v>1346</v>
      </c>
      <c r="G693" s="361">
        <v>4.1126222095427099E-6</v>
      </c>
      <c r="H693" s="359" t="s">
        <v>1652</v>
      </c>
      <c r="I693" s="361">
        <v>2.7235908672468275E-2</v>
      </c>
      <c r="J693" s="359" t="s">
        <v>1381</v>
      </c>
      <c r="K693" s="359" t="s">
        <v>1272</v>
      </c>
      <c r="M693" t="str">
        <f t="shared" si="11"/>
        <v>MOLYBDENUM TRIOXIDE</v>
      </c>
    </row>
    <row r="694" spans="1:13" ht="30" x14ac:dyDescent="0.25">
      <c r="A694" s="359" t="s">
        <v>1651</v>
      </c>
      <c r="B694" s="359" t="s">
        <v>726</v>
      </c>
      <c r="C694" s="359" t="s">
        <v>1303</v>
      </c>
      <c r="D694" s="359" t="s">
        <v>1304</v>
      </c>
      <c r="E694" s="360"/>
      <c r="F694" s="359" t="s">
        <v>1346</v>
      </c>
      <c r="G694" s="361">
        <v>4.1126222095427099E-6</v>
      </c>
      <c r="H694" s="359" t="s">
        <v>1668</v>
      </c>
      <c r="I694" s="361">
        <v>5.5152715061748257E-2</v>
      </c>
      <c r="J694" s="359" t="s">
        <v>1303</v>
      </c>
      <c r="K694" s="359" t="s">
        <v>1272</v>
      </c>
      <c r="M694" t="str">
        <f t="shared" si="11"/>
        <v>NAPHTHALENE</v>
      </c>
    </row>
    <row r="695" spans="1:13" ht="30" x14ac:dyDescent="0.25">
      <c r="A695" s="359" t="s">
        <v>1651</v>
      </c>
      <c r="B695" s="359" t="s">
        <v>726</v>
      </c>
      <c r="C695" s="359" t="s">
        <v>1384</v>
      </c>
      <c r="D695" s="359" t="s">
        <v>1385</v>
      </c>
      <c r="E695" s="360"/>
      <c r="F695" s="359" t="s">
        <v>1346</v>
      </c>
      <c r="G695" s="361">
        <v>4.1126222095427099E-6</v>
      </c>
      <c r="H695" s="359" t="s">
        <v>1680</v>
      </c>
      <c r="I695" s="361">
        <v>0.21992996253018132</v>
      </c>
      <c r="J695" s="359" t="s">
        <v>1384</v>
      </c>
      <c r="K695" s="359" t="s">
        <v>1272</v>
      </c>
      <c r="M695" t="str">
        <f t="shared" si="11"/>
        <v>NICKEL AND NICKEL COMPOUNDS</v>
      </c>
    </row>
    <row r="696" spans="1:13" ht="30" x14ac:dyDescent="0.25">
      <c r="A696" s="359" t="s">
        <v>1651</v>
      </c>
      <c r="B696" s="359" t="s">
        <v>726</v>
      </c>
      <c r="C696" s="359" t="s">
        <v>1633</v>
      </c>
      <c r="D696" s="359" t="s">
        <v>1479</v>
      </c>
      <c r="E696" s="361">
        <v>38.934240362799997</v>
      </c>
      <c r="F696" s="359" t="s">
        <v>1346</v>
      </c>
      <c r="G696" s="361">
        <v>4.1126222095427099E-6</v>
      </c>
      <c r="H696" s="359" t="s">
        <v>490</v>
      </c>
      <c r="I696" s="361">
        <v>4.3868992226774108E-7</v>
      </c>
      <c r="J696" s="359" t="s">
        <v>1633</v>
      </c>
      <c r="K696" s="359" t="s">
        <v>1277</v>
      </c>
      <c r="M696" t="str">
        <f t="shared" si="11"/>
        <v>Nickel, total (as Ni)</v>
      </c>
    </row>
    <row r="697" spans="1:13" ht="30" x14ac:dyDescent="0.25">
      <c r="A697" s="359" t="s">
        <v>1651</v>
      </c>
      <c r="B697" s="359" t="s">
        <v>726</v>
      </c>
      <c r="C697" s="359" t="s">
        <v>1307</v>
      </c>
      <c r="D697" s="359" t="s">
        <v>1308</v>
      </c>
      <c r="E697" s="360"/>
      <c r="F697" s="359" t="s">
        <v>1346</v>
      </c>
      <c r="G697" s="361">
        <v>4.1126222095427099E-6</v>
      </c>
      <c r="H697" s="359" t="s">
        <v>1681</v>
      </c>
      <c r="I697" s="361">
        <v>559.88312739819582</v>
      </c>
      <c r="J697" s="359" t="s">
        <v>1310</v>
      </c>
      <c r="K697" s="359" t="s">
        <v>1272</v>
      </c>
      <c r="M697" t="str">
        <f t="shared" si="11"/>
        <v>NITRATE</v>
      </c>
    </row>
    <row r="698" spans="1:13" ht="30" x14ac:dyDescent="0.25">
      <c r="A698" s="359" t="s">
        <v>1651</v>
      </c>
      <c r="B698" s="359" t="s">
        <v>726</v>
      </c>
      <c r="C698" s="359" t="s">
        <v>1510</v>
      </c>
      <c r="D698" s="359" t="s">
        <v>1505</v>
      </c>
      <c r="E698" s="361">
        <v>26949.581936359002</v>
      </c>
      <c r="F698" s="359" t="s">
        <v>1346</v>
      </c>
      <c r="G698" s="361">
        <v>4.1126222095427099E-6</v>
      </c>
      <c r="H698" s="359" t="s">
        <v>490</v>
      </c>
      <c r="I698" s="361">
        <v>3.0365328550509881E-4</v>
      </c>
      <c r="J698" s="359" t="s">
        <v>1506</v>
      </c>
      <c r="K698" s="359" t="s">
        <v>1277</v>
      </c>
      <c r="M698" t="str">
        <f t="shared" si="11"/>
        <v>NITROGEN</v>
      </c>
    </row>
    <row r="699" spans="1:13" ht="30" x14ac:dyDescent="0.25">
      <c r="A699" s="359" t="s">
        <v>1651</v>
      </c>
      <c r="B699" s="359" t="s">
        <v>726</v>
      </c>
      <c r="C699" s="359" t="s">
        <v>1314</v>
      </c>
      <c r="D699" s="359" t="s">
        <v>490</v>
      </c>
      <c r="E699" s="361">
        <v>13671.840134999999</v>
      </c>
      <c r="F699" s="359" t="s">
        <v>1346</v>
      </c>
      <c r="G699" s="361">
        <v>4.1126222095427099E-6</v>
      </c>
      <c r="H699" s="359" t="s">
        <v>490</v>
      </c>
      <c r="I699" s="361">
        <v>1.5404688598498191E-4</v>
      </c>
      <c r="J699" s="359" t="s">
        <v>1314</v>
      </c>
      <c r="K699" s="359" t="s">
        <v>1277</v>
      </c>
      <c r="M699" t="str">
        <f t="shared" si="11"/>
        <v>Oil and grease</v>
      </c>
    </row>
    <row r="700" spans="1:13" ht="30" x14ac:dyDescent="0.25">
      <c r="A700" s="359" t="s">
        <v>1651</v>
      </c>
      <c r="B700" s="359" t="s">
        <v>726</v>
      </c>
      <c r="C700" s="359" t="s">
        <v>1682</v>
      </c>
      <c r="D700" s="359" t="s">
        <v>1389</v>
      </c>
      <c r="E700" s="361">
        <v>5.5026455026500001</v>
      </c>
      <c r="F700" s="359" t="s">
        <v>1346</v>
      </c>
      <c r="G700" s="361">
        <v>4.1126222095427099E-6</v>
      </c>
      <c r="H700" s="359" t="s">
        <v>490</v>
      </c>
      <c r="I700" s="361">
        <v>6.2000827686133422E-8</v>
      </c>
      <c r="J700" s="359" t="s">
        <v>1388</v>
      </c>
      <c r="K700" s="359" t="s">
        <v>1277</v>
      </c>
      <c r="M700" t="str">
        <f t="shared" si="11"/>
        <v>PHENANTHRENE</v>
      </c>
    </row>
    <row r="701" spans="1:13" ht="30" x14ac:dyDescent="0.25">
      <c r="A701" s="359" t="s">
        <v>1651</v>
      </c>
      <c r="B701" s="359" t="s">
        <v>726</v>
      </c>
      <c r="C701" s="359" t="s">
        <v>1615</v>
      </c>
      <c r="D701" s="359" t="s">
        <v>1316</v>
      </c>
      <c r="E701" s="361">
        <v>2.7815570672700001</v>
      </c>
      <c r="F701" s="359" t="s">
        <v>1346</v>
      </c>
      <c r="G701" s="361">
        <v>4.1126222095427099E-6</v>
      </c>
      <c r="H701" s="359" t="s">
        <v>490</v>
      </c>
      <c r="I701" s="361">
        <v>3.13410777314112E-8</v>
      </c>
      <c r="J701" s="359" t="s">
        <v>1315</v>
      </c>
      <c r="K701" s="359" t="s">
        <v>1277</v>
      </c>
      <c r="M701" t="str">
        <f t="shared" si="11"/>
        <v>PHENOL</v>
      </c>
    </row>
    <row r="702" spans="1:13" ht="30" x14ac:dyDescent="0.25">
      <c r="A702" s="359" t="s">
        <v>1651</v>
      </c>
      <c r="B702" s="359" t="s">
        <v>726</v>
      </c>
      <c r="C702" s="359" t="s">
        <v>1319</v>
      </c>
      <c r="D702" s="359" t="s">
        <v>1320</v>
      </c>
      <c r="E702" s="360"/>
      <c r="F702" s="359" t="s">
        <v>1346</v>
      </c>
      <c r="G702" s="361">
        <v>4.1126222095427099E-6</v>
      </c>
      <c r="H702" s="359" t="s">
        <v>1683</v>
      </c>
      <c r="I702" s="361">
        <v>3.0640397256526805E-3</v>
      </c>
      <c r="J702" s="359" t="s">
        <v>1319</v>
      </c>
      <c r="K702" s="359" t="s">
        <v>1272</v>
      </c>
      <c r="M702" t="str">
        <f t="shared" si="11"/>
        <v>POLYCYCLIC AROMATIC COMPOUNDS</v>
      </c>
    </row>
    <row r="703" spans="1:13" ht="30" x14ac:dyDescent="0.25">
      <c r="A703" s="359" t="s">
        <v>1651</v>
      </c>
      <c r="B703" s="359" t="s">
        <v>726</v>
      </c>
      <c r="C703" s="359" t="s">
        <v>1684</v>
      </c>
      <c r="D703" s="359" t="s">
        <v>1685</v>
      </c>
      <c r="E703" s="361">
        <v>5.5026455026500001</v>
      </c>
      <c r="F703" s="359" t="s">
        <v>1346</v>
      </c>
      <c r="G703" s="361">
        <v>4.1126222095427099E-6</v>
      </c>
      <c r="H703" s="359" t="s">
        <v>490</v>
      </c>
      <c r="I703" s="361">
        <v>6.2000827686133422E-8</v>
      </c>
      <c r="J703" s="359" t="s">
        <v>1686</v>
      </c>
      <c r="K703" s="359" t="s">
        <v>1277</v>
      </c>
      <c r="M703" t="str">
        <f t="shared" si="11"/>
        <v>PYRENE</v>
      </c>
    </row>
    <row r="704" spans="1:13" ht="30" x14ac:dyDescent="0.25">
      <c r="A704" s="359" t="s">
        <v>1651</v>
      </c>
      <c r="B704" s="359" t="s">
        <v>726</v>
      </c>
      <c r="C704" s="359" t="s">
        <v>1392</v>
      </c>
      <c r="D704" s="359" t="s">
        <v>1393</v>
      </c>
      <c r="E704" s="360"/>
      <c r="F704" s="359" t="s">
        <v>1346</v>
      </c>
      <c r="G704" s="361">
        <v>4.1126222095427099E-6</v>
      </c>
      <c r="H704" s="359" t="s">
        <v>1652</v>
      </c>
      <c r="I704" s="361">
        <v>2.7235908672468275E-2</v>
      </c>
      <c r="J704" s="359" t="s">
        <v>1392</v>
      </c>
      <c r="K704" s="359" t="s">
        <v>1272</v>
      </c>
      <c r="M704" t="str">
        <f t="shared" si="11"/>
        <v>STYRENE</v>
      </c>
    </row>
    <row r="705" spans="1:13" ht="30" x14ac:dyDescent="0.25">
      <c r="A705" s="359" t="s">
        <v>1651</v>
      </c>
      <c r="B705" s="359" t="s">
        <v>726</v>
      </c>
      <c r="C705" s="359" t="s">
        <v>1396</v>
      </c>
      <c r="D705" s="359" t="s">
        <v>1397</v>
      </c>
      <c r="E705" s="360"/>
      <c r="F705" s="359" t="s">
        <v>1346</v>
      </c>
      <c r="G705" s="361">
        <v>4.1126222095427099E-6</v>
      </c>
      <c r="H705" s="359" t="s">
        <v>1668</v>
      </c>
      <c r="I705" s="361">
        <v>5.5152715061748257E-2</v>
      </c>
      <c r="J705" s="359" t="s">
        <v>1398</v>
      </c>
      <c r="K705" s="359" t="s">
        <v>1272</v>
      </c>
      <c r="M705" t="str">
        <f t="shared" si="11"/>
        <v>PERCHLOROETHYLENE</v>
      </c>
    </row>
    <row r="706" spans="1:13" ht="30" x14ac:dyDescent="0.25">
      <c r="A706" s="359" t="s">
        <v>1651</v>
      </c>
      <c r="B706" s="359" t="s">
        <v>726</v>
      </c>
      <c r="C706" s="359" t="s">
        <v>1325</v>
      </c>
      <c r="D706" s="359" t="s">
        <v>1326</v>
      </c>
      <c r="E706" s="360"/>
      <c r="F706" s="359" t="s">
        <v>1346</v>
      </c>
      <c r="G706" s="361">
        <v>4.1126222095427099E-6</v>
      </c>
      <c r="H706" s="359" t="s">
        <v>1639</v>
      </c>
      <c r="I706" s="361">
        <v>5.7876305928995085E-2</v>
      </c>
      <c r="J706" s="359" t="s">
        <v>1325</v>
      </c>
      <c r="K706" s="359" t="s">
        <v>1272</v>
      </c>
      <c r="M706" t="str">
        <f t="shared" si="11"/>
        <v>TOLUENE</v>
      </c>
    </row>
    <row r="707" spans="1:13" ht="30" x14ac:dyDescent="0.25">
      <c r="A707" s="359" t="s">
        <v>1651</v>
      </c>
      <c r="B707" s="359" t="s">
        <v>726</v>
      </c>
      <c r="C707" s="359" t="s">
        <v>1495</v>
      </c>
      <c r="D707" s="359" t="s">
        <v>1465</v>
      </c>
      <c r="E707" s="360"/>
      <c r="F707" s="359" t="s">
        <v>1346</v>
      </c>
      <c r="G707" s="361">
        <v>4.1126222095427099E-6</v>
      </c>
      <c r="H707" s="359" t="s">
        <v>1687</v>
      </c>
      <c r="I707" s="361">
        <v>0.10962453240668481</v>
      </c>
      <c r="J707" s="359" t="s">
        <v>1495</v>
      </c>
      <c r="K707" s="359" t="s">
        <v>1272</v>
      </c>
      <c r="M707" t="str">
        <f t="shared" si="11"/>
        <v>VANADIUM AND VANADIUM COMPOUNDS</v>
      </c>
    </row>
    <row r="708" spans="1:13" ht="30" x14ac:dyDescent="0.25">
      <c r="A708" s="359" t="s">
        <v>1651</v>
      </c>
      <c r="B708" s="359" t="s">
        <v>726</v>
      </c>
      <c r="C708" s="359" t="s">
        <v>1327</v>
      </c>
      <c r="D708" s="359" t="s">
        <v>1328</v>
      </c>
      <c r="E708" s="360"/>
      <c r="F708" s="359" t="s">
        <v>1346</v>
      </c>
      <c r="G708" s="361">
        <v>4.1126222095427099E-6</v>
      </c>
      <c r="H708" s="359" t="s">
        <v>1688</v>
      </c>
      <c r="I708" s="361">
        <v>5.9238101362618506E-2</v>
      </c>
      <c r="J708" s="359" t="s">
        <v>1329</v>
      </c>
      <c r="K708" s="359" t="s">
        <v>1272</v>
      </c>
      <c r="M708" t="str">
        <f t="shared" si="11"/>
        <v>XYLENES</v>
      </c>
    </row>
    <row r="709" spans="1:13" ht="30" x14ac:dyDescent="0.25">
      <c r="A709" s="359" t="s">
        <v>1651</v>
      </c>
      <c r="B709" s="359" t="s">
        <v>726</v>
      </c>
      <c r="C709" s="359" t="s">
        <v>1611</v>
      </c>
      <c r="D709" s="359" t="s">
        <v>1343</v>
      </c>
      <c r="E709" s="361">
        <v>8697.0113378700007</v>
      </c>
      <c r="F709" s="359" t="s">
        <v>1346</v>
      </c>
      <c r="G709" s="361">
        <v>4.1126222095427099E-6</v>
      </c>
      <c r="H709" s="359" t="s">
        <v>490</v>
      </c>
      <c r="I709" s="361">
        <v>9.7993210917175132E-5</v>
      </c>
      <c r="J709" s="359" t="s">
        <v>1611</v>
      </c>
      <c r="K709" s="359" t="s">
        <v>1277</v>
      </c>
      <c r="M709" t="str">
        <f t="shared" si="11"/>
        <v>Zinc, total (as Zn)</v>
      </c>
    </row>
    <row r="710" spans="1:13" ht="30" x14ac:dyDescent="0.25">
      <c r="A710" s="359" t="s">
        <v>1689</v>
      </c>
      <c r="B710" s="359" t="s">
        <v>707</v>
      </c>
      <c r="C710" s="359" t="s">
        <v>1276</v>
      </c>
      <c r="D710" s="359" t="s">
        <v>490</v>
      </c>
      <c r="E710" s="361">
        <v>3.7959183673500001</v>
      </c>
      <c r="F710" s="359" t="s">
        <v>1333</v>
      </c>
      <c r="G710" s="361">
        <v>1.7722048066875652E-4</v>
      </c>
      <c r="H710" s="359" t="s">
        <v>490</v>
      </c>
      <c r="I710" s="361">
        <v>1.8430533634003519E-6</v>
      </c>
      <c r="J710" s="359" t="s">
        <v>1276</v>
      </c>
      <c r="K710" s="359" t="s">
        <v>1277</v>
      </c>
      <c r="M710" t="str">
        <f t="shared" ref="M710:M773" si="12">IF(J710="",C710,J710)</f>
        <v>BOD, 5-day, 20 deg. C</v>
      </c>
    </row>
    <row r="711" spans="1:13" ht="30" x14ac:dyDescent="0.25">
      <c r="A711" s="359" t="s">
        <v>1689</v>
      </c>
      <c r="B711" s="359" t="s">
        <v>707</v>
      </c>
      <c r="C711" s="359" t="s">
        <v>1457</v>
      </c>
      <c r="D711" s="359" t="s">
        <v>490</v>
      </c>
      <c r="E711" s="361">
        <v>119.124716553</v>
      </c>
      <c r="F711" s="359" t="s">
        <v>1333</v>
      </c>
      <c r="G711" s="361">
        <v>1.7722048066875652E-4</v>
      </c>
      <c r="H711" s="359" t="s">
        <v>490</v>
      </c>
      <c r="I711" s="361">
        <v>5.7839286375485025E-5</v>
      </c>
      <c r="J711" s="359" t="s">
        <v>1457</v>
      </c>
      <c r="K711" s="359" t="s">
        <v>1277</v>
      </c>
      <c r="M711" t="str">
        <f t="shared" si="12"/>
        <v>Chemical Oxygen Demand (COD)</v>
      </c>
    </row>
    <row r="712" spans="1:13" ht="30" x14ac:dyDescent="0.25">
      <c r="A712" s="359" t="s">
        <v>1689</v>
      </c>
      <c r="B712" s="359" t="s">
        <v>707</v>
      </c>
      <c r="C712" s="359" t="s">
        <v>1476</v>
      </c>
      <c r="D712" s="359" t="s">
        <v>1477</v>
      </c>
      <c r="E712" s="361">
        <v>2380.1170080000002</v>
      </c>
      <c r="F712" s="359" t="s">
        <v>1333</v>
      </c>
      <c r="G712" s="361">
        <v>1.7722048066875652E-4</v>
      </c>
      <c r="H712" s="359" t="s">
        <v>490</v>
      </c>
      <c r="I712" s="361">
        <v>1.1556314526181988E-3</v>
      </c>
      <c r="J712" s="359" t="s">
        <v>1476</v>
      </c>
      <c r="K712" s="359" t="s">
        <v>1277</v>
      </c>
      <c r="M712" t="str">
        <f t="shared" si="12"/>
        <v>Chloride (as Cl)</v>
      </c>
    </row>
    <row r="713" spans="1:13" ht="30" x14ac:dyDescent="0.25">
      <c r="A713" s="359" t="s">
        <v>1689</v>
      </c>
      <c r="B713" s="359" t="s">
        <v>707</v>
      </c>
      <c r="C713" s="359" t="s">
        <v>1852</v>
      </c>
      <c r="D713" s="359" t="s">
        <v>1690</v>
      </c>
      <c r="E713" s="361">
        <v>57.326243615000003</v>
      </c>
      <c r="F713" s="359" t="s">
        <v>1333</v>
      </c>
      <c r="G713" s="361">
        <v>1.7722048066875652E-4</v>
      </c>
      <c r="H713" s="359" t="s">
        <v>490</v>
      </c>
      <c r="I713" s="361">
        <v>2.7833929995574067E-5</v>
      </c>
      <c r="J713" s="359" t="s">
        <v>1852</v>
      </c>
      <c r="K713" s="359" t="s">
        <v>1277</v>
      </c>
      <c r="M713" t="str">
        <f t="shared" si="12"/>
        <v>Iron, total (as Fe)</v>
      </c>
    </row>
    <row r="714" spans="1:13" ht="30" x14ac:dyDescent="0.25">
      <c r="A714" s="359" t="s">
        <v>1689</v>
      </c>
      <c r="B714" s="359" t="s">
        <v>707</v>
      </c>
      <c r="C714" s="359" t="s">
        <v>1311</v>
      </c>
      <c r="D714" s="359" t="s">
        <v>1312</v>
      </c>
      <c r="E714" s="361">
        <v>0.69138321995499996</v>
      </c>
      <c r="F714" s="359" t="s">
        <v>1333</v>
      </c>
      <c r="G714" s="361">
        <v>1.7722048066875652E-4</v>
      </c>
      <c r="H714" s="359" t="s">
        <v>490</v>
      </c>
      <c r="I714" s="361">
        <v>3.3569114127873342E-7</v>
      </c>
      <c r="J714" s="359" t="s">
        <v>1313</v>
      </c>
      <c r="K714" s="359" t="s">
        <v>1277</v>
      </c>
      <c r="M714" t="str">
        <f t="shared" si="12"/>
        <v>AMMONIA</v>
      </c>
    </row>
    <row r="715" spans="1:13" ht="30" x14ac:dyDescent="0.25">
      <c r="A715" s="359" t="s">
        <v>1689</v>
      </c>
      <c r="B715" s="359" t="s">
        <v>707</v>
      </c>
      <c r="C715" s="359" t="s">
        <v>1314</v>
      </c>
      <c r="D715" s="359" t="s">
        <v>490</v>
      </c>
      <c r="E715" s="361">
        <v>31.041322879630002</v>
      </c>
      <c r="F715" s="359" t="s">
        <v>1333</v>
      </c>
      <c r="G715" s="361">
        <v>1.7722048066875652E-4</v>
      </c>
      <c r="H715" s="359" t="s">
        <v>490</v>
      </c>
      <c r="I715" s="361">
        <v>1.5071666195403007E-5</v>
      </c>
      <c r="J715" s="359" t="s">
        <v>1314</v>
      </c>
      <c r="K715" s="359" t="s">
        <v>1277</v>
      </c>
      <c r="M715" t="str">
        <f t="shared" si="12"/>
        <v>Oil and grease</v>
      </c>
    </row>
    <row r="716" spans="1:13" ht="30" x14ac:dyDescent="0.25">
      <c r="A716" s="359" t="s">
        <v>1689</v>
      </c>
      <c r="B716" s="359" t="s">
        <v>707</v>
      </c>
      <c r="C716" s="359" t="s">
        <v>1615</v>
      </c>
      <c r="D716" s="359" t="s">
        <v>1316</v>
      </c>
      <c r="E716" s="361">
        <v>8.0136054421799996E-2</v>
      </c>
      <c r="F716" s="359" t="s">
        <v>1333</v>
      </c>
      <c r="G716" s="361">
        <v>1.7722048066875652E-4</v>
      </c>
      <c r="H716" s="359" t="s">
        <v>490</v>
      </c>
      <c r="I716" s="361">
        <v>3.8908904338435684E-8</v>
      </c>
      <c r="J716" s="359" t="s">
        <v>1315</v>
      </c>
      <c r="K716" s="359" t="s">
        <v>1277</v>
      </c>
      <c r="M716" t="str">
        <f t="shared" si="12"/>
        <v>PHENOL</v>
      </c>
    </row>
    <row r="717" spans="1:13" ht="30" x14ac:dyDescent="0.25">
      <c r="A717" s="359" t="s">
        <v>1689</v>
      </c>
      <c r="B717" s="359" t="s">
        <v>707</v>
      </c>
      <c r="C717" s="359" t="s">
        <v>1322</v>
      </c>
      <c r="D717" s="359" t="s">
        <v>490</v>
      </c>
      <c r="E717" s="361">
        <v>117.33583662480001</v>
      </c>
      <c r="F717" s="359" t="s">
        <v>1333</v>
      </c>
      <c r="G717" s="361">
        <v>1.7722048066875652E-4</v>
      </c>
      <c r="H717" s="359" t="s">
        <v>490</v>
      </c>
      <c r="I717" s="361">
        <v>5.6970721551555455E-5</v>
      </c>
      <c r="J717" s="359" t="s">
        <v>1322</v>
      </c>
      <c r="K717" s="359" t="s">
        <v>1277</v>
      </c>
      <c r="M717" t="str">
        <f t="shared" si="12"/>
        <v>Solids, total suspended</v>
      </c>
    </row>
    <row r="718" spans="1:13" ht="30" x14ac:dyDescent="0.25">
      <c r="A718" s="359" t="s">
        <v>1691</v>
      </c>
      <c r="B718" s="359" t="s">
        <v>835</v>
      </c>
      <c r="C718" s="359" t="s">
        <v>1273</v>
      </c>
      <c r="D718" s="359" t="s">
        <v>1274</v>
      </c>
      <c r="E718" s="360"/>
      <c r="F718" s="359" t="s">
        <v>1346</v>
      </c>
      <c r="G718" s="361">
        <v>3.5359777042503386E-6</v>
      </c>
      <c r="H718" s="359" t="s">
        <v>1692</v>
      </c>
      <c r="I718" s="361">
        <v>9.3668283556300365E-3</v>
      </c>
      <c r="J718" s="359" t="s">
        <v>1273</v>
      </c>
      <c r="K718" s="359" t="s">
        <v>1272</v>
      </c>
      <c r="M718" t="str">
        <f t="shared" si="12"/>
        <v>BENZENE</v>
      </c>
    </row>
    <row r="719" spans="1:13" ht="30" x14ac:dyDescent="0.25">
      <c r="A719" s="359" t="s">
        <v>1691</v>
      </c>
      <c r="B719" s="359" t="s">
        <v>835</v>
      </c>
      <c r="C719" s="359" t="s">
        <v>1352</v>
      </c>
      <c r="D719" s="359" t="s">
        <v>1353</v>
      </c>
      <c r="E719" s="360"/>
      <c r="F719" s="359" t="s">
        <v>1346</v>
      </c>
      <c r="G719" s="361">
        <v>3.5359777042503386E-6</v>
      </c>
      <c r="H719" s="359" t="s">
        <v>1299</v>
      </c>
      <c r="I719" s="361">
        <v>5.8542677222687728E-5</v>
      </c>
      <c r="J719" s="359" t="s">
        <v>1352</v>
      </c>
      <c r="K719" s="359" t="s">
        <v>1272</v>
      </c>
      <c r="M719" t="str">
        <f t="shared" si="12"/>
        <v>BENZO(G,H,I)PERYLENE</v>
      </c>
    </row>
    <row r="720" spans="1:13" ht="30" x14ac:dyDescent="0.25">
      <c r="A720" s="359" t="s">
        <v>1691</v>
      </c>
      <c r="B720" s="359" t="s">
        <v>835</v>
      </c>
      <c r="C720" s="359" t="s">
        <v>1276</v>
      </c>
      <c r="D720" s="359" t="s">
        <v>490</v>
      </c>
      <c r="E720" s="361">
        <v>295.23809523800003</v>
      </c>
      <c r="F720" s="359" t="s">
        <v>1346</v>
      </c>
      <c r="G720" s="361">
        <v>3.5359777042503386E-6</v>
      </c>
      <c r="H720" s="359" t="s">
        <v>490</v>
      </c>
      <c r="I720" s="361">
        <v>2.8601515676901539E-6</v>
      </c>
      <c r="J720" s="359" t="s">
        <v>1276</v>
      </c>
      <c r="K720" s="359" t="s">
        <v>1277</v>
      </c>
      <c r="M720" t="str">
        <f t="shared" si="12"/>
        <v>BOD, 5-day, 20 deg. C</v>
      </c>
    </row>
    <row r="721" spans="1:13" ht="30" x14ac:dyDescent="0.25">
      <c r="A721" s="359" t="s">
        <v>1691</v>
      </c>
      <c r="B721" s="359" t="s">
        <v>835</v>
      </c>
      <c r="C721" s="359" t="s">
        <v>1485</v>
      </c>
      <c r="D721" s="359" t="s">
        <v>1486</v>
      </c>
      <c r="E721" s="360"/>
      <c r="F721" s="359" t="s">
        <v>1346</v>
      </c>
      <c r="G721" s="361">
        <v>3.5359777042503386E-6</v>
      </c>
      <c r="H721" s="359" t="s">
        <v>1271</v>
      </c>
      <c r="I721" s="361">
        <v>4.6834141778150182E-3</v>
      </c>
      <c r="J721" s="359" t="s">
        <v>1485</v>
      </c>
      <c r="K721" s="359" t="s">
        <v>1272</v>
      </c>
      <c r="M721" t="str">
        <f t="shared" si="12"/>
        <v>COBALT AND COBALT COMPOUNDS</v>
      </c>
    </row>
    <row r="722" spans="1:13" ht="30" x14ac:dyDescent="0.25">
      <c r="A722" s="359" t="s">
        <v>1691</v>
      </c>
      <c r="B722" s="359" t="s">
        <v>835</v>
      </c>
      <c r="C722" s="359" t="s">
        <v>1467</v>
      </c>
      <c r="D722" s="359" t="s">
        <v>1441</v>
      </c>
      <c r="E722" s="361">
        <v>1.2166720285700001E-2</v>
      </c>
      <c r="F722" s="359" t="s">
        <v>1346</v>
      </c>
      <c r="G722" s="361">
        <v>3.5359777042503386E-6</v>
      </c>
      <c r="H722" s="359" t="s">
        <v>490</v>
      </c>
      <c r="I722" s="361">
        <v>1.1786644291530278E-10</v>
      </c>
      <c r="J722" s="359" t="s">
        <v>1467</v>
      </c>
      <c r="K722" s="359" t="s">
        <v>1277</v>
      </c>
      <c r="M722" t="str">
        <f t="shared" si="12"/>
        <v>Copper, total (as Cu)</v>
      </c>
    </row>
    <row r="723" spans="1:13" ht="30" x14ac:dyDescent="0.25">
      <c r="A723" s="359" t="s">
        <v>1691</v>
      </c>
      <c r="B723" s="359" t="s">
        <v>835</v>
      </c>
      <c r="C723" s="359" t="s">
        <v>1593</v>
      </c>
      <c r="D723" s="359" t="s">
        <v>1544</v>
      </c>
      <c r="E723" s="361">
        <v>1.2269888571400001E-3</v>
      </c>
      <c r="F723" s="359" t="s">
        <v>1346</v>
      </c>
      <c r="G723" s="361">
        <v>3.5359777042503386E-6</v>
      </c>
      <c r="H723" s="359" t="s">
        <v>490</v>
      </c>
      <c r="I723" s="361">
        <v>1.1886589704686697E-11</v>
      </c>
      <c r="J723" s="359" t="s">
        <v>1593</v>
      </c>
      <c r="K723" s="359" t="s">
        <v>1277</v>
      </c>
      <c r="M723" t="str">
        <f t="shared" si="12"/>
        <v>Cyanide, free (amen. to chlorination)</v>
      </c>
    </row>
    <row r="724" spans="1:13" ht="30" x14ac:dyDescent="0.25">
      <c r="A724" s="359" t="s">
        <v>1691</v>
      </c>
      <c r="B724" s="359" t="s">
        <v>835</v>
      </c>
      <c r="C724" s="359" t="s">
        <v>1291</v>
      </c>
      <c r="D724" s="359" t="s">
        <v>1292</v>
      </c>
      <c r="E724" s="360"/>
      <c r="F724" s="359" t="s">
        <v>1346</v>
      </c>
      <c r="G724" s="361">
        <v>3.5359777042503386E-6</v>
      </c>
      <c r="H724" s="359" t="s">
        <v>1473</v>
      </c>
      <c r="I724" s="361">
        <v>1.7562803166806318E-3</v>
      </c>
      <c r="J724" s="359" t="s">
        <v>1291</v>
      </c>
      <c r="K724" s="359" t="s">
        <v>1272</v>
      </c>
      <c r="M724" t="str">
        <f t="shared" si="12"/>
        <v>CYCLOHEXANE</v>
      </c>
    </row>
    <row r="725" spans="1:13" ht="30" x14ac:dyDescent="0.25">
      <c r="A725" s="359" t="s">
        <v>1691</v>
      </c>
      <c r="B725" s="359" t="s">
        <v>835</v>
      </c>
      <c r="C725" s="359" t="s">
        <v>1293</v>
      </c>
      <c r="D725" s="359" t="s">
        <v>1294</v>
      </c>
      <c r="E725" s="360"/>
      <c r="F725" s="359" t="s">
        <v>1346</v>
      </c>
      <c r="G725" s="361">
        <v>3.5359777042503386E-6</v>
      </c>
      <c r="H725" s="359" t="s">
        <v>1693</v>
      </c>
      <c r="I725" s="361">
        <v>1.801943604914328</v>
      </c>
      <c r="J725" s="359" t="s">
        <v>1293</v>
      </c>
      <c r="K725" s="359" t="s">
        <v>1272</v>
      </c>
      <c r="M725" t="str">
        <f t="shared" si="12"/>
        <v>DIETHANOLAMINE</v>
      </c>
    </row>
    <row r="726" spans="1:13" ht="30" x14ac:dyDescent="0.25">
      <c r="A726" s="359" t="s">
        <v>1691</v>
      </c>
      <c r="B726" s="359" t="s">
        <v>835</v>
      </c>
      <c r="C726" s="359" t="s">
        <v>1295</v>
      </c>
      <c r="D726" s="359" t="s">
        <v>1296</v>
      </c>
      <c r="E726" s="360"/>
      <c r="F726" s="359" t="s">
        <v>1346</v>
      </c>
      <c r="G726" s="361">
        <v>3.5359777042503386E-6</v>
      </c>
      <c r="H726" s="359" t="s">
        <v>1692</v>
      </c>
      <c r="I726" s="361">
        <v>9.3668283556300365E-3</v>
      </c>
      <c r="J726" s="359" t="s">
        <v>1295</v>
      </c>
      <c r="K726" s="359" t="s">
        <v>1272</v>
      </c>
      <c r="M726" t="str">
        <f t="shared" si="12"/>
        <v>ETHYLBENZENE</v>
      </c>
    </row>
    <row r="727" spans="1:13" ht="30" x14ac:dyDescent="0.25">
      <c r="A727" s="359" t="s">
        <v>1691</v>
      </c>
      <c r="B727" s="359" t="s">
        <v>835</v>
      </c>
      <c r="C727" s="359" t="s">
        <v>1297</v>
      </c>
      <c r="D727" s="359" t="s">
        <v>1298</v>
      </c>
      <c r="E727" s="360"/>
      <c r="F727" s="359" t="s">
        <v>1346</v>
      </c>
      <c r="G727" s="361">
        <v>3.5359777042503386E-6</v>
      </c>
      <c r="H727" s="359" t="s">
        <v>1271</v>
      </c>
      <c r="I727" s="361">
        <v>4.6834141778150182E-3</v>
      </c>
      <c r="J727" s="359" t="s">
        <v>1297</v>
      </c>
      <c r="K727" s="359" t="s">
        <v>1272</v>
      </c>
      <c r="M727" t="str">
        <f t="shared" si="12"/>
        <v>LEAD AND LEAD COMPOUNDS</v>
      </c>
    </row>
    <row r="728" spans="1:13" ht="30" x14ac:dyDescent="0.25">
      <c r="A728" s="359" t="s">
        <v>1691</v>
      </c>
      <c r="B728" s="359" t="s">
        <v>835</v>
      </c>
      <c r="C728" s="359" t="s">
        <v>1300</v>
      </c>
      <c r="D728" s="359" t="s">
        <v>1301</v>
      </c>
      <c r="E728" s="360"/>
      <c r="F728" s="359" t="s">
        <v>1346</v>
      </c>
      <c r="G728" s="361">
        <v>3.5359777042503386E-6</v>
      </c>
      <c r="H728" s="359" t="s">
        <v>1667</v>
      </c>
      <c r="I728" s="361">
        <v>2.9271338611343864E-4</v>
      </c>
      <c r="J728" s="359" t="s">
        <v>1300</v>
      </c>
      <c r="K728" s="359" t="s">
        <v>1272</v>
      </c>
      <c r="M728" t="str">
        <f t="shared" si="12"/>
        <v>MERCURY AND MERCURY COMPOUNDS</v>
      </c>
    </row>
    <row r="729" spans="1:13" ht="30" x14ac:dyDescent="0.25">
      <c r="A729" s="359" t="s">
        <v>1691</v>
      </c>
      <c r="B729" s="359" t="s">
        <v>835</v>
      </c>
      <c r="C729" s="359" t="s">
        <v>1303</v>
      </c>
      <c r="D729" s="359" t="s">
        <v>1304</v>
      </c>
      <c r="E729" s="360"/>
      <c r="F729" s="359" t="s">
        <v>1346</v>
      </c>
      <c r="G729" s="361">
        <v>3.5359777042503386E-6</v>
      </c>
      <c r="H729" s="359" t="s">
        <v>1286</v>
      </c>
      <c r="I729" s="361">
        <v>0</v>
      </c>
      <c r="J729" s="359" t="s">
        <v>1303</v>
      </c>
      <c r="K729" s="359" t="s">
        <v>1272</v>
      </c>
      <c r="M729" t="str">
        <f t="shared" si="12"/>
        <v>NAPHTHALENE</v>
      </c>
    </row>
    <row r="730" spans="1:13" ht="30" x14ac:dyDescent="0.25">
      <c r="A730" s="359" t="s">
        <v>1691</v>
      </c>
      <c r="B730" s="359" t="s">
        <v>835</v>
      </c>
      <c r="C730" s="359" t="s">
        <v>1384</v>
      </c>
      <c r="D730" s="359" t="s">
        <v>1385</v>
      </c>
      <c r="E730" s="360"/>
      <c r="F730" s="359" t="s">
        <v>1346</v>
      </c>
      <c r="G730" s="361">
        <v>3.5359777042503386E-6</v>
      </c>
      <c r="H730" s="359" t="s">
        <v>1694</v>
      </c>
      <c r="I730" s="361">
        <v>2.9856765383570742E-2</v>
      </c>
      <c r="J730" s="359" t="s">
        <v>1384</v>
      </c>
      <c r="K730" s="359" t="s">
        <v>1272</v>
      </c>
      <c r="M730" t="str">
        <f t="shared" si="12"/>
        <v>NICKEL AND NICKEL COMPOUNDS</v>
      </c>
    </row>
    <row r="731" spans="1:13" ht="30" x14ac:dyDescent="0.25">
      <c r="A731" s="359" t="s">
        <v>1691</v>
      </c>
      <c r="B731" s="359" t="s">
        <v>835</v>
      </c>
      <c r="C731" s="359" t="s">
        <v>1307</v>
      </c>
      <c r="D731" s="359" t="s">
        <v>1308</v>
      </c>
      <c r="E731" s="360"/>
      <c r="F731" s="359" t="s">
        <v>1346</v>
      </c>
      <c r="G731" s="361">
        <v>3.5359777042503386E-6</v>
      </c>
      <c r="H731" s="359" t="s">
        <v>1695</v>
      </c>
      <c r="I731" s="361">
        <v>64.514030299401881</v>
      </c>
      <c r="J731" s="359" t="s">
        <v>1310</v>
      </c>
      <c r="K731" s="359" t="s">
        <v>1272</v>
      </c>
      <c r="M731" t="str">
        <f t="shared" si="12"/>
        <v>NITRATE</v>
      </c>
    </row>
    <row r="732" spans="1:13" ht="30" x14ac:dyDescent="0.25">
      <c r="A732" s="359" t="s">
        <v>1691</v>
      </c>
      <c r="B732" s="359" t="s">
        <v>835</v>
      </c>
      <c r="C732" s="359" t="s">
        <v>1311</v>
      </c>
      <c r="D732" s="359" t="s">
        <v>1312</v>
      </c>
      <c r="E732" s="361">
        <v>243.89569161</v>
      </c>
      <c r="F732" s="359" t="s">
        <v>1346</v>
      </c>
      <c r="G732" s="361">
        <v>3.5359777042503386E-6</v>
      </c>
      <c r="H732" s="359" t="s">
        <v>490</v>
      </c>
      <c r="I732" s="361">
        <v>2.3627663772484284E-6</v>
      </c>
      <c r="J732" s="359" t="s">
        <v>1313</v>
      </c>
      <c r="K732" s="359" t="s">
        <v>1277</v>
      </c>
      <c r="M732" t="str">
        <f t="shared" si="12"/>
        <v>AMMONIA</v>
      </c>
    </row>
    <row r="733" spans="1:13" ht="30" x14ac:dyDescent="0.25">
      <c r="A733" s="359" t="s">
        <v>1691</v>
      </c>
      <c r="B733" s="359" t="s">
        <v>835</v>
      </c>
      <c r="C733" s="359" t="s">
        <v>1341</v>
      </c>
      <c r="D733" s="359" t="s">
        <v>490</v>
      </c>
      <c r="E733" s="361">
        <v>694.18442835600013</v>
      </c>
      <c r="F733" s="359" t="s">
        <v>1346</v>
      </c>
      <c r="G733" s="361">
        <v>3.5359777042503386E-6</v>
      </c>
      <c r="H733" s="359" t="s">
        <v>490</v>
      </c>
      <c r="I733" s="361">
        <v>6.7249881131632414E-6</v>
      </c>
      <c r="J733" s="359" t="s">
        <v>1341</v>
      </c>
      <c r="K733" s="359" t="s">
        <v>1277</v>
      </c>
      <c r="M733" t="str">
        <f t="shared" si="12"/>
        <v>Oil &amp; grease</v>
      </c>
    </row>
    <row r="734" spans="1:13" ht="30" x14ac:dyDescent="0.25">
      <c r="A734" s="359" t="s">
        <v>1691</v>
      </c>
      <c r="B734" s="359" t="s">
        <v>835</v>
      </c>
      <c r="C734" s="359" t="s">
        <v>1457</v>
      </c>
      <c r="D734" s="359" t="s">
        <v>490</v>
      </c>
      <c r="E734" s="361">
        <v>95448.181792800009</v>
      </c>
      <c r="F734" s="359" t="s">
        <v>1346</v>
      </c>
      <c r="G734" s="361">
        <v>3.5359777042503386E-6</v>
      </c>
      <c r="H734" s="359" t="s">
        <v>490</v>
      </c>
      <c r="I734" s="361">
        <v>9.2466477460431218E-4</v>
      </c>
      <c r="J734" s="359" t="s">
        <v>1457</v>
      </c>
      <c r="K734" s="359" t="s">
        <v>1277</v>
      </c>
      <c r="M734" t="str">
        <f t="shared" si="12"/>
        <v>Chemical Oxygen Demand (COD)</v>
      </c>
    </row>
    <row r="735" spans="1:13" ht="30" x14ac:dyDescent="0.25">
      <c r="A735" s="359" t="s">
        <v>1691</v>
      </c>
      <c r="B735" s="359" t="s">
        <v>835</v>
      </c>
      <c r="C735" s="359" t="s">
        <v>1315</v>
      </c>
      <c r="D735" s="359" t="s">
        <v>1316</v>
      </c>
      <c r="E735" s="360"/>
      <c r="F735" s="359" t="s">
        <v>1346</v>
      </c>
      <c r="G735" s="361">
        <v>3.5359777042503386E-6</v>
      </c>
      <c r="H735" s="359" t="s">
        <v>1580</v>
      </c>
      <c r="I735" s="361">
        <v>1.1708535444537545E-2</v>
      </c>
      <c r="J735" s="359" t="s">
        <v>1315</v>
      </c>
      <c r="K735" s="359" t="s">
        <v>1272</v>
      </c>
      <c r="M735" t="str">
        <f t="shared" si="12"/>
        <v>PHENOL</v>
      </c>
    </row>
    <row r="736" spans="1:13" ht="30" x14ac:dyDescent="0.25">
      <c r="A736" s="359" t="s">
        <v>1691</v>
      </c>
      <c r="B736" s="359" t="s">
        <v>835</v>
      </c>
      <c r="C736" s="359" t="s">
        <v>1482</v>
      </c>
      <c r="D736" s="359" t="s">
        <v>490</v>
      </c>
      <c r="E736" s="361">
        <v>1.96825396825</v>
      </c>
      <c r="F736" s="359" t="s">
        <v>1346</v>
      </c>
      <c r="G736" s="361">
        <v>3.5359777042503386E-6</v>
      </c>
      <c r="H736" s="359" t="s">
        <v>490</v>
      </c>
      <c r="I736" s="361">
        <v>1.9067677117902065E-8</v>
      </c>
      <c r="J736" s="359" t="s">
        <v>1482</v>
      </c>
      <c r="K736" s="359" t="s">
        <v>1277</v>
      </c>
      <c r="M736" t="str">
        <f t="shared" si="12"/>
        <v>Phenols</v>
      </c>
    </row>
    <row r="737" spans="1:13" ht="30" x14ac:dyDescent="0.25">
      <c r="A737" s="359" t="s">
        <v>1691</v>
      </c>
      <c r="B737" s="359" t="s">
        <v>835</v>
      </c>
      <c r="C737" s="359" t="s">
        <v>1319</v>
      </c>
      <c r="D737" s="359" t="s">
        <v>1320</v>
      </c>
      <c r="E737" s="360"/>
      <c r="F737" s="359" t="s">
        <v>1346</v>
      </c>
      <c r="G737" s="361">
        <v>3.5359777042503386E-6</v>
      </c>
      <c r="H737" s="359" t="s">
        <v>1696</v>
      </c>
      <c r="I737" s="361">
        <v>1.8148229939033197E-2</v>
      </c>
      <c r="J737" s="359" t="s">
        <v>1319</v>
      </c>
      <c r="K737" s="359" t="s">
        <v>1272</v>
      </c>
      <c r="M737" t="str">
        <f t="shared" si="12"/>
        <v>POLYCYCLIC AROMATIC COMPOUNDS</v>
      </c>
    </row>
    <row r="738" spans="1:13" ht="30" x14ac:dyDescent="0.25">
      <c r="A738" s="359" t="s">
        <v>1691</v>
      </c>
      <c r="B738" s="359" t="s">
        <v>835</v>
      </c>
      <c r="C738" s="359" t="s">
        <v>1322</v>
      </c>
      <c r="D738" s="359" t="s">
        <v>490</v>
      </c>
      <c r="E738" s="361">
        <v>847.39229024899998</v>
      </c>
      <c r="F738" s="359" t="s">
        <v>1346</v>
      </c>
      <c r="G738" s="361">
        <v>3.5359777042503386E-6</v>
      </c>
      <c r="H738" s="359" t="s">
        <v>490</v>
      </c>
      <c r="I738" s="361">
        <v>8.2092061508879342E-6</v>
      </c>
      <c r="J738" s="359" t="s">
        <v>1322</v>
      </c>
      <c r="K738" s="359" t="s">
        <v>1277</v>
      </c>
      <c r="M738" t="str">
        <f t="shared" si="12"/>
        <v>Solids, total suspended</v>
      </c>
    </row>
    <row r="739" spans="1:13" ht="30" x14ac:dyDescent="0.25">
      <c r="A739" s="359" t="s">
        <v>1691</v>
      </c>
      <c r="B739" s="359" t="s">
        <v>835</v>
      </c>
      <c r="C739" s="359" t="s">
        <v>1323</v>
      </c>
      <c r="D739" s="359" t="s">
        <v>1324</v>
      </c>
      <c r="E739" s="361">
        <v>26.1678004535</v>
      </c>
      <c r="F739" s="359" t="s">
        <v>1346</v>
      </c>
      <c r="G739" s="361">
        <v>3.5359777042503386E-6</v>
      </c>
      <c r="H739" s="359" t="s">
        <v>490</v>
      </c>
      <c r="I739" s="361">
        <v>2.5350344924067918E-7</v>
      </c>
      <c r="J739" s="359" t="s">
        <v>1323</v>
      </c>
      <c r="K739" s="359" t="s">
        <v>1277</v>
      </c>
      <c r="M739" t="str">
        <f t="shared" si="12"/>
        <v>Sulfide, total (as S)</v>
      </c>
    </row>
    <row r="740" spans="1:13" ht="30" x14ac:dyDescent="0.25">
      <c r="A740" s="359" t="s">
        <v>1691</v>
      </c>
      <c r="B740" s="359" t="s">
        <v>835</v>
      </c>
      <c r="C740" s="359" t="s">
        <v>1325</v>
      </c>
      <c r="D740" s="359" t="s">
        <v>1326</v>
      </c>
      <c r="E740" s="360"/>
      <c r="F740" s="359" t="s">
        <v>1346</v>
      </c>
      <c r="G740" s="361">
        <v>3.5359777042503386E-6</v>
      </c>
      <c r="H740" s="359" t="s">
        <v>1692</v>
      </c>
      <c r="I740" s="361">
        <v>9.3668283556300365E-3</v>
      </c>
      <c r="J740" s="359" t="s">
        <v>1325</v>
      </c>
      <c r="K740" s="359" t="s">
        <v>1272</v>
      </c>
      <c r="M740" t="str">
        <f t="shared" si="12"/>
        <v>TOLUENE</v>
      </c>
    </row>
    <row r="741" spans="1:13" ht="30" x14ac:dyDescent="0.25">
      <c r="A741" s="359" t="s">
        <v>1691</v>
      </c>
      <c r="B741" s="359" t="s">
        <v>835</v>
      </c>
      <c r="C741" s="359" t="s">
        <v>1327</v>
      </c>
      <c r="D741" s="359" t="s">
        <v>1328</v>
      </c>
      <c r="E741" s="360"/>
      <c r="F741" s="359" t="s">
        <v>1346</v>
      </c>
      <c r="G741" s="361">
        <v>3.5359777042503386E-6</v>
      </c>
      <c r="H741" s="359" t="s">
        <v>1412</v>
      </c>
      <c r="I741" s="361">
        <v>2.3417070889075091E-3</v>
      </c>
      <c r="J741" s="359" t="s">
        <v>1329</v>
      </c>
      <c r="K741" s="359" t="s">
        <v>1272</v>
      </c>
      <c r="M741" t="str">
        <f t="shared" si="12"/>
        <v>XYLENES</v>
      </c>
    </row>
    <row r="742" spans="1:13" ht="45" x14ac:dyDescent="0.25">
      <c r="A742" s="359" t="s">
        <v>1697</v>
      </c>
      <c r="B742" s="359" t="s">
        <v>696</v>
      </c>
      <c r="C742" s="359" t="s">
        <v>1268</v>
      </c>
      <c r="D742" s="359" t="s">
        <v>1269</v>
      </c>
      <c r="E742" s="360"/>
      <c r="F742" s="359" t="s">
        <v>1270</v>
      </c>
      <c r="G742" s="361">
        <v>3.7735849056603776E-5</v>
      </c>
      <c r="H742" s="359" t="s">
        <v>1286</v>
      </c>
      <c r="I742" s="361">
        <v>0</v>
      </c>
      <c r="J742" s="359" t="s">
        <v>1268</v>
      </c>
      <c r="K742" s="359" t="s">
        <v>1272</v>
      </c>
      <c r="M742" t="str">
        <f t="shared" si="12"/>
        <v>1,2,4-TRIMETHYLBENZENE</v>
      </c>
    </row>
    <row r="743" spans="1:13" ht="45" x14ac:dyDescent="0.25">
      <c r="A743" s="359" t="s">
        <v>1697</v>
      </c>
      <c r="B743" s="359" t="s">
        <v>696</v>
      </c>
      <c r="C743" s="359" t="s">
        <v>1273</v>
      </c>
      <c r="D743" s="359" t="s">
        <v>1274</v>
      </c>
      <c r="E743" s="360"/>
      <c r="F743" s="359" t="s">
        <v>1270</v>
      </c>
      <c r="G743" s="361">
        <v>3.7735849056603776E-5</v>
      </c>
      <c r="H743" s="359" t="s">
        <v>1333</v>
      </c>
      <c r="I743" s="361">
        <v>6.247657128576784E-3</v>
      </c>
      <c r="J743" s="359" t="s">
        <v>1273</v>
      </c>
      <c r="K743" s="359" t="s">
        <v>1272</v>
      </c>
      <c r="M743" t="str">
        <f t="shared" si="12"/>
        <v>BENZENE</v>
      </c>
    </row>
    <row r="744" spans="1:13" ht="45" x14ac:dyDescent="0.25">
      <c r="A744" s="359" t="s">
        <v>1697</v>
      </c>
      <c r="B744" s="359" t="s">
        <v>696</v>
      </c>
      <c r="C744" s="359" t="s">
        <v>1414</v>
      </c>
      <c r="D744" s="359" t="s">
        <v>1415</v>
      </c>
      <c r="E744" s="360"/>
      <c r="F744" s="359" t="s">
        <v>1270</v>
      </c>
      <c r="G744" s="361">
        <v>3.7735849056603776E-5</v>
      </c>
      <c r="H744" s="359" t="s">
        <v>1333</v>
      </c>
      <c r="I744" s="361">
        <v>6.247657128576784E-3</v>
      </c>
      <c r="J744" s="359" t="s">
        <v>1414</v>
      </c>
      <c r="K744" s="359" t="s">
        <v>1272</v>
      </c>
      <c r="M744" t="str">
        <f t="shared" si="12"/>
        <v>BIPHENYL</v>
      </c>
    </row>
    <row r="745" spans="1:13" ht="45" x14ac:dyDescent="0.25">
      <c r="A745" s="359" t="s">
        <v>1697</v>
      </c>
      <c r="B745" s="359" t="s">
        <v>696</v>
      </c>
      <c r="C745" s="359" t="s">
        <v>1276</v>
      </c>
      <c r="D745" s="359" t="s">
        <v>490</v>
      </c>
      <c r="E745" s="361">
        <v>8350.361887233601</v>
      </c>
      <c r="F745" s="359" t="s">
        <v>1270</v>
      </c>
      <c r="G745" s="361">
        <v>3.7735849056603776E-5</v>
      </c>
      <c r="H745" s="359" t="s">
        <v>490</v>
      </c>
      <c r="I745" s="361">
        <v>8.6330957738264163E-4</v>
      </c>
      <c r="J745" s="359" t="s">
        <v>1276</v>
      </c>
      <c r="K745" s="359" t="s">
        <v>1277</v>
      </c>
      <c r="M745" t="str">
        <f t="shared" si="12"/>
        <v>BOD, 5-day, 20 deg. C</v>
      </c>
    </row>
    <row r="746" spans="1:13" ht="45" x14ac:dyDescent="0.25">
      <c r="A746" s="359" t="s">
        <v>1697</v>
      </c>
      <c r="B746" s="359" t="s">
        <v>696</v>
      </c>
      <c r="C746" s="359" t="s">
        <v>1354</v>
      </c>
      <c r="D746" s="359" t="s">
        <v>490</v>
      </c>
      <c r="E746" s="361">
        <v>104.61247950000001</v>
      </c>
      <c r="F746" s="359" t="s">
        <v>1270</v>
      </c>
      <c r="G746" s="361">
        <v>3.7735849056603776E-5</v>
      </c>
      <c r="H746" s="359" t="s">
        <v>490</v>
      </c>
      <c r="I746" s="361">
        <v>1.0815454070819335E-5</v>
      </c>
      <c r="J746" s="359" t="s">
        <v>1354</v>
      </c>
      <c r="K746" s="359" t="s">
        <v>1277</v>
      </c>
      <c r="M746" t="str">
        <f t="shared" si="12"/>
        <v>BOD, carbonaceous, 05 day, 20 C</v>
      </c>
    </row>
    <row r="747" spans="1:13" ht="45" x14ac:dyDescent="0.25">
      <c r="A747" s="359" t="s">
        <v>1697</v>
      </c>
      <c r="B747" s="359" t="s">
        <v>696</v>
      </c>
      <c r="C747" s="359" t="s">
        <v>1457</v>
      </c>
      <c r="D747" s="359" t="s">
        <v>490</v>
      </c>
      <c r="E747" s="361">
        <v>46143.414530802896</v>
      </c>
      <c r="F747" s="359" t="s">
        <v>1270</v>
      </c>
      <c r="G747" s="361">
        <v>3.7735849056603776E-5</v>
      </c>
      <c r="H747" s="359" t="s">
        <v>490</v>
      </c>
      <c r="I747" s="361">
        <v>4.7705778786045899E-3</v>
      </c>
      <c r="J747" s="359" t="s">
        <v>1457</v>
      </c>
      <c r="K747" s="359" t="s">
        <v>1277</v>
      </c>
      <c r="M747" t="str">
        <f t="shared" si="12"/>
        <v>Chemical Oxygen Demand (COD)</v>
      </c>
    </row>
    <row r="748" spans="1:13" ht="45" x14ac:dyDescent="0.25">
      <c r="A748" s="359" t="s">
        <v>1697</v>
      </c>
      <c r="B748" s="359" t="s">
        <v>696</v>
      </c>
      <c r="C748" s="359" t="s">
        <v>1476</v>
      </c>
      <c r="D748" s="359" t="s">
        <v>1477</v>
      </c>
      <c r="E748" s="361">
        <v>196675.49308654931</v>
      </c>
      <c r="F748" s="359" t="s">
        <v>1270</v>
      </c>
      <c r="G748" s="361">
        <v>3.7735849056603776E-5</v>
      </c>
      <c r="H748" s="359" t="s">
        <v>490</v>
      </c>
      <c r="I748" s="361">
        <v>2.0333470466430532E-2</v>
      </c>
      <c r="J748" s="359" t="s">
        <v>1476</v>
      </c>
      <c r="K748" s="359" t="s">
        <v>1277</v>
      </c>
      <c r="M748" t="str">
        <f t="shared" si="12"/>
        <v>Chloride (as Cl)</v>
      </c>
    </row>
    <row r="749" spans="1:13" ht="45" x14ac:dyDescent="0.25">
      <c r="A749" s="359" t="s">
        <v>1697</v>
      </c>
      <c r="B749" s="359" t="s">
        <v>696</v>
      </c>
      <c r="C749" s="359" t="s">
        <v>1282</v>
      </c>
      <c r="D749" s="359" t="s">
        <v>1283</v>
      </c>
      <c r="E749" s="361">
        <v>0.83752287080566001</v>
      </c>
      <c r="F749" s="359" t="s">
        <v>1270</v>
      </c>
      <c r="G749" s="361">
        <v>3.7735849056603776E-5</v>
      </c>
      <c r="H749" s="359" t="s">
        <v>490</v>
      </c>
      <c r="I749" s="361">
        <v>8.6588045573084518E-8</v>
      </c>
      <c r="J749" s="359" t="s">
        <v>1282</v>
      </c>
      <c r="K749" s="359" t="s">
        <v>1277</v>
      </c>
      <c r="M749" t="str">
        <f t="shared" si="12"/>
        <v>Chromium, total (as Cr)</v>
      </c>
    </row>
    <row r="750" spans="1:13" ht="45" x14ac:dyDescent="0.25">
      <c r="A750" s="359" t="s">
        <v>1697</v>
      </c>
      <c r="B750" s="359" t="s">
        <v>696</v>
      </c>
      <c r="C750" s="359" t="s">
        <v>1284</v>
      </c>
      <c r="D750" s="359" t="s">
        <v>1285</v>
      </c>
      <c r="E750" s="360"/>
      <c r="F750" s="359" t="s">
        <v>1270</v>
      </c>
      <c r="G750" s="361">
        <v>3.7735849056603776E-5</v>
      </c>
      <c r="H750" s="359" t="s">
        <v>1286</v>
      </c>
      <c r="I750" s="361">
        <v>0</v>
      </c>
      <c r="J750" s="359" t="s">
        <v>1287</v>
      </c>
      <c r="K750" s="359" t="s">
        <v>1272</v>
      </c>
      <c r="M750" t="str">
        <f t="shared" si="12"/>
        <v>ISOPROPYLBENZENE</v>
      </c>
    </row>
    <row r="751" spans="1:13" ht="45" x14ac:dyDescent="0.25">
      <c r="A751" s="359" t="s">
        <v>1697</v>
      </c>
      <c r="B751" s="359" t="s">
        <v>696</v>
      </c>
      <c r="C751" s="359" t="s">
        <v>1291</v>
      </c>
      <c r="D751" s="359" t="s">
        <v>1292</v>
      </c>
      <c r="E751" s="360"/>
      <c r="F751" s="359" t="s">
        <v>1270</v>
      </c>
      <c r="G751" s="361">
        <v>3.7735849056603776E-5</v>
      </c>
      <c r="H751" s="359" t="s">
        <v>1270</v>
      </c>
      <c r="I751" s="361">
        <v>1.2495314257153568E-2</v>
      </c>
      <c r="J751" s="359" t="s">
        <v>1291</v>
      </c>
      <c r="K751" s="359" t="s">
        <v>1272</v>
      </c>
      <c r="M751" t="str">
        <f t="shared" si="12"/>
        <v>CYCLOHEXANE</v>
      </c>
    </row>
    <row r="752" spans="1:13" ht="45" x14ac:dyDescent="0.25">
      <c r="A752" s="359" t="s">
        <v>1697</v>
      </c>
      <c r="B752" s="359" t="s">
        <v>696</v>
      </c>
      <c r="C752" s="359" t="s">
        <v>1295</v>
      </c>
      <c r="D752" s="359" t="s">
        <v>1296</v>
      </c>
      <c r="E752" s="360"/>
      <c r="F752" s="359" t="s">
        <v>1270</v>
      </c>
      <c r="G752" s="361">
        <v>3.7735849056603776E-5</v>
      </c>
      <c r="H752" s="359" t="s">
        <v>1270</v>
      </c>
      <c r="I752" s="361">
        <v>1.2495314257153568E-2</v>
      </c>
      <c r="J752" s="359" t="s">
        <v>1295</v>
      </c>
      <c r="K752" s="359" t="s">
        <v>1272</v>
      </c>
      <c r="M752" t="str">
        <f t="shared" si="12"/>
        <v>ETHYLBENZENE</v>
      </c>
    </row>
    <row r="753" spans="1:13" ht="45" x14ac:dyDescent="0.25">
      <c r="A753" s="359" t="s">
        <v>1697</v>
      </c>
      <c r="B753" s="359" t="s">
        <v>696</v>
      </c>
      <c r="C753" s="359" t="s">
        <v>1596</v>
      </c>
      <c r="D753" s="359" t="s">
        <v>1597</v>
      </c>
      <c r="E753" s="361">
        <v>2358.7176573686297</v>
      </c>
      <c r="F753" s="359" t="s">
        <v>1270</v>
      </c>
      <c r="G753" s="361">
        <v>3.7735849056603776E-5</v>
      </c>
      <c r="H753" s="359" t="s">
        <v>490</v>
      </c>
      <c r="I753" s="361">
        <v>2.4385811913865389E-4</v>
      </c>
      <c r="J753" s="359" t="s">
        <v>1596</v>
      </c>
      <c r="K753" s="359" t="s">
        <v>1277</v>
      </c>
      <c r="M753" t="str">
        <f t="shared" si="12"/>
        <v>Fluoride, total (as F)</v>
      </c>
    </row>
    <row r="754" spans="1:13" ht="45" x14ac:dyDescent="0.25">
      <c r="A754" s="359" t="s">
        <v>1697</v>
      </c>
      <c r="B754" s="359" t="s">
        <v>696</v>
      </c>
      <c r="C754" s="359" t="s">
        <v>1488</v>
      </c>
      <c r="D754" s="359" t="s">
        <v>1489</v>
      </c>
      <c r="E754" s="360"/>
      <c r="F754" s="359" t="s">
        <v>1270</v>
      </c>
      <c r="G754" s="361">
        <v>3.7735849056603776E-5</v>
      </c>
      <c r="H754" s="359" t="s">
        <v>1286</v>
      </c>
      <c r="I754" s="361">
        <v>0</v>
      </c>
      <c r="J754" s="359" t="s">
        <v>1490</v>
      </c>
      <c r="K754" s="359" t="s">
        <v>1272</v>
      </c>
      <c r="M754" t="str">
        <f t="shared" si="12"/>
        <v>HYDROFLUORIC ACID</v>
      </c>
    </row>
    <row r="755" spans="1:13" ht="45" x14ac:dyDescent="0.25">
      <c r="A755" s="359" t="s">
        <v>1697</v>
      </c>
      <c r="B755" s="359" t="s">
        <v>696</v>
      </c>
      <c r="C755" s="359" t="s">
        <v>1297</v>
      </c>
      <c r="D755" s="359" t="s">
        <v>1298</v>
      </c>
      <c r="E755" s="360"/>
      <c r="F755" s="359" t="s">
        <v>1270</v>
      </c>
      <c r="G755" s="361">
        <v>3.7735849056603776E-5</v>
      </c>
      <c r="H755" s="359" t="s">
        <v>1286</v>
      </c>
      <c r="I755" s="361">
        <v>0</v>
      </c>
      <c r="J755" s="359" t="s">
        <v>1297</v>
      </c>
      <c r="K755" s="359" t="s">
        <v>1272</v>
      </c>
      <c r="M755" t="str">
        <f t="shared" si="12"/>
        <v>LEAD AND LEAD COMPOUNDS</v>
      </c>
    </row>
    <row r="756" spans="1:13" ht="45" x14ac:dyDescent="0.25">
      <c r="A756" s="359" t="s">
        <v>1697</v>
      </c>
      <c r="B756" s="359" t="s">
        <v>696</v>
      </c>
      <c r="C756" s="359" t="s">
        <v>1468</v>
      </c>
      <c r="D756" s="359" t="s">
        <v>1459</v>
      </c>
      <c r="E756" s="361">
        <v>1.5974421768699999E-3</v>
      </c>
      <c r="F756" s="359" t="s">
        <v>1270</v>
      </c>
      <c r="G756" s="361">
        <v>3.7735849056603776E-5</v>
      </c>
      <c r="H756" s="359" t="s">
        <v>490</v>
      </c>
      <c r="I756" s="361">
        <v>1.65152977706901E-10</v>
      </c>
      <c r="J756" s="359" t="s">
        <v>1468</v>
      </c>
      <c r="K756" s="359" t="s">
        <v>1277</v>
      </c>
      <c r="M756" t="str">
        <f t="shared" si="12"/>
        <v>Mercury, total (as Hg)</v>
      </c>
    </row>
    <row r="757" spans="1:13" ht="45" x14ac:dyDescent="0.25">
      <c r="A757" s="359" t="s">
        <v>1697</v>
      </c>
      <c r="B757" s="359" t="s">
        <v>696</v>
      </c>
      <c r="C757" s="359" t="s">
        <v>1303</v>
      </c>
      <c r="D757" s="359" t="s">
        <v>1304</v>
      </c>
      <c r="E757" s="360"/>
      <c r="F757" s="359" t="s">
        <v>1270</v>
      </c>
      <c r="G757" s="361">
        <v>3.7735849056603776E-5</v>
      </c>
      <c r="H757" s="359" t="s">
        <v>1286</v>
      </c>
      <c r="I757" s="361">
        <v>0</v>
      </c>
      <c r="J757" s="359" t="s">
        <v>1303</v>
      </c>
      <c r="K757" s="359" t="s">
        <v>1272</v>
      </c>
      <c r="M757" t="str">
        <f t="shared" si="12"/>
        <v>NAPHTHALENE</v>
      </c>
    </row>
    <row r="758" spans="1:13" ht="45" x14ac:dyDescent="0.25">
      <c r="A758" s="359" t="s">
        <v>1697</v>
      </c>
      <c r="B758" s="359" t="s">
        <v>696</v>
      </c>
      <c r="C758" s="359" t="s">
        <v>1305</v>
      </c>
      <c r="D758" s="359" t="s">
        <v>1306</v>
      </c>
      <c r="E758" s="360"/>
      <c r="F758" s="359" t="s">
        <v>1270</v>
      </c>
      <c r="G758" s="361">
        <v>3.7735849056603776E-5</v>
      </c>
      <c r="H758" s="359" t="s">
        <v>1346</v>
      </c>
      <c r="I758" s="361">
        <v>3.1238285642883921E-2</v>
      </c>
      <c r="J758" s="359" t="s">
        <v>1305</v>
      </c>
      <c r="K758" s="359" t="s">
        <v>1272</v>
      </c>
      <c r="M758" t="str">
        <f t="shared" si="12"/>
        <v>N-HEXANE</v>
      </c>
    </row>
    <row r="759" spans="1:13" ht="45" x14ac:dyDescent="0.25">
      <c r="A759" s="359" t="s">
        <v>1697</v>
      </c>
      <c r="B759" s="359" t="s">
        <v>696</v>
      </c>
      <c r="C759" s="359" t="s">
        <v>1311</v>
      </c>
      <c r="D759" s="359" t="s">
        <v>1312</v>
      </c>
      <c r="E759" s="361">
        <v>2947.5445423022397</v>
      </c>
      <c r="F759" s="359" t="s">
        <v>1270</v>
      </c>
      <c r="G759" s="361">
        <v>3.7735849056603776E-5</v>
      </c>
      <c r="H759" s="359" t="s">
        <v>490</v>
      </c>
      <c r="I759" s="361">
        <v>3.0473450941351666E-4</v>
      </c>
      <c r="J759" s="359" t="s">
        <v>1313</v>
      </c>
      <c r="K759" s="359" t="s">
        <v>1277</v>
      </c>
      <c r="M759" t="str">
        <f t="shared" si="12"/>
        <v>AMMONIA</v>
      </c>
    </row>
    <row r="760" spans="1:13" ht="45" x14ac:dyDescent="0.25">
      <c r="A760" s="359" t="s">
        <v>1697</v>
      </c>
      <c r="B760" s="359" t="s">
        <v>696</v>
      </c>
      <c r="C760" s="359" t="s">
        <v>1341</v>
      </c>
      <c r="D760" s="359" t="s">
        <v>490</v>
      </c>
      <c r="E760" s="361">
        <v>2325.9410430799999</v>
      </c>
      <c r="F760" s="359" t="s">
        <v>1270</v>
      </c>
      <c r="G760" s="361">
        <v>3.7735849056603776E-5</v>
      </c>
      <c r="H760" s="359" t="s">
        <v>490</v>
      </c>
      <c r="I760" s="361">
        <v>2.4046947977048332E-4</v>
      </c>
      <c r="J760" s="359" t="s">
        <v>1341</v>
      </c>
      <c r="K760" s="359" t="s">
        <v>1277</v>
      </c>
      <c r="M760" t="str">
        <f t="shared" si="12"/>
        <v>Oil &amp; grease</v>
      </c>
    </row>
    <row r="761" spans="1:13" ht="45" x14ac:dyDescent="0.25">
      <c r="A761" s="359" t="s">
        <v>1697</v>
      </c>
      <c r="B761" s="359" t="s">
        <v>696</v>
      </c>
      <c r="C761" s="359" t="s">
        <v>1460</v>
      </c>
      <c r="D761" s="359" t="s">
        <v>490</v>
      </c>
      <c r="E761" s="361">
        <v>131.81172416999999</v>
      </c>
      <c r="F761" s="359" t="s">
        <v>1270</v>
      </c>
      <c r="G761" s="361">
        <v>3.7735849056603776E-5</v>
      </c>
      <c r="H761" s="359" t="s">
        <v>490</v>
      </c>
      <c r="I761" s="361">
        <v>1.362747212923236E-5</v>
      </c>
      <c r="J761" s="359" t="s">
        <v>1460</v>
      </c>
      <c r="K761" s="359" t="s">
        <v>1277</v>
      </c>
      <c r="M761" t="str">
        <f t="shared" si="12"/>
        <v>Oil and grease, hexane extr method</v>
      </c>
    </row>
    <row r="762" spans="1:13" ht="45" x14ac:dyDescent="0.25">
      <c r="A762" s="359" t="s">
        <v>1697</v>
      </c>
      <c r="B762" s="359" t="s">
        <v>696</v>
      </c>
      <c r="C762" s="359" t="s">
        <v>1318</v>
      </c>
      <c r="D762" s="359" t="s">
        <v>490</v>
      </c>
      <c r="E762" s="361">
        <v>29.157909988294698</v>
      </c>
      <c r="F762" s="359" t="s">
        <v>1270</v>
      </c>
      <c r="G762" s="361">
        <v>3.7735849056603776E-5</v>
      </c>
      <c r="H762" s="359" t="s">
        <v>490</v>
      </c>
      <c r="I762" s="361">
        <v>3.0145164112995295E-6</v>
      </c>
      <c r="J762" s="359" t="s">
        <v>1318</v>
      </c>
      <c r="K762" s="359" t="s">
        <v>1277</v>
      </c>
      <c r="M762" t="str">
        <f t="shared" si="12"/>
        <v>Phenolics, total recoverable</v>
      </c>
    </row>
    <row r="763" spans="1:13" ht="45" x14ac:dyDescent="0.25">
      <c r="A763" s="359" t="s">
        <v>1697</v>
      </c>
      <c r="B763" s="359" t="s">
        <v>696</v>
      </c>
      <c r="C763" s="359" t="s">
        <v>1322</v>
      </c>
      <c r="D763" s="359" t="s">
        <v>490</v>
      </c>
      <c r="E763" s="361">
        <v>56031.94454082664</v>
      </c>
      <c r="F763" s="359" t="s">
        <v>1270</v>
      </c>
      <c r="G763" s="361">
        <v>3.7735849056603776E-5</v>
      </c>
      <c r="H763" s="359" t="s">
        <v>490</v>
      </c>
      <c r="I763" s="361">
        <v>5.7929123329880216E-3</v>
      </c>
      <c r="J763" s="359" t="s">
        <v>1322</v>
      </c>
      <c r="K763" s="359" t="s">
        <v>1277</v>
      </c>
      <c r="M763" t="str">
        <f t="shared" si="12"/>
        <v>Solids, total suspended</v>
      </c>
    </row>
    <row r="764" spans="1:13" ht="45" x14ac:dyDescent="0.25">
      <c r="A764" s="359" t="s">
        <v>1697</v>
      </c>
      <c r="B764" s="359" t="s">
        <v>696</v>
      </c>
      <c r="C764" s="359" t="s">
        <v>1323</v>
      </c>
      <c r="D764" s="359" t="s">
        <v>1324</v>
      </c>
      <c r="E764" s="361">
        <v>31.194274002274998</v>
      </c>
      <c r="F764" s="359" t="s">
        <v>1270</v>
      </c>
      <c r="G764" s="361">
        <v>3.7735849056603776E-5</v>
      </c>
      <c r="H764" s="359" t="s">
        <v>490</v>
      </c>
      <c r="I764" s="361">
        <v>3.2250477128224346E-6</v>
      </c>
      <c r="J764" s="359" t="s">
        <v>1323</v>
      </c>
      <c r="K764" s="359" t="s">
        <v>1277</v>
      </c>
      <c r="M764" t="str">
        <f t="shared" si="12"/>
        <v>Sulfide, total (as S)</v>
      </c>
    </row>
    <row r="765" spans="1:13" ht="45" x14ac:dyDescent="0.25">
      <c r="A765" s="359" t="s">
        <v>1697</v>
      </c>
      <c r="B765" s="359" t="s">
        <v>696</v>
      </c>
      <c r="C765" s="359" t="s">
        <v>1325</v>
      </c>
      <c r="D765" s="359" t="s">
        <v>1326</v>
      </c>
      <c r="E765" s="360"/>
      <c r="F765" s="359" t="s">
        <v>1270</v>
      </c>
      <c r="G765" s="361">
        <v>3.7735849056603776E-5</v>
      </c>
      <c r="H765" s="359" t="s">
        <v>1270</v>
      </c>
      <c r="I765" s="361">
        <v>1.2495314257153568E-2</v>
      </c>
      <c r="J765" s="359" t="s">
        <v>1325</v>
      </c>
      <c r="K765" s="359" t="s">
        <v>1272</v>
      </c>
      <c r="M765" t="str">
        <f t="shared" si="12"/>
        <v>TOLUENE</v>
      </c>
    </row>
    <row r="766" spans="1:13" ht="45" x14ac:dyDescent="0.25">
      <c r="A766" s="359" t="s">
        <v>1697</v>
      </c>
      <c r="B766" s="359" t="s">
        <v>696</v>
      </c>
      <c r="C766" s="359" t="s">
        <v>1327</v>
      </c>
      <c r="D766" s="359" t="s">
        <v>1328</v>
      </c>
      <c r="E766" s="360"/>
      <c r="F766" s="359" t="s">
        <v>1270</v>
      </c>
      <c r="G766" s="361">
        <v>3.7735849056603776E-5</v>
      </c>
      <c r="H766" s="359" t="s">
        <v>1333</v>
      </c>
      <c r="I766" s="361">
        <v>6.247657128576784E-3</v>
      </c>
      <c r="J766" s="359" t="s">
        <v>1329</v>
      </c>
      <c r="K766" s="359" t="s">
        <v>1272</v>
      </c>
      <c r="M766" t="str">
        <f t="shared" si="12"/>
        <v>XYLENES</v>
      </c>
    </row>
    <row r="767" spans="1:13" ht="45" x14ac:dyDescent="0.25">
      <c r="A767" s="359" t="s">
        <v>1697</v>
      </c>
      <c r="B767" s="359" t="s">
        <v>696</v>
      </c>
      <c r="C767" s="359" t="s">
        <v>2035</v>
      </c>
      <c r="D767" s="359" t="s">
        <v>1343</v>
      </c>
      <c r="E767" s="361">
        <v>32.541566537891001</v>
      </c>
      <c r="F767" s="359" t="s">
        <v>1270</v>
      </c>
      <c r="G767" s="361">
        <v>3.7735849056603776E-5</v>
      </c>
      <c r="H767" s="359" t="s">
        <v>490</v>
      </c>
      <c r="I767" s="361">
        <v>3.364338747778858E-6</v>
      </c>
      <c r="J767" s="359" t="s">
        <v>2035</v>
      </c>
      <c r="K767" s="359" t="s">
        <v>1277</v>
      </c>
      <c r="M767" t="str">
        <f t="shared" si="12"/>
        <v>Zinc, total (as Cr)</v>
      </c>
    </row>
    <row r="768" spans="1:13" x14ac:dyDescent="0.25">
      <c r="A768" s="359" t="s">
        <v>1698</v>
      </c>
      <c r="B768" s="359" t="s">
        <v>837</v>
      </c>
      <c r="C768" s="359" t="s">
        <v>1699</v>
      </c>
      <c r="D768" s="359" t="s">
        <v>1700</v>
      </c>
      <c r="E768" s="360"/>
      <c r="F768" s="359" t="s">
        <v>1346</v>
      </c>
      <c r="G768" s="361">
        <v>3.0201791217037297E-6</v>
      </c>
      <c r="H768" s="359" t="s">
        <v>1701</v>
      </c>
      <c r="I768" s="361">
        <v>0.47652826208338644</v>
      </c>
      <c r="J768" s="359" t="s">
        <v>1699</v>
      </c>
      <c r="K768" s="359" t="s">
        <v>1272</v>
      </c>
      <c r="M768" t="str">
        <f t="shared" si="12"/>
        <v>ACETONITRILE</v>
      </c>
    </row>
    <row r="769" spans="1:13" x14ac:dyDescent="0.25">
      <c r="A769" s="359" t="s">
        <v>1698</v>
      </c>
      <c r="B769" s="359" t="s">
        <v>837</v>
      </c>
      <c r="C769" s="359" t="s">
        <v>1702</v>
      </c>
      <c r="D769" s="359" t="s">
        <v>1430</v>
      </c>
      <c r="E769" s="360"/>
      <c r="F769" s="359" t="s">
        <v>1346</v>
      </c>
      <c r="G769" s="361">
        <v>3.0201791217037297E-6</v>
      </c>
      <c r="H769" s="359" t="s">
        <v>1703</v>
      </c>
      <c r="I769" s="361">
        <v>0.92905510068303454</v>
      </c>
      <c r="J769" s="359" t="s">
        <v>1702</v>
      </c>
      <c r="K769" s="359" t="s">
        <v>1272</v>
      </c>
      <c r="M769" t="str">
        <f t="shared" si="12"/>
        <v>BARIUM AND BARIUM COMPOUNDS</v>
      </c>
    </row>
    <row r="770" spans="1:13" x14ac:dyDescent="0.25">
      <c r="A770" s="359" t="s">
        <v>1698</v>
      </c>
      <c r="B770" s="359" t="s">
        <v>837</v>
      </c>
      <c r="C770" s="359" t="s">
        <v>1273</v>
      </c>
      <c r="D770" s="359" t="s">
        <v>1274</v>
      </c>
      <c r="E770" s="360"/>
      <c r="F770" s="359" t="s">
        <v>1346</v>
      </c>
      <c r="G770" s="361">
        <v>3.0201791217037297E-6</v>
      </c>
      <c r="H770" s="359" t="s">
        <v>1334</v>
      </c>
      <c r="I770" s="361">
        <v>5.5003262150233483E-4</v>
      </c>
      <c r="J770" s="359" t="s">
        <v>1273</v>
      </c>
      <c r="K770" s="359" t="s">
        <v>1272</v>
      </c>
      <c r="M770" t="str">
        <f t="shared" si="12"/>
        <v>BENZENE</v>
      </c>
    </row>
    <row r="771" spans="1:13" x14ac:dyDescent="0.25">
      <c r="A771" s="359" t="s">
        <v>1698</v>
      </c>
      <c r="B771" s="359" t="s">
        <v>837</v>
      </c>
      <c r="C771" s="359" t="s">
        <v>1276</v>
      </c>
      <c r="D771" s="359" t="s">
        <v>490</v>
      </c>
      <c r="E771" s="361">
        <v>22683.9002268</v>
      </c>
      <c r="F771" s="359" t="s">
        <v>1346</v>
      </c>
      <c r="G771" s="361">
        <v>3.0201791217037297E-6</v>
      </c>
      <c r="H771" s="359" t="s">
        <v>490</v>
      </c>
      <c r="I771" s="361">
        <v>1.8769710099669003E-4</v>
      </c>
      <c r="J771" s="359" t="s">
        <v>1276</v>
      </c>
      <c r="K771" s="359" t="s">
        <v>1277</v>
      </c>
      <c r="M771" t="str">
        <f t="shared" si="12"/>
        <v>BOD, 5-day, 20 deg. C</v>
      </c>
    </row>
    <row r="772" spans="1:13" x14ac:dyDescent="0.25">
      <c r="A772" s="359" t="s">
        <v>1698</v>
      </c>
      <c r="B772" s="359" t="s">
        <v>837</v>
      </c>
      <c r="C772" s="359" t="s">
        <v>1278</v>
      </c>
      <c r="D772" s="359" t="s">
        <v>1279</v>
      </c>
      <c r="E772" s="361">
        <v>233513.30743699998</v>
      </c>
      <c r="F772" s="359" t="s">
        <v>1346</v>
      </c>
      <c r="G772" s="361">
        <v>3.0201791217037297E-6</v>
      </c>
      <c r="H772" s="359" t="s">
        <v>490</v>
      </c>
      <c r="I772" s="361">
        <v>1.9321973034553744E-3</v>
      </c>
      <c r="J772" s="359" t="s">
        <v>1278</v>
      </c>
      <c r="K772" s="359" t="s">
        <v>1277</v>
      </c>
      <c r="M772" t="str">
        <f t="shared" si="12"/>
        <v>Carbon, tot organic (TOC)</v>
      </c>
    </row>
    <row r="773" spans="1:13" x14ac:dyDescent="0.25">
      <c r="A773" s="359" t="s">
        <v>1698</v>
      </c>
      <c r="B773" s="359" t="s">
        <v>837</v>
      </c>
      <c r="C773" s="359" t="s">
        <v>1437</v>
      </c>
      <c r="D773" s="359" t="s">
        <v>1438</v>
      </c>
      <c r="E773" s="360"/>
      <c r="F773" s="359" t="s">
        <v>1346</v>
      </c>
      <c r="G773" s="361">
        <v>3.0201791217037297E-6</v>
      </c>
      <c r="H773" s="359" t="s">
        <v>1704</v>
      </c>
      <c r="I773" s="361">
        <v>0.12350732501006972</v>
      </c>
      <c r="J773" s="359" t="s">
        <v>1437</v>
      </c>
      <c r="K773" s="359" t="s">
        <v>1272</v>
      </c>
      <c r="M773" t="str">
        <f t="shared" si="12"/>
        <v>CHROMIUM AND CHROMIUM COMPOUNDS</v>
      </c>
    </row>
    <row r="774" spans="1:13" x14ac:dyDescent="0.25">
      <c r="A774" s="359" t="s">
        <v>1698</v>
      </c>
      <c r="B774" s="359" t="s">
        <v>837</v>
      </c>
      <c r="C774" s="359" t="s">
        <v>1280</v>
      </c>
      <c r="D774" s="359" t="s">
        <v>1281</v>
      </c>
      <c r="E774" s="361">
        <v>0</v>
      </c>
      <c r="F774" s="359" t="s">
        <v>1346</v>
      </c>
      <c r="G774" s="361">
        <v>3.0201791217037297E-6</v>
      </c>
      <c r="H774" s="359" t="s">
        <v>490</v>
      </c>
      <c r="I774" s="361">
        <v>0</v>
      </c>
      <c r="J774" s="359" t="s">
        <v>1280</v>
      </c>
      <c r="K774" s="359" t="s">
        <v>1277</v>
      </c>
      <c r="M774" t="str">
        <f t="shared" ref="M774:M837" si="13">IF(J774="",C774,J774)</f>
        <v>Chromium, hexavalent (as Cr)</v>
      </c>
    </row>
    <row r="775" spans="1:13" x14ac:dyDescent="0.25">
      <c r="A775" s="359" t="s">
        <v>1698</v>
      </c>
      <c r="B775" s="359" t="s">
        <v>837</v>
      </c>
      <c r="C775" s="359" t="s">
        <v>1282</v>
      </c>
      <c r="D775" s="359" t="s">
        <v>1283</v>
      </c>
      <c r="E775" s="361">
        <v>11.8367346939</v>
      </c>
      <c r="F775" s="359" t="s">
        <v>1346</v>
      </c>
      <c r="G775" s="361">
        <v>3.0201791217037297E-6</v>
      </c>
      <c r="H775" s="359" t="s">
        <v>490</v>
      </c>
      <c r="I775" s="361">
        <v>9.7942627374419098E-8</v>
      </c>
      <c r="J775" s="359" t="s">
        <v>1282</v>
      </c>
      <c r="K775" s="359" t="s">
        <v>1277</v>
      </c>
      <c r="M775" t="str">
        <f t="shared" si="13"/>
        <v>Chromium, total (as Cr)</v>
      </c>
    </row>
    <row r="776" spans="1:13" x14ac:dyDescent="0.25">
      <c r="A776" s="359" t="s">
        <v>1698</v>
      </c>
      <c r="B776" s="359" t="s">
        <v>837</v>
      </c>
      <c r="C776" s="359" t="s">
        <v>1467</v>
      </c>
      <c r="D776" s="359" t="s">
        <v>1441</v>
      </c>
      <c r="E776" s="361">
        <v>14.554081999999999</v>
      </c>
      <c r="F776" s="359" t="s">
        <v>1346</v>
      </c>
      <c r="G776" s="361">
        <v>3.0201791217037297E-6</v>
      </c>
      <c r="H776" s="359" t="s">
        <v>490</v>
      </c>
      <c r="I776" s="361">
        <v>1.2042721806017552E-7</v>
      </c>
      <c r="J776" s="359" t="s">
        <v>1467</v>
      </c>
      <c r="K776" s="359" t="s">
        <v>1277</v>
      </c>
      <c r="M776" t="str">
        <f t="shared" si="13"/>
        <v>Copper, total (as Cu)</v>
      </c>
    </row>
    <row r="777" spans="1:13" x14ac:dyDescent="0.25">
      <c r="A777" s="359" t="s">
        <v>1698</v>
      </c>
      <c r="B777" s="359" t="s">
        <v>837</v>
      </c>
      <c r="C777" s="359" t="s">
        <v>1362</v>
      </c>
      <c r="D777" s="359" t="s">
        <v>1363</v>
      </c>
      <c r="E777" s="360"/>
      <c r="F777" s="359" t="s">
        <v>1346</v>
      </c>
      <c r="G777" s="361">
        <v>3.0201791217037297E-6</v>
      </c>
      <c r="H777" s="359" t="s">
        <v>1705</v>
      </c>
      <c r="I777" s="361">
        <v>5.2274700323857173E-7</v>
      </c>
      <c r="J777" s="359" t="s">
        <v>1362</v>
      </c>
      <c r="K777" s="359" t="s">
        <v>1272</v>
      </c>
      <c r="M777" t="str">
        <f t="shared" si="13"/>
        <v>DIOXIN AND DIOXIN-LIKE COMPOUNDS</v>
      </c>
    </row>
    <row r="778" spans="1:13" x14ac:dyDescent="0.25">
      <c r="A778" s="359" t="s">
        <v>1698</v>
      </c>
      <c r="B778" s="359" t="s">
        <v>837</v>
      </c>
      <c r="C778" s="359" t="s">
        <v>1297</v>
      </c>
      <c r="D778" s="359" t="s">
        <v>1298</v>
      </c>
      <c r="E778" s="360"/>
      <c r="F778" s="359" t="s">
        <v>1346</v>
      </c>
      <c r="G778" s="361">
        <v>3.0201791217037297E-6</v>
      </c>
      <c r="H778" s="359" t="s">
        <v>1706</v>
      </c>
      <c r="I778" s="361">
        <v>2.7001601419205528E-2</v>
      </c>
      <c r="J778" s="359" t="s">
        <v>1297</v>
      </c>
      <c r="K778" s="359" t="s">
        <v>1272</v>
      </c>
      <c r="M778" t="str">
        <f t="shared" si="13"/>
        <v>LEAD AND LEAD COMPOUNDS</v>
      </c>
    </row>
    <row r="779" spans="1:13" x14ac:dyDescent="0.25">
      <c r="A779" s="359" t="s">
        <v>1698</v>
      </c>
      <c r="B779" s="359" t="s">
        <v>837</v>
      </c>
      <c r="C779" s="359" t="s">
        <v>1300</v>
      </c>
      <c r="D779" s="359" t="s">
        <v>1301</v>
      </c>
      <c r="E779" s="360"/>
      <c r="F779" s="359" t="s">
        <v>1346</v>
      </c>
      <c r="G779" s="361">
        <v>3.0201791217037297E-6</v>
      </c>
      <c r="H779" s="359" t="s">
        <v>1333</v>
      </c>
      <c r="I779" s="361">
        <v>5.0002965591121351E-4</v>
      </c>
      <c r="J779" s="359" t="s">
        <v>1300</v>
      </c>
      <c r="K779" s="359" t="s">
        <v>1272</v>
      </c>
      <c r="M779" t="str">
        <f t="shared" si="13"/>
        <v>MERCURY AND MERCURY COMPOUNDS</v>
      </c>
    </row>
    <row r="780" spans="1:13" x14ac:dyDescent="0.25">
      <c r="A780" s="359" t="s">
        <v>1698</v>
      </c>
      <c r="B780" s="359" t="s">
        <v>837</v>
      </c>
      <c r="C780" s="359" t="s">
        <v>1375</v>
      </c>
      <c r="D780" s="359" t="s">
        <v>1376</v>
      </c>
      <c r="E780" s="360"/>
      <c r="F780" s="359" t="s">
        <v>1346</v>
      </c>
      <c r="G780" s="361">
        <v>3.0201791217037297E-6</v>
      </c>
      <c r="H780" s="359" t="s">
        <v>1707</v>
      </c>
      <c r="I780" s="361">
        <v>3.3056960552290322</v>
      </c>
      <c r="J780" s="359" t="s">
        <v>1375</v>
      </c>
      <c r="K780" s="359" t="s">
        <v>1272</v>
      </c>
      <c r="M780" t="str">
        <f t="shared" si="13"/>
        <v>METHANOL</v>
      </c>
    </row>
    <row r="781" spans="1:13" x14ac:dyDescent="0.25">
      <c r="A781" s="359" t="s">
        <v>1698</v>
      </c>
      <c r="B781" s="359" t="s">
        <v>837</v>
      </c>
      <c r="C781" s="359" t="s">
        <v>1384</v>
      </c>
      <c r="D781" s="359" t="s">
        <v>1385</v>
      </c>
      <c r="E781" s="360"/>
      <c r="F781" s="359" t="s">
        <v>1346</v>
      </c>
      <c r="G781" s="361">
        <v>3.0201791217037297E-6</v>
      </c>
      <c r="H781" s="359" t="s">
        <v>1708</v>
      </c>
      <c r="I781" s="361">
        <v>5.9003499397523189E-2</v>
      </c>
      <c r="J781" s="359" t="s">
        <v>1384</v>
      </c>
      <c r="K781" s="359" t="s">
        <v>1272</v>
      </c>
      <c r="M781" t="str">
        <f t="shared" si="13"/>
        <v>NICKEL AND NICKEL COMPOUNDS</v>
      </c>
    </row>
    <row r="782" spans="1:13" x14ac:dyDescent="0.25">
      <c r="A782" s="359" t="s">
        <v>1698</v>
      </c>
      <c r="B782" s="359" t="s">
        <v>837</v>
      </c>
      <c r="C782" s="359" t="s">
        <v>1307</v>
      </c>
      <c r="D782" s="359" t="s">
        <v>1308</v>
      </c>
      <c r="E782" s="360"/>
      <c r="F782" s="359" t="s">
        <v>1346</v>
      </c>
      <c r="G782" s="361">
        <v>3.0201791217037297E-6</v>
      </c>
      <c r="H782" s="359" t="s">
        <v>1709</v>
      </c>
      <c r="I782" s="361">
        <v>556.09148084301103</v>
      </c>
      <c r="J782" s="359" t="s">
        <v>1310</v>
      </c>
      <c r="K782" s="359" t="s">
        <v>1272</v>
      </c>
      <c r="M782" t="str">
        <f t="shared" si="13"/>
        <v>NITRATE</v>
      </c>
    </row>
    <row r="783" spans="1:13" x14ac:dyDescent="0.25">
      <c r="A783" s="359" t="s">
        <v>1698</v>
      </c>
      <c r="B783" s="359" t="s">
        <v>837</v>
      </c>
      <c r="C783" s="359" t="s">
        <v>1311</v>
      </c>
      <c r="D783" s="359" t="s">
        <v>1312</v>
      </c>
      <c r="E783" s="361">
        <v>2299.2244897999999</v>
      </c>
      <c r="F783" s="359" t="s">
        <v>1346</v>
      </c>
      <c r="G783" s="361">
        <v>3.0201791217037297E-6</v>
      </c>
      <c r="H783" s="359" t="s">
        <v>490</v>
      </c>
      <c r="I783" s="361">
        <v>1.9024848767681836E-5</v>
      </c>
      <c r="J783" s="359" t="s">
        <v>1313</v>
      </c>
      <c r="K783" s="359" t="s">
        <v>1277</v>
      </c>
      <c r="M783" t="str">
        <f t="shared" si="13"/>
        <v>AMMONIA</v>
      </c>
    </row>
    <row r="784" spans="1:13" x14ac:dyDescent="0.25">
      <c r="A784" s="359" t="s">
        <v>1698</v>
      </c>
      <c r="B784" s="359" t="s">
        <v>837</v>
      </c>
      <c r="C784" s="359" t="s">
        <v>1341</v>
      </c>
      <c r="D784" s="359" t="s">
        <v>490</v>
      </c>
      <c r="E784" s="361">
        <v>13985.918367300001</v>
      </c>
      <c r="F784" s="359" t="s">
        <v>1346</v>
      </c>
      <c r="G784" s="361">
        <v>3.0201791217037297E-6</v>
      </c>
      <c r="H784" s="359" t="s">
        <v>490</v>
      </c>
      <c r="I784" s="361">
        <v>1.1572596890622514E-4</v>
      </c>
      <c r="J784" s="359" t="s">
        <v>1341</v>
      </c>
      <c r="K784" s="359" t="s">
        <v>1277</v>
      </c>
      <c r="M784" t="str">
        <f t="shared" si="13"/>
        <v>Oil &amp; grease</v>
      </c>
    </row>
    <row r="785" spans="1:13" x14ac:dyDescent="0.25">
      <c r="A785" s="359" t="s">
        <v>1698</v>
      </c>
      <c r="B785" s="359" t="s">
        <v>837</v>
      </c>
      <c r="C785" s="359" t="s">
        <v>1315</v>
      </c>
      <c r="D785" s="359" t="s">
        <v>1316</v>
      </c>
      <c r="E785" s="360"/>
      <c r="F785" s="359" t="s">
        <v>1346</v>
      </c>
      <c r="G785" s="361">
        <v>3.0201791217037297E-6</v>
      </c>
      <c r="H785" s="359" t="s">
        <v>1710</v>
      </c>
      <c r="I785" s="361">
        <v>2.3251378999871425E-2</v>
      </c>
      <c r="J785" s="359" t="s">
        <v>1315</v>
      </c>
      <c r="K785" s="359" t="s">
        <v>1272</v>
      </c>
      <c r="M785" t="str">
        <f t="shared" si="13"/>
        <v>PHENOL</v>
      </c>
    </row>
    <row r="786" spans="1:13" x14ac:dyDescent="0.25">
      <c r="A786" s="359" t="s">
        <v>1698</v>
      </c>
      <c r="B786" s="359" t="s">
        <v>837</v>
      </c>
      <c r="C786" s="359" t="s">
        <v>1318</v>
      </c>
      <c r="D786" s="359" t="s">
        <v>490</v>
      </c>
      <c r="E786" s="361">
        <v>158.594104308</v>
      </c>
      <c r="F786" s="359" t="s">
        <v>1346</v>
      </c>
      <c r="G786" s="361">
        <v>3.0201791217037297E-6</v>
      </c>
      <c r="H786" s="359" t="s">
        <v>490</v>
      </c>
      <c r="I786" s="361">
        <v>1.3122811031680141E-6</v>
      </c>
      <c r="J786" s="359" t="s">
        <v>1318</v>
      </c>
      <c r="K786" s="359" t="s">
        <v>1277</v>
      </c>
      <c r="M786" t="str">
        <f t="shared" si="13"/>
        <v>Phenolics, total recoverable</v>
      </c>
    </row>
    <row r="787" spans="1:13" x14ac:dyDescent="0.25">
      <c r="A787" s="359" t="s">
        <v>1698</v>
      </c>
      <c r="B787" s="359" t="s">
        <v>837</v>
      </c>
      <c r="C787" s="359" t="s">
        <v>1322</v>
      </c>
      <c r="D787" s="359" t="s">
        <v>490</v>
      </c>
      <c r="E787" s="361">
        <v>99521.147392300001</v>
      </c>
      <c r="F787" s="359" t="s">
        <v>1346</v>
      </c>
      <c r="G787" s="361">
        <v>3.0201791217037297E-6</v>
      </c>
      <c r="H787" s="359" t="s">
        <v>490</v>
      </c>
      <c r="I787" s="361">
        <v>8.2348408636225771E-4</v>
      </c>
      <c r="J787" s="359" t="s">
        <v>1322</v>
      </c>
      <c r="K787" s="359" t="s">
        <v>1277</v>
      </c>
      <c r="M787" t="str">
        <f t="shared" si="13"/>
        <v>Solids, total suspended</v>
      </c>
    </row>
    <row r="788" spans="1:13" x14ac:dyDescent="0.25">
      <c r="A788" s="359" t="s">
        <v>1698</v>
      </c>
      <c r="B788" s="359" t="s">
        <v>837</v>
      </c>
      <c r="C788" s="359" t="s">
        <v>1323</v>
      </c>
      <c r="D788" s="359" t="s">
        <v>1324</v>
      </c>
      <c r="E788" s="361">
        <v>606.09977324299996</v>
      </c>
      <c r="F788" s="359" t="s">
        <v>1346</v>
      </c>
      <c r="G788" s="361">
        <v>3.0201791217037297E-6</v>
      </c>
      <c r="H788" s="359" t="s">
        <v>490</v>
      </c>
      <c r="I788" s="361">
        <v>5.0151503584051329E-6</v>
      </c>
      <c r="J788" s="359" t="s">
        <v>1323</v>
      </c>
      <c r="K788" s="359" t="s">
        <v>1277</v>
      </c>
      <c r="M788" t="str">
        <f t="shared" si="13"/>
        <v>Sulfide, total (as S)</v>
      </c>
    </row>
    <row r="789" spans="1:13" x14ac:dyDescent="0.25">
      <c r="A789" s="359" t="s">
        <v>1698</v>
      </c>
      <c r="B789" s="359" t="s">
        <v>837</v>
      </c>
      <c r="C789" s="359" t="s">
        <v>1325</v>
      </c>
      <c r="D789" s="359" t="s">
        <v>1326</v>
      </c>
      <c r="E789" s="360"/>
      <c r="F789" s="359" t="s">
        <v>1346</v>
      </c>
      <c r="G789" s="361">
        <v>3.0201791217037297E-6</v>
      </c>
      <c r="H789" s="359" t="s">
        <v>1711</v>
      </c>
      <c r="I789" s="361">
        <v>2.6001542107383102E-4</v>
      </c>
      <c r="J789" s="359" t="s">
        <v>1325</v>
      </c>
      <c r="K789" s="359" t="s">
        <v>1272</v>
      </c>
      <c r="M789" t="str">
        <f t="shared" si="13"/>
        <v>TOLUENE</v>
      </c>
    </row>
    <row r="790" spans="1:13" x14ac:dyDescent="0.25">
      <c r="A790" s="359" t="s">
        <v>1698</v>
      </c>
      <c r="B790" s="359" t="s">
        <v>837</v>
      </c>
      <c r="C790" s="359" t="s">
        <v>1342</v>
      </c>
      <c r="D790" s="359" t="s">
        <v>1343</v>
      </c>
      <c r="E790" s="360"/>
      <c r="F790" s="359" t="s">
        <v>1346</v>
      </c>
      <c r="G790" s="361">
        <v>3.0201791217037297E-6</v>
      </c>
      <c r="H790" s="359" t="s">
        <v>1712</v>
      </c>
      <c r="I790" s="361">
        <v>0.59503529053434401</v>
      </c>
      <c r="J790" s="359" t="s">
        <v>1342</v>
      </c>
      <c r="K790" s="359" t="s">
        <v>1272</v>
      </c>
      <c r="M790" t="str">
        <f t="shared" si="13"/>
        <v>ZINC AND ZINC COMPOUNDS</v>
      </c>
    </row>
    <row r="791" spans="1:13" x14ac:dyDescent="0.25">
      <c r="A791" s="359" t="s">
        <v>1713</v>
      </c>
      <c r="B791" s="359" t="s">
        <v>860</v>
      </c>
      <c r="C791" s="359" t="s">
        <v>1584</v>
      </c>
      <c r="D791" s="359" t="s">
        <v>1585</v>
      </c>
      <c r="E791" s="361">
        <v>13144.203300000001</v>
      </c>
      <c r="F791" s="359" t="s">
        <v>1412</v>
      </c>
      <c r="G791" s="361">
        <v>1.6459976213285328E-5</v>
      </c>
      <c r="H791" s="359" t="s">
        <v>490</v>
      </c>
      <c r="I791" s="361">
        <v>5.9274869496051105E-4</v>
      </c>
      <c r="J791" s="359" t="s">
        <v>1584</v>
      </c>
      <c r="K791" s="359" t="s">
        <v>1277</v>
      </c>
      <c r="M791" t="str">
        <f t="shared" si="13"/>
        <v>Aluminum, total (as Al)</v>
      </c>
    </row>
    <row r="792" spans="1:13" x14ac:dyDescent="0.25">
      <c r="A792" s="359" t="s">
        <v>1713</v>
      </c>
      <c r="B792" s="359" t="s">
        <v>860</v>
      </c>
      <c r="C792" s="359" t="s">
        <v>1273</v>
      </c>
      <c r="D792" s="359" t="s">
        <v>1274</v>
      </c>
      <c r="E792" s="360"/>
      <c r="F792" s="359" t="s">
        <v>1412</v>
      </c>
      <c r="G792" s="361">
        <v>1.6459976213285328E-5</v>
      </c>
      <c r="H792" s="359" t="s">
        <v>1714</v>
      </c>
      <c r="I792" s="361">
        <v>3.5154584958837871E-3</v>
      </c>
      <c r="J792" s="359" t="s">
        <v>1273</v>
      </c>
      <c r="K792" s="359" t="s">
        <v>1272</v>
      </c>
      <c r="M792" t="str">
        <f t="shared" si="13"/>
        <v>BENZENE</v>
      </c>
    </row>
    <row r="793" spans="1:13" x14ac:dyDescent="0.25">
      <c r="A793" s="359" t="s">
        <v>1713</v>
      </c>
      <c r="B793" s="359" t="s">
        <v>860</v>
      </c>
      <c r="C793" s="359" t="s">
        <v>1715</v>
      </c>
      <c r="D793" s="359" t="s">
        <v>1716</v>
      </c>
      <c r="E793" s="361">
        <v>2523.3253974499999</v>
      </c>
      <c r="F793" s="359" t="s">
        <v>1412</v>
      </c>
      <c r="G793" s="361">
        <v>1.6459976213285328E-5</v>
      </c>
      <c r="H793" s="359" t="s">
        <v>490</v>
      </c>
      <c r="I793" s="361">
        <v>1.1379144115179657E-4</v>
      </c>
      <c r="J793" s="359" t="s">
        <v>1715</v>
      </c>
      <c r="K793" s="359" t="s">
        <v>1277</v>
      </c>
      <c r="M793" t="str">
        <f t="shared" si="13"/>
        <v>Bromide (as Br)</v>
      </c>
    </row>
    <row r="794" spans="1:13" x14ac:dyDescent="0.25">
      <c r="A794" s="359" t="s">
        <v>1713</v>
      </c>
      <c r="B794" s="359" t="s">
        <v>860</v>
      </c>
      <c r="C794" s="359" t="s">
        <v>1278</v>
      </c>
      <c r="D794" s="359" t="s">
        <v>1279</v>
      </c>
      <c r="E794" s="361">
        <v>25635.823925000001</v>
      </c>
      <c r="F794" s="359" t="s">
        <v>1412</v>
      </c>
      <c r="G794" s="361">
        <v>1.6459976213285328E-5</v>
      </c>
      <c r="H794" s="359" t="s">
        <v>490</v>
      </c>
      <c r="I794" s="361">
        <v>1.156068635653345E-3</v>
      </c>
      <c r="J794" s="359" t="s">
        <v>1278</v>
      </c>
      <c r="K794" s="359" t="s">
        <v>1277</v>
      </c>
      <c r="M794" t="str">
        <f t="shared" si="13"/>
        <v>Carbon, tot organic (TOC)</v>
      </c>
    </row>
    <row r="795" spans="1:13" x14ac:dyDescent="0.25">
      <c r="A795" s="359" t="s">
        <v>1713</v>
      </c>
      <c r="B795" s="359" t="s">
        <v>860</v>
      </c>
      <c r="C795" s="359" t="s">
        <v>1291</v>
      </c>
      <c r="D795" s="359" t="s">
        <v>1292</v>
      </c>
      <c r="E795" s="360"/>
      <c r="F795" s="359" t="s">
        <v>1412</v>
      </c>
      <c r="G795" s="361">
        <v>1.6459976213285328E-5</v>
      </c>
      <c r="H795" s="359" t="s">
        <v>1717</v>
      </c>
      <c r="I795" s="361">
        <v>3.2156907171650147E-3</v>
      </c>
      <c r="J795" s="359" t="s">
        <v>1291</v>
      </c>
      <c r="K795" s="359" t="s">
        <v>1272</v>
      </c>
      <c r="M795" t="str">
        <f t="shared" si="13"/>
        <v>CYCLOHEXANE</v>
      </c>
    </row>
    <row r="796" spans="1:13" x14ac:dyDescent="0.25">
      <c r="A796" s="359" t="s">
        <v>1713</v>
      </c>
      <c r="B796" s="359" t="s">
        <v>860</v>
      </c>
      <c r="C796" s="359" t="s">
        <v>1295</v>
      </c>
      <c r="D796" s="359" t="s">
        <v>1296</v>
      </c>
      <c r="E796" s="360"/>
      <c r="F796" s="359" t="s">
        <v>1412</v>
      </c>
      <c r="G796" s="361">
        <v>1.6459976213285328E-5</v>
      </c>
      <c r="H796" s="359" t="s">
        <v>1421</v>
      </c>
      <c r="I796" s="361">
        <v>3.8152262746025591E-3</v>
      </c>
      <c r="J796" s="359" t="s">
        <v>1295</v>
      </c>
      <c r="K796" s="359" t="s">
        <v>1272</v>
      </c>
      <c r="M796" t="str">
        <f t="shared" si="13"/>
        <v>ETHYLBENZENE</v>
      </c>
    </row>
    <row r="797" spans="1:13" x14ac:dyDescent="0.25">
      <c r="A797" s="359" t="s">
        <v>1713</v>
      </c>
      <c r="B797" s="359" t="s">
        <v>860</v>
      </c>
      <c r="C797" s="359" t="s">
        <v>1305</v>
      </c>
      <c r="D797" s="359" t="s">
        <v>1306</v>
      </c>
      <c r="E797" s="360"/>
      <c r="F797" s="359" t="s">
        <v>1412</v>
      </c>
      <c r="G797" s="361">
        <v>1.6459976213285328E-5</v>
      </c>
      <c r="H797" s="359" t="s">
        <v>1718</v>
      </c>
      <c r="I797" s="361">
        <v>3.1611874846706918E-3</v>
      </c>
      <c r="J797" s="359" t="s">
        <v>1305</v>
      </c>
      <c r="K797" s="359" t="s">
        <v>1272</v>
      </c>
      <c r="M797" t="str">
        <f t="shared" si="13"/>
        <v>N-HEXANE</v>
      </c>
    </row>
    <row r="798" spans="1:13" x14ac:dyDescent="0.25">
      <c r="A798" s="359" t="s">
        <v>1713</v>
      </c>
      <c r="B798" s="359" t="s">
        <v>860</v>
      </c>
      <c r="C798" s="359" t="s">
        <v>1510</v>
      </c>
      <c r="D798" s="359" t="s">
        <v>1505</v>
      </c>
      <c r="E798" s="361">
        <v>6314.6177890100007</v>
      </c>
      <c r="F798" s="359" t="s">
        <v>1412</v>
      </c>
      <c r="G798" s="361">
        <v>1.6459976213285328E-5</v>
      </c>
      <c r="H798" s="359" t="s">
        <v>490</v>
      </c>
      <c r="I798" s="361">
        <v>2.8476290028244661E-4</v>
      </c>
      <c r="J798" s="359" t="s">
        <v>1506</v>
      </c>
      <c r="K798" s="359" t="s">
        <v>1277</v>
      </c>
      <c r="M798" t="str">
        <f t="shared" si="13"/>
        <v>NITROGEN</v>
      </c>
    </row>
    <row r="799" spans="1:13" x14ac:dyDescent="0.25">
      <c r="A799" s="359" t="s">
        <v>1713</v>
      </c>
      <c r="B799" s="359" t="s">
        <v>860</v>
      </c>
      <c r="C799" s="359" t="s">
        <v>1341</v>
      </c>
      <c r="D799" s="359" t="s">
        <v>490</v>
      </c>
      <c r="E799" s="361">
        <v>0</v>
      </c>
      <c r="F799" s="359" t="s">
        <v>1412</v>
      </c>
      <c r="G799" s="361">
        <v>1.6459976213285328E-5</v>
      </c>
      <c r="H799" s="359" t="s">
        <v>490</v>
      </c>
      <c r="I799" s="361">
        <v>0</v>
      </c>
      <c r="J799" s="359" t="s">
        <v>1341</v>
      </c>
      <c r="K799" s="359" t="s">
        <v>1277</v>
      </c>
      <c r="M799" t="str">
        <f t="shared" si="13"/>
        <v>Oil &amp; grease</v>
      </c>
    </row>
    <row r="800" spans="1:13" x14ac:dyDescent="0.25">
      <c r="A800" s="359" t="s">
        <v>1713</v>
      </c>
      <c r="B800" s="359" t="s">
        <v>860</v>
      </c>
      <c r="C800" s="359" t="s">
        <v>1719</v>
      </c>
      <c r="D800" s="359" t="s">
        <v>490</v>
      </c>
      <c r="E800" s="361">
        <v>3.3398461500000001</v>
      </c>
      <c r="F800" s="359" t="s">
        <v>1412</v>
      </c>
      <c r="G800" s="361">
        <v>1.6459976213285328E-5</v>
      </c>
      <c r="H800" s="359" t="s">
        <v>490</v>
      </c>
      <c r="I800" s="361">
        <v>1.5061311831515778E-7</v>
      </c>
      <c r="J800" s="359" t="s">
        <v>1719</v>
      </c>
      <c r="K800" s="359" t="s">
        <v>1277</v>
      </c>
      <c r="M800" t="str">
        <f t="shared" si="13"/>
        <v>Organics, total toxic (TTO)</v>
      </c>
    </row>
    <row r="801" spans="1:13" x14ac:dyDescent="0.25">
      <c r="A801" s="359" t="s">
        <v>1713</v>
      </c>
      <c r="B801" s="359" t="s">
        <v>860</v>
      </c>
      <c r="C801" s="359" t="s">
        <v>1457</v>
      </c>
      <c r="D801" s="359" t="s">
        <v>490</v>
      </c>
      <c r="E801" s="361">
        <v>419343.4094154</v>
      </c>
      <c r="F801" s="359" t="s">
        <v>1412</v>
      </c>
      <c r="G801" s="361">
        <v>1.6459976213285328E-5</v>
      </c>
      <c r="H801" s="359" t="s">
        <v>490</v>
      </c>
      <c r="I801" s="361">
        <v>1.8910637107330014E-2</v>
      </c>
      <c r="J801" s="359" t="s">
        <v>1457</v>
      </c>
      <c r="K801" s="359" t="s">
        <v>1277</v>
      </c>
      <c r="M801" t="str">
        <f t="shared" si="13"/>
        <v>Chemical Oxygen Demand (COD)</v>
      </c>
    </row>
    <row r="802" spans="1:13" x14ac:dyDescent="0.25">
      <c r="A802" s="359" t="s">
        <v>1713</v>
      </c>
      <c r="B802" s="359" t="s">
        <v>860</v>
      </c>
      <c r="C802" s="359" t="s">
        <v>1482</v>
      </c>
      <c r="D802" s="359" t="s">
        <v>490</v>
      </c>
      <c r="E802" s="361">
        <v>0</v>
      </c>
      <c r="F802" s="359" t="s">
        <v>1412</v>
      </c>
      <c r="G802" s="361">
        <v>1.6459976213285328E-5</v>
      </c>
      <c r="H802" s="359" t="s">
        <v>490</v>
      </c>
      <c r="I802" s="361">
        <v>0</v>
      </c>
      <c r="J802" s="359" t="s">
        <v>1482</v>
      </c>
      <c r="K802" s="359" t="s">
        <v>1277</v>
      </c>
      <c r="M802" t="str">
        <f t="shared" si="13"/>
        <v>Phenols</v>
      </c>
    </row>
    <row r="803" spans="1:13" x14ac:dyDescent="0.25">
      <c r="A803" s="359" t="s">
        <v>1713</v>
      </c>
      <c r="B803" s="359" t="s">
        <v>860</v>
      </c>
      <c r="C803" s="359" t="s">
        <v>1325</v>
      </c>
      <c r="D803" s="359" t="s">
        <v>1326</v>
      </c>
      <c r="E803" s="360"/>
      <c r="F803" s="359" t="s">
        <v>1412</v>
      </c>
      <c r="G803" s="361">
        <v>1.6459976213285328E-5</v>
      </c>
      <c r="H803" s="359" t="s">
        <v>1270</v>
      </c>
      <c r="I803" s="361">
        <v>5.4503232494322283E-3</v>
      </c>
      <c r="J803" s="359" t="s">
        <v>1325</v>
      </c>
      <c r="K803" s="359" t="s">
        <v>1272</v>
      </c>
      <c r="M803" t="str">
        <f t="shared" si="13"/>
        <v>TOLUENE</v>
      </c>
    </row>
    <row r="804" spans="1:13" x14ac:dyDescent="0.25">
      <c r="A804" s="359" t="s">
        <v>1713</v>
      </c>
      <c r="B804" s="359" t="s">
        <v>860</v>
      </c>
      <c r="C804" s="359" t="s">
        <v>1327</v>
      </c>
      <c r="D804" s="359" t="s">
        <v>1328</v>
      </c>
      <c r="E804" s="360"/>
      <c r="F804" s="359" t="s">
        <v>1412</v>
      </c>
      <c r="G804" s="361">
        <v>1.6459976213285328E-5</v>
      </c>
      <c r="H804" s="359" t="s">
        <v>1720</v>
      </c>
      <c r="I804" s="361">
        <v>8.3117429553841472E-3</v>
      </c>
      <c r="J804" s="359" t="s">
        <v>1329</v>
      </c>
      <c r="K804" s="359" t="s">
        <v>1272</v>
      </c>
      <c r="M804" t="str">
        <f t="shared" si="13"/>
        <v>XYLENES</v>
      </c>
    </row>
    <row r="805" spans="1:13" x14ac:dyDescent="0.25">
      <c r="A805" s="359" t="s">
        <v>1713</v>
      </c>
      <c r="B805" s="359" t="s">
        <v>860</v>
      </c>
      <c r="C805" s="359" t="s">
        <v>1611</v>
      </c>
      <c r="D805" s="359" t="s">
        <v>1343</v>
      </c>
      <c r="E805" s="361">
        <v>454.32139252000002</v>
      </c>
      <c r="F805" s="359" t="s">
        <v>1412</v>
      </c>
      <c r="G805" s="361">
        <v>1.6459976213285328E-5</v>
      </c>
      <c r="H805" s="359" t="s">
        <v>490</v>
      </c>
      <c r="I805" s="361">
        <v>2.0487998120728404E-5</v>
      </c>
      <c r="J805" s="359" t="s">
        <v>1611</v>
      </c>
      <c r="K805" s="359" t="s">
        <v>1277</v>
      </c>
      <c r="M805" t="str">
        <f t="shared" si="13"/>
        <v>Zinc, total (as Zn)</v>
      </c>
    </row>
    <row r="806" spans="1:13" ht="45" x14ac:dyDescent="0.25">
      <c r="A806" s="359" t="s">
        <v>1721</v>
      </c>
      <c r="B806" s="359" t="s">
        <v>733</v>
      </c>
      <c r="C806" s="359" t="s">
        <v>1276</v>
      </c>
      <c r="D806" s="359" t="s">
        <v>490</v>
      </c>
      <c r="E806" s="361">
        <v>0</v>
      </c>
      <c r="F806" s="359" t="s">
        <v>1270</v>
      </c>
      <c r="G806" s="361">
        <v>1.7871212874194684E-5</v>
      </c>
      <c r="H806" s="359" t="s">
        <v>490</v>
      </c>
      <c r="I806" s="361">
        <v>0</v>
      </c>
      <c r="J806" s="359" t="s">
        <v>1276</v>
      </c>
      <c r="K806" s="359" t="s">
        <v>1277</v>
      </c>
      <c r="M806" t="str">
        <f t="shared" si="13"/>
        <v>BOD, 5-day, 20 deg. C</v>
      </c>
    </row>
    <row r="807" spans="1:13" ht="45" x14ac:dyDescent="0.25">
      <c r="A807" s="359" t="s">
        <v>1721</v>
      </c>
      <c r="B807" s="359" t="s">
        <v>733</v>
      </c>
      <c r="C807" s="359" t="s">
        <v>1278</v>
      </c>
      <c r="D807" s="359" t="s">
        <v>1279</v>
      </c>
      <c r="E807" s="361">
        <v>219.04001454499999</v>
      </c>
      <c r="F807" s="359" t="s">
        <v>1270</v>
      </c>
      <c r="G807" s="361">
        <v>1.7871212874194684E-5</v>
      </c>
      <c r="H807" s="359" t="s">
        <v>490</v>
      </c>
      <c r="I807" s="361">
        <v>1.0724686925754506E-5</v>
      </c>
      <c r="J807" s="359" t="s">
        <v>1278</v>
      </c>
      <c r="K807" s="359" t="s">
        <v>1277</v>
      </c>
      <c r="M807" t="str">
        <f t="shared" si="13"/>
        <v>Carbon, tot organic (TOC)</v>
      </c>
    </row>
    <row r="808" spans="1:13" ht="45" x14ac:dyDescent="0.25">
      <c r="A808" s="359" t="s">
        <v>1721</v>
      </c>
      <c r="B808" s="359" t="s">
        <v>733</v>
      </c>
      <c r="C808" s="359" t="s">
        <v>1311</v>
      </c>
      <c r="D808" s="359" t="s">
        <v>1312</v>
      </c>
      <c r="E808" s="361">
        <v>5.6235827664400002</v>
      </c>
      <c r="F808" s="359" t="s">
        <v>1270</v>
      </c>
      <c r="G808" s="361">
        <v>1.7871212874194684E-5</v>
      </c>
      <c r="H808" s="359" t="s">
        <v>490</v>
      </c>
      <c r="I808" s="361">
        <v>2.7534313625945723E-7</v>
      </c>
      <c r="J808" s="359" t="s">
        <v>1313</v>
      </c>
      <c r="K808" s="359" t="s">
        <v>1277</v>
      </c>
      <c r="M808" t="str">
        <f t="shared" si="13"/>
        <v>AMMONIA</v>
      </c>
    </row>
    <row r="809" spans="1:13" ht="45" x14ac:dyDescent="0.25">
      <c r="A809" s="359" t="s">
        <v>1721</v>
      </c>
      <c r="B809" s="359" t="s">
        <v>733</v>
      </c>
      <c r="C809" s="359" t="s">
        <v>1314</v>
      </c>
      <c r="D809" s="359" t="s">
        <v>490</v>
      </c>
      <c r="E809" s="361">
        <v>0</v>
      </c>
      <c r="F809" s="359" t="s">
        <v>1270</v>
      </c>
      <c r="G809" s="361">
        <v>1.7871212874194684E-5</v>
      </c>
      <c r="H809" s="359" t="s">
        <v>490</v>
      </c>
      <c r="I809" s="361">
        <v>0</v>
      </c>
      <c r="J809" s="359" t="s">
        <v>1314</v>
      </c>
      <c r="K809" s="359" t="s">
        <v>1277</v>
      </c>
      <c r="M809" t="str">
        <f t="shared" si="13"/>
        <v>Oil and grease</v>
      </c>
    </row>
    <row r="810" spans="1:13" ht="45" x14ac:dyDescent="0.25">
      <c r="A810" s="359" t="s">
        <v>1721</v>
      </c>
      <c r="B810" s="359" t="s">
        <v>733</v>
      </c>
      <c r="C810" s="359" t="s">
        <v>1457</v>
      </c>
      <c r="D810" s="359" t="s">
        <v>490</v>
      </c>
      <c r="E810" s="361">
        <v>833.56009070300001</v>
      </c>
      <c r="F810" s="359" t="s">
        <v>1270</v>
      </c>
      <c r="G810" s="361">
        <v>1.7871212874194684E-5</v>
      </c>
      <c r="H810" s="359" t="s">
        <v>490</v>
      </c>
      <c r="I810" s="361">
        <v>4.0812958422976279E-5</v>
      </c>
      <c r="J810" s="359" t="s">
        <v>1457</v>
      </c>
      <c r="K810" s="359" t="s">
        <v>1277</v>
      </c>
      <c r="M810" t="str">
        <f t="shared" si="13"/>
        <v>Chemical Oxygen Demand (COD)</v>
      </c>
    </row>
    <row r="811" spans="1:13" ht="45" x14ac:dyDescent="0.25">
      <c r="A811" s="359" t="s">
        <v>1721</v>
      </c>
      <c r="B811" s="359" t="s">
        <v>733</v>
      </c>
      <c r="C811" s="359" t="s">
        <v>1318</v>
      </c>
      <c r="D811" s="359" t="s">
        <v>490</v>
      </c>
      <c r="E811" s="361">
        <v>0</v>
      </c>
      <c r="F811" s="359" t="s">
        <v>1270</v>
      </c>
      <c r="G811" s="361">
        <v>1.7871212874194684E-5</v>
      </c>
      <c r="H811" s="359" t="s">
        <v>490</v>
      </c>
      <c r="I811" s="361">
        <v>0</v>
      </c>
      <c r="J811" s="359" t="s">
        <v>1318</v>
      </c>
      <c r="K811" s="359" t="s">
        <v>1277</v>
      </c>
      <c r="M811" t="str">
        <f t="shared" si="13"/>
        <v>Phenolics, total recoverable</v>
      </c>
    </row>
    <row r="812" spans="1:13" ht="45" x14ac:dyDescent="0.25">
      <c r="A812" s="359" t="s">
        <v>1721</v>
      </c>
      <c r="B812" s="359" t="s">
        <v>733</v>
      </c>
      <c r="C812" s="359" t="s">
        <v>1322</v>
      </c>
      <c r="D812" s="359" t="s">
        <v>490</v>
      </c>
      <c r="E812" s="361">
        <v>1825.8503401400001</v>
      </c>
      <c r="F812" s="359" t="s">
        <v>1270</v>
      </c>
      <c r="G812" s="361">
        <v>1.7871212874194684E-5</v>
      </c>
      <c r="H812" s="359" t="s">
        <v>490</v>
      </c>
      <c r="I812" s="361">
        <v>8.9397698917980035E-5</v>
      </c>
      <c r="J812" s="359" t="s">
        <v>1322</v>
      </c>
      <c r="K812" s="359" t="s">
        <v>1277</v>
      </c>
      <c r="M812" t="str">
        <f t="shared" si="13"/>
        <v>Solids, total suspended</v>
      </c>
    </row>
    <row r="813" spans="1:13" ht="45" x14ac:dyDescent="0.25">
      <c r="A813" s="359" t="s">
        <v>1721</v>
      </c>
      <c r="B813" s="359" t="s">
        <v>733</v>
      </c>
      <c r="C813" s="359" t="s">
        <v>1323</v>
      </c>
      <c r="D813" s="359" t="s">
        <v>1324</v>
      </c>
      <c r="E813" s="361">
        <v>0.14058956916099999</v>
      </c>
      <c r="F813" s="359" t="s">
        <v>1270</v>
      </c>
      <c r="G813" s="361">
        <v>1.7871212874194684E-5</v>
      </c>
      <c r="H813" s="359" t="s">
        <v>490</v>
      </c>
      <c r="I813" s="361">
        <v>6.8835784064864297E-9</v>
      </c>
      <c r="J813" s="359" t="s">
        <v>1323</v>
      </c>
      <c r="K813" s="359" t="s">
        <v>1277</v>
      </c>
      <c r="M813" t="str">
        <f t="shared" si="13"/>
        <v>Sulfide, total (as S)</v>
      </c>
    </row>
    <row r="814" spans="1:13" ht="30" x14ac:dyDescent="0.25">
      <c r="A814" s="359" t="s">
        <v>1722</v>
      </c>
      <c r="B814" s="359" t="s">
        <v>894</v>
      </c>
      <c r="C814" s="359" t="s">
        <v>1273</v>
      </c>
      <c r="D814" s="359" t="s">
        <v>1274</v>
      </c>
      <c r="E814" s="360"/>
      <c r="F814" s="359" t="s">
        <v>1270</v>
      </c>
      <c r="G814" s="361">
        <v>5.1546391752577322E-5</v>
      </c>
      <c r="H814" s="359" t="s">
        <v>1286</v>
      </c>
      <c r="I814" s="361">
        <v>0</v>
      </c>
      <c r="J814" s="359" t="s">
        <v>1273</v>
      </c>
      <c r="K814" s="359" t="s">
        <v>1272</v>
      </c>
      <c r="M814" t="str">
        <f t="shared" si="13"/>
        <v>BENZENE</v>
      </c>
    </row>
    <row r="815" spans="1:13" x14ac:dyDescent="0.25">
      <c r="A815" s="359" t="s">
        <v>1723</v>
      </c>
      <c r="B815" s="359" t="s">
        <v>753</v>
      </c>
      <c r="C815" s="359" t="s">
        <v>1313</v>
      </c>
      <c r="D815" s="359" t="s">
        <v>1312</v>
      </c>
      <c r="E815" s="360"/>
      <c r="F815" s="359" t="s">
        <v>1286</v>
      </c>
      <c r="G815" s="361">
        <v>4.347826086956522E-5</v>
      </c>
      <c r="H815" s="359" t="s">
        <v>1724</v>
      </c>
      <c r="I815" s="361">
        <v>191.70745752951336</v>
      </c>
      <c r="J815" s="359" t="s">
        <v>1313</v>
      </c>
      <c r="K815" s="359" t="s">
        <v>1272</v>
      </c>
      <c r="M815" t="str">
        <f t="shared" si="13"/>
        <v>AMMONIA</v>
      </c>
    </row>
    <row r="816" spans="1:13" x14ac:dyDescent="0.25">
      <c r="A816" s="359" t="s">
        <v>1723</v>
      </c>
      <c r="B816" s="359" t="s">
        <v>753</v>
      </c>
      <c r="C816" s="359" t="s">
        <v>1352</v>
      </c>
      <c r="D816" s="359" t="s">
        <v>1353</v>
      </c>
      <c r="E816" s="360"/>
      <c r="F816" s="359" t="s">
        <v>1286</v>
      </c>
      <c r="G816" s="361">
        <v>4.347826086956522E-5</v>
      </c>
      <c r="H816" s="359" t="s">
        <v>1286</v>
      </c>
      <c r="I816" s="361">
        <v>0</v>
      </c>
      <c r="J816" s="359" t="s">
        <v>1352</v>
      </c>
      <c r="K816" s="359" t="s">
        <v>1272</v>
      </c>
      <c r="M816" t="str">
        <f t="shared" si="13"/>
        <v>BENZO(G,H,I)PERYLENE</v>
      </c>
    </row>
    <row r="817" spans="1:13" x14ac:dyDescent="0.25">
      <c r="A817" s="359" t="s">
        <v>1723</v>
      </c>
      <c r="B817" s="359" t="s">
        <v>753</v>
      </c>
      <c r="C817" s="359" t="s">
        <v>1297</v>
      </c>
      <c r="D817" s="359" t="s">
        <v>1298</v>
      </c>
      <c r="E817" s="360"/>
      <c r="F817" s="359" t="s">
        <v>1286</v>
      </c>
      <c r="G817" s="361">
        <v>4.347826086956522E-5</v>
      </c>
      <c r="H817" s="359" t="s">
        <v>1286</v>
      </c>
      <c r="I817" s="361">
        <v>0</v>
      </c>
      <c r="J817" s="359" t="s">
        <v>1297</v>
      </c>
      <c r="K817" s="359" t="s">
        <v>1272</v>
      </c>
      <c r="M817" t="str">
        <f t="shared" si="13"/>
        <v>LEAD AND LEAD COMPOUNDS</v>
      </c>
    </row>
    <row r="818" spans="1:13" x14ac:dyDescent="0.25">
      <c r="A818" s="359" t="s">
        <v>1723</v>
      </c>
      <c r="B818" s="359" t="s">
        <v>753</v>
      </c>
      <c r="C818" s="359" t="s">
        <v>1300</v>
      </c>
      <c r="D818" s="359" t="s">
        <v>1301</v>
      </c>
      <c r="E818" s="360"/>
      <c r="F818" s="359" t="s">
        <v>1286</v>
      </c>
      <c r="G818" s="361">
        <v>4.347826086956522E-5</v>
      </c>
      <c r="H818" s="359" t="s">
        <v>1286</v>
      </c>
      <c r="I818" s="361">
        <v>0</v>
      </c>
      <c r="J818" s="359" t="s">
        <v>1300</v>
      </c>
      <c r="K818" s="359" t="s">
        <v>1272</v>
      </c>
      <c r="M818" t="str">
        <f t="shared" si="13"/>
        <v>MERCURY AND MERCURY COMPOUNDS</v>
      </c>
    </row>
    <row r="819" spans="1:13" x14ac:dyDescent="0.25">
      <c r="A819" s="359" t="s">
        <v>1723</v>
      </c>
      <c r="B819" s="359" t="s">
        <v>753</v>
      </c>
      <c r="C819" s="359" t="s">
        <v>1303</v>
      </c>
      <c r="D819" s="359" t="s">
        <v>1304</v>
      </c>
      <c r="E819" s="360"/>
      <c r="F819" s="359" t="s">
        <v>1286</v>
      </c>
      <c r="G819" s="361">
        <v>4.347826086956522E-5</v>
      </c>
      <c r="H819" s="359" t="s">
        <v>1725</v>
      </c>
      <c r="I819" s="361">
        <v>0.66225165562913912</v>
      </c>
      <c r="J819" s="359" t="s">
        <v>1303</v>
      </c>
      <c r="K819" s="359" t="s">
        <v>1272</v>
      </c>
      <c r="M819" t="str">
        <f t="shared" si="13"/>
        <v>NAPHTHALENE</v>
      </c>
    </row>
    <row r="820" spans="1:13" x14ac:dyDescent="0.25">
      <c r="A820" s="359" t="s">
        <v>1723</v>
      </c>
      <c r="B820" s="359" t="s">
        <v>753</v>
      </c>
      <c r="C820" s="359" t="s">
        <v>1319</v>
      </c>
      <c r="D820" s="359" t="s">
        <v>1320</v>
      </c>
      <c r="E820" s="360"/>
      <c r="F820" s="359" t="s">
        <v>1286</v>
      </c>
      <c r="G820" s="361">
        <v>4.347826086956522E-5</v>
      </c>
      <c r="H820" s="359" t="s">
        <v>1333</v>
      </c>
      <c r="I820" s="361">
        <v>7.1983875611862942E-3</v>
      </c>
      <c r="J820" s="359" t="s">
        <v>1319</v>
      </c>
      <c r="K820" s="359" t="s">
        <v>1272</v>
      </c>
      <c r="M820" t="str">
        <f t="shared" si="13"/>
        <v>POLYCYCLIC AROMATIC COMPOUNDS</v>
      </c>
    </row>
    <row r="821" spans="1:13" x14ac:dyDescent="0.25">
      <c r="A821" s="359" t="s">
        <v>1726</v>
      </c>
      <c r="B821" s="359" t="s">
        <v>685</v>
      </c>
      <c r="C821" s="359" t="s">
        <v>1268</v>
      </c>
      <c r="D821" s="359" t="s">
        <v>1269</v>
      </c>
      <c r="E821" s="360"/>
      <c r="F821" s="359" t="s">
        <v>1412</v>
      </c>
      <c r="G821" s="361">
        <v>3.9600063525821178E-6</v>
      </c>
      <c r="H821" s="359" t="s">
        <v>1286</v>
      </c>
      <c r="I821" s="361">
        <v>0</v>
      </c>
      <c r="J821" s="359" t="s">
        <v>1268</v>
      </c>
      <c r="K821" s="359" t="s">
        <v>1272</v>
      </c>
      <c r="M821" t="str">
        <f t="shared" si="13"/>
        <v>1,2,4-TRIMETHYLBENZENE</v>
      </c>
    </row>
    <row r="822" spans="1:13" x14ac:dyDescent="0.25">
      <c r="A822" s="359" t="s">
        <v>1726</v>
      </c>
      <c r="B822" s="359" t="s">
        <v>685</v>
      </c>
      <c r="C822" s="359" t="s">
        <v>1347</v>
      </c>
      <c r="D822" s="359" t="s">
        <v>1348</v>
      </c>
      <c r="E822" s="360"/>
      <c r="F822" s="359" t="s">
        <v>1412</v>
      </c>
      <c r="G822" s="361">
        <v>3.9600063525821178E-6</v>
      </c>
      <c r="H822" s="359" t="s">
        <v>1286</v>
      </c>
      <c r="I822" s="361">
        <v>0</v>
      </c>
      <c r="J822" s="359" t="s">
        <v>1347</v>
      </c>
      <c r="K822" s="359" t="s">
        <v>1272</v>
      </c>
      <c r="M822" t="str">
        <f t="shared" si="13"/>
        <v>1,3-BUTADIENE</v>
      </c>
    </row>
    <row r="823" spans="1:13" x14ac:dyDescent="0.25">
      <c r="A823" s="359" t="s">
        <v>1726</v>
      </c>
      <c r="B823" s="359" t="s">
        <v>685</v>
      </c>
      <c r="C823" s="359" t="s">
        <v>1273</v>
      </c>
      <c r="D823" s="359" t="s">
        <v>1274</v>
      </c>
      <c r="E823" s="360"/>
      <c r="F823" s="359" t="s">
        <v>1412</v>
      </c>
      <c r="G823" s="361">
        <v>3.9600063525821178E-6</v>
      </c>
      <c r="H823" s="359" t="s">
        <v>1346</v>
      </c>
      <c r="I823" s="361">
        <v>3.2781509541242697E-3</v>
      </c>
      <c r="J823" s="359" t="s">
        <v>1273</v>
      </c>
      <c r="K823" s="359" t="s">
        <v>1272</v>
      </c>
      <c r="M823" t="str">
        <f t="shared" si="13"/>
        <v>BENZENE</v>
      </c>
    </row>
    <row r="824" spans="1:13" x14ac:dyDescent="0.25">
      <c r="A824" s="359" t="s">
        <v>1726</v>
      </c>
      <c r="B824" s="359" t="s">
        <v>685</v>
      </c>
      <c r="C824" s="359" t="s">
        <v>1352</v>
      </c>
      <c r="D824" s="359" t="s">
        <v>1353</v>
      </c>
      <c r="E824" s="360"/>
      <c r="F824" s="359" t="s">
        <v>1412</v>
      </c>
      <c r="G824" s="361">
        <v>3.9600063525821178E-6</v>
      </c>
      <c r="H824" s="359" t="s">
        <v>1286</v>
      </c>
      <c r="I824" s="361">
        <v>0</v>
      </c>
      <c r="J824" s="359" t="s">
        <v>1352</v>
      </c>
      <c r="K824" s="359" t="s">
        <v>1272</v>
      </c>
      <c r="M824" t="str">
        <f t="shared" si="13"/>
        <v>BENZO(G,H,I)PERYLENE</v>
      </c>
    </row>
    <row r="825" spans="1:13" x14ac:dyDescent="0.25">
      <c r="A825" s="359" t="s">
        <v>1726</v>
      </c>
      <c r="B825" s="359" t="s">
        <v>685</v>
      </c>
      <c r="C825" s="359" t="s">
        <v>1276</v>
      </c>
      <c r="D825" s="359" t="s">
        <v>490</v>
      </c>
      <c r="E825" s="361">
        <v>9344.6712018100006</v>
      </c>
      <c r="F825" s="359" t="s">
        <v>1412</v>
      </c>
      <c r="G825" s="361">
        <v>3.9600063525821178E-6</v>
      </c>
      <c r="H825" s="359" t="s">
        <v>490</v>
      </c>
      <c r="I825" s="361">
        <v>1.0138344471769529E-4</v>
      </c>
      <c r="J825" s="359" t="s">
        <v>1276</v>
      </c>
      <c r="K825" s="359" t="s">
        <v>1277</v>
      </c>
      <c r="M825" t="str">
        <f t="shared" si="13"/>
        <v>BOD, 5-day, 20 deg. C</v>
      </c>
    </row>
    <row r="826" spans="1:13" x14ac:dyDescent="0.25">
      <c r="A826" s="359" t="s">
        <v>1726</v>
      </c>
      <c r="B826" s="359" t="s">
        <v>685</v>
      </c>
      <c r="C826" s="359" t="s">
        <v>1278</v>
      </c>
      <c r="D826" s="359" t="s">
        <v>1279</v>
      </c>
      <c r="E826" s="361">
        <v>16087.597043649999</v>
      </c>
      <c r="F826" s="359" t="s">
        <v>1412</v>
      </c>
      <c r="G826" s="361">
        <v>3.9600063525821178E-6</v>
      </c>
      <c r="H826" s="359" t="s">
        <v>490</v>
      </c>
      <c r="I826" s="361">
        <v>1.7453968901543919E-4</v>
      </c>
      <c r="J826" s="359" t="s">
        <v>1278</v>
      </c>
      <c r="K826" s="359" t="s">
        <v>1277</v>
      </c>
      <c r="M826" t="str">
        <f t="shared" si="13"/>
        <v>Carbon, tot organic (TOC)</v>
      </c>
    </row>
    <row r="827" spans="1:13" x14ac:dyDescent="0.25">
      <c r="A827" s="359" t="s">
        <v>1726</v>
      </c>
      <c r="B827" s="359" t="s">
        <v>685</v>
      </c>
      <c r="C827" s="359" t="s">
        <v>1437</v>
      </c>
      <c r="D827" s="359" t="s">
        <v>1438</v>
      </c>
      <c r="E827" s="360"/>
      <c r="F827" s="359" t="s">
        <v>1412</v>
      </c>
      <c r="G827" s="361">
        <v>3.9600063525821178E-6</v>
      </c>
      <c r="H827" s="359" t="s">
        <v>1399</v>
      </c>
      <c r="I827" s="361">
        <v>6.2940498319185981E-2</v>
      </c>
      <c r="J827" s="359" t="s">
        <v>1437</v>
      </c>
      <c r="K827" s="359" t="s">
        <v>1272</v>
      </c>
      <c r="M827" t="str">
        <f t="shared" si="13"/>
        <v>CHROMIUM AND CHROMIUM COMPOUNDS</v>
      </c>
    </row>
    <row r="828" spans="1:13" x14ac:dyDescent="0.25">
      <c r="A828" s="359" t="s">
        <v>1726</v>
      </c>
      <c r="B828" s="359" t="s">
        <v>685</v>
      </c>
      <c r="C828" s="359" t="s">
        <v>1280</v>
      </c>
      <c r="D828" s="359" t="s">
        <v>1281</v>
      </c>
      <c r="E828" s="361">
        <v>0</v>
      </c>
      <c r="F828" s="359" t="s">
        <v>1412</v>
      </c>
      <c r="G828" s="361">
        <v>3.9600063525821178E-6</v>
      </c>
      <c r="H828" s="359" t="s">
        <v>490</v>
      </c>
      <c r="I828" s="361">
        <v>0</v>
      </c>
      <c r="J828" s="359" t="s">
        <v>1280</v>
      </c>
      <c r="K828" s="359" t="s">
        <v>1277</v>
      </c>
      <c r="M828" t="str">
        <f t="shared" si="13"/>
        <v>Chromium, hexavalent (as Cr)</v>
      </c>
    </row>
    <row r="829" spans="1:13" x14ac:dyDescent="0.25">
      <c r="A829" s="359" t="s">
        <v>1726</v>
      </c>
      <c r="B829" s="359" t="s">
        <v>685</v>
      </c>
      <c r="C829" s="359" t="s">
        <v>1282</v>
      </c>
      <c r="D829" s="359" t="s">
        <v>1283</v>
      </c>
      <c r="E829" s="361">
        <v>0</v>
      </c>
      <c r="F829" s="359" t="s">
        <v>1412</v>
      </c>
      <c r="G829" s="361">
        <v>3.9600063525821178E-6</v>
      </c>
      <c r="H829" s="359" t="s">
        <v>490</v>
      </c>
      <c r="I829" s="361">
        <v>0</v>
      </c>
      <c r="J829" s="359" t="s">
        <v>1282</v>
      </c>
      <c r="K829" s="359" t="s">
        <v>1277</v>
      </c>
      <c r="M829" t="str">
        <f t="shared" si="13"/>
        <v>Chromium, total (as Cr)</v>
      </c>
    </row>
    <row r="830" spans="1:13" x14ac:dyDescent="0.25">
      <c r="A830" s="359" t="s">
        <v>1726</v>
      </c>
      <c r="B830" s="359" t="s">
        <v>685</v>
      </c>
      <c r="C830" s="359" t="s">
        <v>1443</v>
      </c>
      <c r="D830" s="359" t="s">
        <v>1444</v>
      </c>
      <c r="E830" s="360"/>
      <c r="F830" s="359" t="s">
        <v>1412</v>
      </c>
      <c r="G830" s="361">
        <v>3.9600063525821178E-6</v>
      </c>
      <c r="H830" s="359" t="s">
        <v>1727</v>
      </c>
      <c r="I830" s="361">
        <v>0.13440418911909505</v>
      </c>
      <c r="J830" s="359" t="s">
        <v>1445</v>
      </c>
      <c r="K830" s="359" t="s">
        <v>1272</v>
      </c>
      <c r="M830" t="str">
        <f t="shared" si="13"/>
        <v>CRESOL(S)</v>
      </c>
    </row>
    <row r="831" spans="1:13" x14ac:dyDescent="0.25">
      <c r="A831" s="359" t="s">
        <v>1726</v>
      </c>
      <c r="B831" s="359" t="s">
        <v>685</v>
      </c>
      <c r="C831" s="359" t="s">
        <v>1543</v>
      </c>
      <c r="D831" s="359" t="s">
        <v>1544</v>
      </c>
      <c r="E831" s="361">
        <v>110.879818594</v>
      </c>
      <c r="F831" s="359" t="s">
        <v>1412</v>
      </c>
      <c r="G831" s="361">
        <v>3.9600063525821178E-6</v>
      </c>
      <c r="H831" s="359" t="s">
        <v>490</v>
      </c>
      <c r="I831" s="361">
        <v>1.2029720164531312E-6</v>
      </c>
      <c r="J831" s="359" t="s">
        <v>1543</v>
      </c>
      <c r="K831" s="359" t="s">
        <v>1277</v>
      </c>
      <c r="M831" t="str">
        <f t="shared" si="13"/>
        <v>Cyanide, total (as CN)</v>
      </c>
    </row>
    <row r="832" spans="1:13" x14ac:dyDescent="0.25">
      <c r="A832" s="359" t="s">
        <v>1726</v>
      </c>
      <c r="B832" s="359" t="s">
        <v>685</v>
      </c>
      <c r="C832" s="359" t="s">
        <v>1291</v>
      </c>
      <c r="D832" s="359" t="s">
        <v>1292</v>
      </c>
      <c r="E832" s="360"/>
      <c r="F832" s="359" t="s">
        <v>1412</v>
      </c>
      <c r="G832" s="361">
        <v>3.9600063525821178E-6</v>
      </c>
      <c r="H832" s="359" t="s">
        <v>1286</v>
      </c>
      <c r="I832" s="361">
        <v>0</v>
      </c>
      <c r="J832" s="359" t="s">
        <v>1291</v>
      </c>
      <c r="K832" s="359" t="s">
        <v>1272</v>
      </c>
      <c r="M832" t="str">
        <f t="shared" si="13"/>
        <v>CYCLOHEXANE</v>
      </c>
    </row>
    <row r="833" spans="1:13" x14ac:dyDescent="0.25">
      <c r="A833" s="359" t="s">
        <v>1726</v>
      </c>
      <c r="B833" s="359" t="s">
        <v>685</v>
      </c>
      <c r="C833" s="359" t="s">
        <v>1293</v>
      </c>
      <c r="D833" s="359" t="s">
        <v>1294</v>
      </c>
      <c r="E833" s="360"/>
      <c r="F833" s="359" t="s">
        <v>1412</v>
      </c>
      <c r="G833" s="361">
        <v>3.9600063525821178E-6</v>
      </c>
      <c r="H833" s="359" t="s">
        <v>1728</v>
      </c>
      <c r="I833" s="361">
        <v>0.31798064255005415</v>
      </c>
      <c r="J833" s="359" t="s">
        <v>1293</v>
      </c>
      <c r="K833" s="359" t="s">
        <v>1272</v>
      </c>
      <c r="M833" t="str">
        <f t="shared" si="13"/>
        <v>DIETHANOLAMINE</v>
      </c>
    </row>
    <row r="834" spans="1:13" x14ac:dyDescent="0.25">
      <c r="A834" s="359" t="s">
        <v>1726</v>
      </c>
      <c r="B834" s="359" t="s">
        <v>685</v>
      </c>
      <c r="C834" s="359" t="s">
        <v>1295</v>
      </c>
      <c r="D834" s="359" t="s">
        <v>1296</v>
      </c>
      <c r="E834" s="360"/>
      <c r="F834" s="359" t="s">
        <v>1412</v>
      </c>
      <c r="G834" s="361">
        <v>3.9600063525821178E-6</v>
      </c>
      <c r="H834" s="359" t="s">
        <v>1346</v>
      </c>
      <c r="I834" s="361">
        <v>3.2781509541242697E-3</v>
      </c>
      <c r="J834" s="359" t="s">
        <v>1295</v>
      </c>
      <c r="K834" s="359" t="s">
        <v>1272</v>
      </c>
      <c r="M834" t="str">
        <f t="shared" si="13"/>
        <v>ETHYLBENZENE</v>
      </c>
    </row>
    <row r="835" spans="1:13" x14ac:dyDescent="0.25">
      <c r="A835" s="359" t="s">
        <v>1726</v>
      </c>
      <c r="B835" s="359" t="s">
        <v>685</v>
      </c>
      <c r="C835" s="359" t="s">
        <v>1596</v>
      </c>
      <c r="D835" s="359" t="s">
        <v>1597</v>
      </c>
      <c r="E835" s="361">
        <v>11425.396825399999</v>
      </c>
      <c r="F835" s="359" t="s">
        <v>1412</v>
      </c>
      <c r="G835" s="361">
        <v>3.9600063525821178E-6</v>
      </c>
      <c r="H835" s="359" t="s">
        <v>490</v>
      </c>
      <c r="I835" s="361">
        <v>1.2395792879275498E-4</v>
      </c>
      <c r="J835" s="359" t="s">
        <v>1596</v>
      </c>
      <c r="K835" s="359" t="s">
        <v>1277</v>
      </c>
      <c r="M835" t="str">
        <f t="shared" si="13"/>
        <v>Fluoride, total (as F)</v>
      </c>
    </row>
    <row r="836" spans="1:13" x14ac:dyDescent="0.25">
      <c r="A836" s="359" t="s">
        <v>1726</v>
      </c>
      <c r="B836" s="359" t="s">
        <v>685</v>
      </c>
      <c r="C836" s="359" t="s">
        <v>1729</v>
      </c>
      <c r="D836" s="359" t="s">
        <v>1730</v>
      </c>
      <c r="E836" s="360"/>
      <c r="F836" s="359" t="s">
        <v>1412</v>
      </c>
      <c r="G836" s="361">
        <v>3.9600063525821178E-6</v>
      </c>
      <c r="H836" s="359" t="s">
        <v>1520</v>
      </c>
      <c r="I836" s="361">
        <v>7.8675622898982476E-3</v>
      </c>
      <c r="J836" s="359" t="s">
        <v>1729</v>
      </c>
      <c r="K836" s="359" t="s">
        <v>1272</v>
      </c>
      <c r="M836" t="str">
        <f t="shared" si="13"/>
        <v>HEXACHLOROBENZENE</v>
      </c>
    </row>
    <row r="837" spans="1:13" x14ac:dyDescent="0.25">
      <c r="A837" s="359" t="s">
        <v>1726</v>
      </c>
      <c r="B837" s="359" t="s">
        <v>685</v>
      </c>
      <c r="C837" s="359" t="s">
        <v>1371</v>
      </c>
      <c r="D837" s="359" t="s">
        <v>1372</v>
      </c>
      <c r="E837" s="360"/>
      <c r="F837" s="359" t="s">
        <v>1412</v>
      </c>
      <c r="G837" s="361">
        <v>3.9600063525821178E-6</v>
      </c>
      <c r="H837" s="359" t="s">
        <v>1286</v>
      </c>
      <c r="I837" s="361">
        <v>0</v>
      </c>
      <c r="J837" s="359" t="s">
        <v>1371</v>
      </c>
      <c r="K837" s="359" t="s">
        <v>1272</v>
      </c>
      <c r="M837" t="str">
        <f t="shared" si="13"/>
        <v>HYDROGEN CYANIDE</v>
      </c>
    </row>
    <row r="838" spans="1:13" x14ac:dyDescent="0.25">
      <c r="A838" s="359" t="s">
        <v>1726</v>
      </c>
      <c r="B838" s="359" t="s">
        <v>685</v>
      </c>
      <c r="C838" s="359" t="s">
        <v>1488</v>
      </c>
      <c r="D838" s="359" t="s">
        <v>1489</v>
      </c>
      <c r="E838" s="360"/>
      <c r="F838" s="359" t="s">
        <v>1412</v>
      </c>
      <c r="G838" s="361">
        <v>3.9600063525821178E-6</v>
      </c>
      <c r="H838" s="359" t="s">
        <v>1286</v>
      </c>
      <c r="I838" s="361">
        <v>0</v>
      </c>
      <c r="J838" s="359" t="s">
        <v>1490</v>
      </c>
      <c r="K838" s="359" t="s">
        <v>1272</v>
      </c>
      <c r="M838" t="str">
        <f t="shared" ref="M838:M901" si="14">IF(J838="",C838,J838)</f>
        <v>HYDROFLUORIC ACID</v>
      </c>
    </row>
    <row r="839" spans="1:13" x14ac:dyDescent="0.25">
      <c r="A839" s="359" t="s">
        <v>1726</v>
      </c>
      <c r="B839" s="359" t="s">
        <v>685</v>
      </c>
      <c r="C839" s="359" t="s">
        <v>1300</v>
      </c>
      <c r="D839" s="359" t="s">
        <v>1301</v>
      </c>
      <c r="E839" s="360"/>
      <c r="F839" s="359" t="s">
        <v>1412</v>
      </c>
      <c r="G839" s="361">
        <v>3.9600063525821178E-6</v>
      </c>
      <c r="H839" s="359" t="s">
        <v>1346</v>
      </c>
      <c r="I839" s="361">
        <v>3.2781509541242697E-3</v>
      </c>
      <c r="J839" s="359" t="s">
        <v>1300</v>
      </c>
      <c r="K839" s="359" t="s">
        <v>1272</v>
      </c>
      <c r="M839" t="str">
        <f t="shared" si="14"/>
        <v>MERCURY AND MERCURY COMPOUNDS</v>
      </c>
    </row>
    <row r="840" spans="1:13" x14ac:dyDescent="0.25">
      <c r="A840" s="359" t="s">
        <v>1726</v>
      </c>
      <c r="B840" s="359" t="s">
        <v>685</v>
      </c>
      <c r="C840" s="359" t="s">
        <v>1303</v>
      </c>
      <c r="D840" s="359" t="s">
        <v>1304</v>
      </c>
      <c r="E840" s="360"/>
      <c r="F840" s="359" t="s">
        <v>1412</v>
      </c>
      <c r="G840" s="361">
        <v>3.9600063525821178E-6</v>
      </c>
      <c r="H840" s="359" t="s">
        <v>1346</v>
      </c>
      <c r="I840" s="361">
        <v>3.2781509541242697E-3</v>
      </c>
      <c r="J840" s="359" t="s">
        <v>1303</v>
      </c>
      <c r="K840" s="359" t="s">
        <v>1272</v>
      </c>
      <c r="M840" t="str">
        <f t="shared" si="14"/>
        <v>NAPHTHALENE</v>
      </c>
    </row>
    <row r="841" spans="1:13" x14ac:dyDescent="0.25">
      <c r="A841" s="359" t="s">
        <v>1726</v>
      </c>
      <c r="B841" s="359" t="s">
        <v>685</v>
      </c>
      <c r="C841" s="359" t="s">
        <v>1305</v>
      </c>
      <c r="D841" s="359" t="s">
        <v>1306</v>
      </c>
      <c r="E841" s="360"/>
      <c r="F841" s="359" t="s">
        <v>1412</v>
      </c>
      <c r="G841" s="361">
        <v>3.9600063525821178E-6</v>
      </c>
      <c r="H841" s="359" t="s">
        <v>1474</v>
      </c>
      <c r="I841" s="361">
        <v>1.1801343434847369E-2</v>
      </c>
      <c r="J841" s="359" t="s">
        <v>1305</v>
      </c>
      <c r="K841" s="359" t="s">
        <v>1272</v>
      </c>
      <c r="M841" t="str">
        <f t="shared" si="14"/>
        <v>N-HEXANE</v>
      </c>
    </row>
    <row r="842" spans="1:13" x14ac:dyDescent="0.25">
      <c r="A842" s="359" t="s">
        <v>1726</v>
      </c>
      <c r="B842" s="359" t="s">
        <v>685</v>
      </c>
      <c r="C842" s="359" t="s">
        <v>1307</v>
      </c>
      <c r="D842" s="359" t="s">
        <v>1308</v>
      </c>
      <c r="E842" s="360"/>
      <c r="F842" s="359" t="s">
        <v>1412</v>
      </c>
      <c r="G842" s="361">
        <v>3.9600063525821178E-6</v>
      </c>
      <c r="H842" s="359" t="s">
        <v>1731</v>
      </c>
      <c r="I842" s="361">
        <v>79.197504530879058</v>
      </c>
      <c r="J842" s="359" t="s">
        <v>1310</v>
      </c>
      <c r="K842" s="359" t="s">
        <v>1272</v>
      </c>
      <c r="M842" t="str">
        <f t="shared" si="14"/>
        <v>NITRATE</v>
      </c>
    </row>
    <row r="843" spans="1:13" x14ac:dyDescent="0.25">
      <c r="A843" s="359" t="s">
        <v>1726</v>
      </c>
      <c r="B843" s="359" t="s">
        <v>685</v>
      </c>
      <c r="C843" s="359" t="s">
        <v>1311</v>
      </c>
      <c r="D843" s="359" t="s">
        <v>1312</v>
      </c>
      <c r="E843" s="361">
        <v>10.0680272109</v>
      </c>
      <c r="F843" s="359" t="s">
        <v>1412</v>
      </c>
      <c r="G843" s="361">
        <v>3.9600063525821178E-6</v>
      </c>
      <c r="H843" s="359" t="s">
        <v>490</v>
      </c>
      <c r="I843" s="361">
        <v>1.0923137455653048E-7</v>
      </c>
      <c r="J843" s="359" t="s">
        <v>1313</v>
      </c>
      <c r="K843" s="359" t="s">
        <v>1277</v>
      </c>
      <c r="M843" t="str">
        <f t="shared" si="14"/>
        <v>AMMONIA</v>
      </c>
    </row>
    <row r="844" spans="1:13" x14ac:dyDescent="0.25">
      <c r="A844" s="359" t="s">
        <v>1726</v>
      </c>
      <c r="B844" s="359" t="s">
        <v>685</v>
      </c>
      <c r="C844" s="359" t="s">
        <v>1314</v>
      </c>
      <c r="D844" s="359" t="s">
        <v>490</v>
      </c>
      <c r="E844" s="361">
        <v>20098.788450660002</v>
      </c>
      <c r="F844" s="359" t="s">
        <v>1412</v>
      </c>
      <c r="G844" s="361">
        <v>3.9600063525821178E-6</v>
      </c>
      <c r="H844" s="359" t="s">
        <v>490</v>
      </c>
      <c r="I844" s="361">
        <v>2.1805843820224031E-4</v>
      </c>
      <c r="J844" s="359" t="s">
        <v>1314</v>
      </c>
      <c r="K844" s="359" t="s">
        <v>1277</v>
      </c>
      <c r="M844" t="str">
        <f t="shared" si="14"/>
        <v>Oil and grease</v>
      </c>
    </row>
    <row r="845" spans="1:13" x14ac:dyDescent="0.25">
      <c r="A845" s="359" t="s">
        <v>1726</v>
      </c>
      <c r="B845" s="359" t="s">
        <v>685</v>
      </c>
      <c r="C845" s="359" t="s">
        <v>1457</v>
      </c>
      <c r="D845" s="359" t="s">
        <v>490</v>
      </c>
      <c r="E845" s="361">
        <v>320829.931973</v>
      </c>
      <c r="F845" s="359" t="s">
        <v>1412</v>
      </c>
      <c r="G845" s="361">
        <v>3.9600063525821178E-6</v>
      </c>
      <c r="H845" s="359" t="s">
        <v>490</v>
      </c>
      <c r="I845" s="361">
        <v>3.4807905992097774E-3</v>
      </c>
      <c r="J845" s="359" t="s">
        <v>1457</v>
      </c>
      <c r="K845" s="359" t="s">
        <v>1277</v>
      </c>
      <c r="M845" t="str">
        <f t="shared" si="14"/>
        <v>Chemical Oxygen Demand (COD)</v>
      </c>
    </row>
    <row r="846" spans="1:13" x14ac:dyDescent="0.25">
      <c r="A846" s="359" t="s">
        <v>1726</v>
      </c>
      <c r="B846" s="359" t="s">
        <v>685</v>
      </c>
      <c r="C846" s="359" t="s">
        <v>1315</v>
      </c>
      <c r="D846" s="359" t="s">
        <v>1316</v>
      </c>
      <c r="E846" s="360"/>
      <c r="F846" s="359" t="s">
        <v>1412</v>
      </c>
      <c r="G846" s="361">
        <v>3.9600063525821178E-6</v>
      </c>
      <c r="H846" s="359" t="s">
        <v>1732</v>
      </c>
      <c r="I846" s="361">
        <v>3.4092769922892403E-2</v>
      </c>
      <c r="J846" s="359" t="s">
        <v>1315</v>
      </c>
      <c r="K846" s="359" t="s">
        <v>1272</v>
      </c>
      <c r="M846" t="str">
        <f t="shared" si="14"/>
        <v>PHENOL</v>
      </c>
    </row>
    <row r="847" spans="1:13" x14ac:dyDescent="0.25">
      <c r="A847" s="359" t="s">
        <v>1726</v>
      </c>
      <c r="B847" s="359" t="s">
        <v>685</v>
      </c>
      <c r="C847" s="359" t="s">
        <v>1318</v>
      </c>
      <c r="D847" s="359" t="s">
        <v>490</v>
      </c>
      <c r="E847" s="361">
        <v>33.106575963700003</v>
      </c>
      <c r="F847" s="359" t="s">
        <v>1412</v>
      </c>
      <c r="G847" s="361">
        <v>3.9600063525821178E-6</v>
      </c>
      <c r="H847" s="359" t="s">
        <v>490</v>
      </c>
      <c r="I847" s="361">
        <v>3.5918424966710814E-7</v>
      </c>
      <c r="J847" s="359" t="s">
        <v>1318</v>
      </c>
      <c r="K847" s="359" t="s">
        <v>1277</v>
      </c>
      <c r="M847" t="str">
        <f t="shared" si="14"/>
        <v>Phenolics, total recoverable</v>
      </c>
    </row>
    <row r="848" spans="1:13" x14ac:dyDescent="0.25">
      <c r="A848" s="359" t="s">
        <v>1726</v>
      </c>
      <c r="B848" s="359" t="s">
        <v>685</v>
      </c>
      <c r="C848" s="359" t="s">
        <v>1319</v>
      </c>
      <c r="D848" s="359" t="s">
        <v>1320</v>
      </c>
      <c r="E848" s="360"/>
      <c r="F848" s="359" t="s">
        <v>1412</v>
      </c>
      <c r="G848" s="361">
        <v>3.9600063525821178E-6</v>
      </c>
      <c r="H848" s="359" t="s">
        <v>1733</v>
      </c>
      <c r="I848" s="361">
        <v>0.22422552526210004</v>
      </c>
      <c r="J848" s="359" t="s">
        <v>1319</v>
      </c>
      <c r="K848" s="359" t="s">
        <v>1272</v>
      </c>
      <c r="M848" t="str">
        <f t="shared" si="14"/>
        <v>POLYCYCLIC AROMATIC COMPOUNDS</v>
      </c>
    </row>
    <row r="849" spans="1:13" x14ac:dyDescent="0.25">
      <c r="A849" s="359" t="s">
        <v>1726</v>
      </c>
      <c r="B849" s="359" t="s">
        <v>685</v>
      </c>
      <c r="C849" s="359" t="s">
        <v>1322</v>
      </c>
      <c r="D849" s="359" t="s">
        <v>490</v>
      </c>
      <c r="E849" s="361">
        <v>18809.523809499999</v>
      </c>
      <c r="F849" s="359" t="s">
        <v>1412</v>
      </c>
      <c r="G849" s="361">
        <v>3.9600063525821178E-6</v>
      </c>
      <c r="H849" s="359" t="s">
        <v>490</v>
      </c>
      <c r="I849" s="361">
        <v>2.0407077746483453E-4</v>
      </c>
      <c r="J849" s="359" t="s">
        <v>1322</v>
      </c>
      <c r="K849" s="359" t="s">
        <v>1277</v>
      </c>
      <c r="M849" t="str">
        <f t="shared" si="14"/>
        <v>Solids, total suspended</v>
      </c>
    </row>
    <row r="850" spans="1:13" x14ac:dyDescent="0.25">
      <c r="A850" s="359" t="s">
        <v>1726</v>
      </c>
      <c r="B850" s="359" t="s">
        <v>685</v>
      </c>
      <c r="C850" s="359" t="s">
        <v>1323</v>
      </c>
      <c r="D850" s="359" t="s">
        <v>1324</v>
      </c>
      <c r="E850" s="361">
        <v>247.718820862</v>
      </c>
      <c r="F850" s="359" t="s">
        <v>1412</v>
      </c>
      <c r="G850" s="361">
        <v>3.9600063525821178E-6</v>
      </c>
      <c r="H850" s="359" t="s">
        <v>490</v>
      </c>
      <c r="I850" s="361">
        <v>2.6875838473086896E-6</v>
      </c>
      <c r="J850" s="359" t="s">
        <v>1323</v>
      </c>
      <c r="K850" s="359" t="s">
        <v>1277</v>
      </c>
      <c r="M850" t="str">
        <f t="shared" si="14"/>
        <v>Sulfide, total (as S)</v>
      </c>
    </row>
    <row r="851" spans="1:13" x14ac:dyDescent="0.25">
      <c r="A851" s="359" t="s">
        <v>1726</v>
      </c>
      <c r="B851" s="359" t="s">
        <v>685</v>
      </c>
      <c r="C851" s="359" t="s">
        <v>1325</v>
      </c>
      <c r="D851" s="359" t="s">
        <v>1326</v>
      </c>
      <c r="E851" s="360"/>
      <c r="F851" s="359" t="s">
        <v>1412</v>
      </c>
      <c r="G851" s="361">
        <v>3.9600063525821178E-6</v>
      </c>
      <c r="H851" s="359" t="s">
        <v>1346</v>
      </c>
      <c r="I851" s="361">
        <v>3.2781509541242697E-3</v>
      </c>
      <c r="J851" s="359" t="s">
        <v>1325</v>
      </c>
      <c r="K851" s="359" t="s">
        <v>1272</v>
      </c>
      <c r="M851" t="str">
        <f t="shared" si="14"/>
        <v>TOLUENE</v>
      </c>
    </row>
    <row r="852" spans="1:13" x14ac:dyDescent="0.25">
      <c r="A852" s="359" t="s">
        <v>1726</v>
      </c>
      <c r="B852" s="359" t="s">
        <v>685</v>
      </c>
      <c r="C852" s="359" t="s">
        <v>1327</v>
      </c>
      <c r="D852" s="359" t="s">
        <v>1328</v>
      </c>
      <c r="E852" s="360"/>
      <c r="F852" s="359" t="s">
        <v>1412</v>
      </c>
      <c r="G852" s="361">
        <v>3.9600063525821178E-6</v>
      </c>
      <c r="H852" s="359" t="s">
        <v>1734</v>
      </c>
      <c r="I852" s="361">
        <v>4.7205373739389475E-2</v>
      </c>
      <c r="J852" s="359" t="s">
        <v>1329</v>
      </c>
      <c r="K852" s="359" t="s">
        <v>1272</v>
      </c>
      <c r="M852" t="str">
        <f t="shared" si="14"/>
        <v>XYLENES</v>
      </c>
    </row>
    <row r="853" spans="1:13" x14ac:dyDescent="0.25">
      <c r="A853" s="359" t="s">
        <v>1726</v>
      </c>
      <c r="B853" s="359" t="s">
        <v>685</v>
      </c>
      <c r="C853" s="359" t="s">
        <v>1342</v>
      </c>
      <c r="D853" s="359" t="s">
        <v>1343</v>
      </c>
      <c r="E853" s="360"/>
      <c r="F853" s="359" t="s">
        <v>1412</v>
      </c>
      <c r="G853" s="361">
        <v>3.9600063525821178E-6</v>
      </c>
      <c r="H853" s="359" t="s">
        <v>1735</v>
      </c>
      <c r="I853" s="361">
        <v>0.20455661953735441</v>
      </c>
      <c r="J853" s="359" t="s">
        <v>1342</v>
      </c>
      <c r="K853" s="359" t="s">
        <v>1272</v>
      </c>
      <c r="M853" t="str">
        <f t="shared" si="14"/>
        <v>ZINC AND ZINC COMPOUNDS</v>
      </c>
    </row>
    <row r="854" spans="1:13" ht="30" x14ac:dyDescent="0.25">
      <c r="A854" s="359" t="s">
        <v>1736</v>
      </c>
      <c r="B854" s="359" t="s">
        <v>742</v>
      </c>
      <c r="C854" s="359" t="s">
        <v>1268</v>
      </c>
      <c r="D854" s="359" t="s">
        <v>1269</v>
      </c>
      <c r="E854" s="360"/>
      <c r="F854" s="359" t="s">
        <v>1346</v>
      </c>
      <c r="G854" s="361">
        <v>1.9521682384919715E-6</v>
      </c>
      <c r="H854" s="359" t="s">
        <v>1412</v>
      </c>
      <c r="I854" s="361">
        <v>1.2928266480079281E-3</v>
      </c>
      <c r="J854" s="359" t="s">
        <v>1268</v>
      </c>
      <c r="K854" s="359" t="s">
        <v>1272</v>
      </c>
      <c r="M854" t="str">
        <f t="shared" si="14"/>
        <v>1,2,4-TRIMETHYLBENZENE</v>
      </c>
    </row>
    <row r="855" spans="1:13" ht="30" x14ac:dyDescent="0.25">
      <c r="A855" s="359" t="s">
        <v>1736</v>
      </c>
      <c r="B855" s="359" t="s">
        <v>742</v>
      </c>
      <c r="C855" s="359" t="s">
        <v>1553</v>
      </c>
      <c r="D855" s="359" t="s">
        <v>1554</v>
      </c>
      <c r="E855" s="360"/>
      <c r="F855" s="359" t="s">
        <v>1346</v>
      </c>
      <c r="G855" s="361">
        <v>1.9521682384919715E-6</v>
      </c>
      <c r="H855" s="359" t="s">
        <v>1333</v>
      </c>
      <c r="I855" s="361">
        <v>3.2320666200198202E-4</v>
      </c>
      <c r="J855" s="359" t="s">
        <v>1555</v>
      </c>
      <c r="K855" s="359" t="s">
        <v>1272</v>
      </c>
      <c r="M855" t="str">
        <f t="shared" si="14"/>
        <v>ETHYLENE DIBROMIDE</v>
      </c>
    </row>
    <row r="856" spans="1:13" ht="30" x14ac:dyDescent="0.25">
      <c r="A856" s="359" t="s">
        <v>1736</v>
      </c>
      <c r="B856" s="359" t="s">
        <v>742</v>
      </c>
      <c r="C856" s="359" t="s">
        <v>1347</v>
      </c>
      <c r="D856" s="359" t="s">
        <v>1348</v>
      </c>
      <c r="E856" s="360"/>
      <c r="F856" s="359" t="s">
        <v>1346</v>
      </c>
      <c r="G856" s="361">
        <v>1.9521682384919715E-6</v>
      </c>
      <c r="H856" s="359" t="s">
        <v>1286</v>
      </c>
      <c r="I856" s="361">
        <v>0</v>
      </c>
      <c r="J856" s="359" t="s">
        <v>1347</v>
      </c>
      <c r="K856" s="359" t="s">
        <v>1272</v>
      </c>
      <c r="M856" t="str">
        <f t="shared" si="14"/>
        <v>1,3-BUTADIENE</v>
      </c>
    </row>
    <row r="857" spans="1:13" ht="30" x14ac:dyDescent="0.25">
      <c r="A857" s="359" t="s">
        <v>1736</v>
      </c>
      <c r="B857" s="359" t="s">
        <v>742</v>
      </c>
      <c r="C857" s="359" t="s">
        <v>1737</v>
      </c>
      <c r="D857" s="359" t="s">
        <v>1738</v>
      </c>
      <c r="E857" s="360"/>
      <c r="F857" s="359" t="s">
        <v>1346</v>
      </c>
      <c r="G857" s="361">
        <v>1.9521682384919715E-6</v>
      </c>
      <c r="H857" s="359" t="s">
        <v>1286</v>
      </c>
      <c r="I857" s="361">
        <v>0</v>
      </c>
      <c r="J857" s="359" t="s">
        <v>1737</v>
      </c>
      <c r="K857" s="359" t="s">
        <v>1272</v>
      </c>
      <c r="M857" t="str">
        <f t="shared" si="14"/>
        <v>ACETALDEHYDE</v>
      </c>
    </row>
    <row r="858" spans="1:13" ht="30" x14ac:dyDescent="0.25">
      <c r="A858" s="359" t="s">
        <v>1736</v>
      </c>
      <c r="B858" s="359" t="s">
        <v>742</v>
      </c>
      <c r="C858" s="359" t="s">
        <v>1313</v>
      </c>
      <c r="D858" s="359" t="s">
        <v>1312</v>
      </c>
      <c r="E858" s="360"/>
      <c r="F858" s="359" t="s">
        <v>1346</v>
      </c>
      <c r="G858" s="361">
        <v>1.9521682384919715E-6</v>
      </c>
      <c r="H858" s="359" t="s">
        <v>1739</v>
      </c>
      <c r="I858" s="361">
        <v>0.80801665500495501</v>
      </c>
      <c r="J858" s="359" t="s">
        <v>1313</v>
      </c>
      <c r="K858" s="359" t="s">
        <v>1272</v>
      </c>
      <c r="M858" t="str">
        <f t="shared" si="14"/>
        <v>AMMONIA</v>
      </c>
    </row>
    <row r="859" spans="1:13" ht="30" x14ac:dyDescent="0.25">
      <c r="A859" s="359" t="s">
        <v>1736</v>
      </c>
      <c r="B859" s="359" t="s">
        <v>742</v>
      </c>
      <c r="C859" s="359" t="s">
        <v>1349</v>
      </c>
      <c r="D859" s="359" t="s">
        <v>1350</v>
      </c>
      <c r="E859" s="360"/>
      <c r="F859" s="359" t="s">
        <v>1346</v>
      </c>
      <c r="G859" s="361">
        <v>1.9521682384919715E-6</v>
      </c>
      <c r="H859" s="359" t="s">
        <v>1286</v>
      </c>
      <c r="I859" s="361">
        <v>0</v>
      </c>
      <c r="J859" s="359" t="s">
        <v>1349</v>
      </c>
      <c r="K859" s="359" t="s">
        <v>1272</v>
      </c>
      <c r="M859" t="str">
        <f t="shared" si="14"/>
        <v>ANTHRACENE</v>
      </c>
    </row>
    <row r="860" spans="1:13" ht="30" x14ac:dyDescent="0.25">
      <c r="A860" s="359" t="s">
        <v>1736</v>
      </c>
      <c r="B860" s="359" t="s">
        <v>742</v>
      </c>
      <c r="C860" s="359" t="s">
        <v>1586</v>
      </c>
      <c r="D860" s="359" t="s">
        <v>1587</v>
      </c>
      <c r="E860" s="360"/>
      <c r="F860" s="359" t="s">
        <v>1346</v>
      </c>
      <c r="G860" s="361">
        <v>1.9521682384919715E-6</v>
      </c>
      <c r="H860" s="359" t="s">
        <v>1286</v>
      </c>
      <c r="I860" s="361">
        <v>0</v>
      </c>
      <c r="J860" s="359" t="s">
        <v>1586</v>
      </c>
      <c r="K860" s="359" t="s">
        <v>1272</v>
      </c>
      <c r="M860" t="str">
        <f t="shared" si="14"/>
        <v>ANTIMONY AND ANTIMONY COMPOUNDS</v>
      </c>
    </row>
    <row r="861" spans="1:13" ht="30" x14ac:dyDescent="0.25">
      <c r="A861" s="359" t="s">
        <v>1736</v>
      </c>
      <c r="B861" s="359" t="s">
        <v>742</v>
      </c>
      <c r="C861" s="359" t="s">
        <v>1273</v>
      </c>
      <c r="D861" s="359" t="s">
        <v>1274</v>
      </c>
      <c r="E861" s="360"/>
      <c r="F861" s="359" t="s">
        <v>1346</v>
      </c>
      <c r="G861" s="361">
        <v>1.9521682384919715E-6</v>
      </c>
      <c r="H861" s="359" t="s">
        <v>1270</v>
      </c>
      <c r="I861" s="361">
        <v>6.4641332400396405E-4</v>
      </c>
      <c r="J861" s="359" t="s">
        <v>1273</v>
      </c>
      <c r="K861" s="359" t="s">
        <v>1272</v>
      </c>
      <c r="M861" t="str">
        <f t="shared" si="14"/>
        <v>BENZENE</v>
      </c>
    </row>
    <row r="862" spans="1:13" ht="30" x14ac:dyDescent="0.25">
      <c r="A862" s="359" t="s">
        <v>1736</v>
      </c>
      <c r="B862" s="359" t="s">
        <v>742</v>
      </c>
      <c r="C862" s="359" t="s">
        <v>1352</v>
      </c>
      <c r="D862" s="359" t="s">
        <v>1353</v>
      </c>
      <c r="E862" s="360"/>
      <c r="F862" s="359" t="s">
        <v>1346</v>
      </c>
      <c r="G862" s="361">
        <v>1.9521682384919715E-6</v>
      </c>
      <c r="H862" s="359" t="s">
        <v>1286</v>
      </c>
      <c r="I862" s="361">
        <v>0</v>
      </c>
      <c r="J862" s="359" t="s">
        <v>1352</v>
      </c>
      <c r="K862" s="359" t="s">
        <v>1272</v>
      </c>
      <c r="M862" t="str">
        <f t="shared" si="14"/>
        <v>BENZO(G,H,I)PERYLENE</v>
      </c>
    </row>
    <row r="863" spans="1:13" ht="30" x14ac:dyDescent="0.25">
      <c r="A863" s="359" t="s">
        <v>1736</v>
      </c>
      <c r="B863" s="359" t="s">
        <v>742</v>
      </c>
      <c r="C863" s="359" t="s">
        <v>1276</v>
      </c>
      <c r="D863" s="359" t="s">
        <v>490</v>
      </c>
      <c r="E863" s="361">
        <v>148448.07256199999</v>
      </c>
      <c r="F863" s="359" t="s">
        <v>1346</v>
      </c>
      <c r="G863" s="361">
        <v>1.9521682384919715E-6</v>
      </c>
      <c r="H863" s="359" t="s">
        <v>490</v>
      </c>
      <c r="I863" s="361">
        <v>7.9396058170106267E-4</v>
      </c>
      <c r="J863" s="359" t="s">
        <v>1276</v>
      </c>
      <c r="K863" s="359" t="s">
        <v>1277</v>
      </c>
      <c r="M863" t="str">
        <f t="shared" si="14"/>
        <v>BOD, 5-day, 20 deg. C</v>
      </c>
    </row>
    <row r="864" spans="1:13" ht="30" x14ac:dyDescent="0.25">
      <c r="A864" s="359" t="s">
        <v>1736</v>
      </c>
      <c r="B864" s="359" t="s">
        <v>742</v>
      </c>
      <c r="C864" s="359" t="s">
        <v>1278</v>
      </c>
      <c r="D864" s="359" t="s">
        <v>1279</v>
      </c>
      <c r="E864" s="361">
        <v>36319.831236999999</v>
      </c>
      <c r="F864" s="359" t="s">
        <v>1346</v>
      </c>
      <c r="G864" s="361">
        <v>1.9521682384919715E-6</v>
      </c>
      <c r="H864" s="359" t="s">
        <v>490</v>
      </c>
      <c r="I864" s="361">
        <v>1.9425320813221909E-4</v>
      </c>
      <c r="J864" s="359" t="s">
        <v>1278</v>
      </c>
      <c r="K864" s="359" t="s">
        <v>1277</v>
      </c>
      <c r="M864" t="str">
        <f t="shared" si="14"/>
        <v>Carbon, tot organic (TOC)</v>
      </c>
    </row>
    <row r="865" spans="1:13" ht="30" x14ac:dyDescent="0.25">
      <c r="A865" s="359" t="s">
        <v>1736</v>
      </c>
      <c r="B865" s="359" t="s">
        <v>742</v>
      </c>
      <c r="C865" s="359" t="s">
        <v>1740</v>
      </c>
      <c r="D865" s="359" t="s">
        <v>1741</v>
      </c>
      <c r="E865" s="360"/>
      <c r="F865" s="359" t="s">
        <v>1346</v>
      </c>
      <c r="G865" s="361">
        <v>1.9521682384919715E-6</v>
      </c>
      <c r="H865" s="359" t="s">
        <v>1591</v>
      </c>
      <c r="I865" s="361">
        <v>4.201686606025766E-2</v>
      </c>
      <c r="J865" s="359" t="s">
        <v>1740</v>
      </c>
      <c r="K865" s="359" t="s">
        <v>1272</v>
      </c>
      <c r="M865" t="str">
        <f t="shared" si="14"/>
        <v>CERTAIN GLYCOL ETHERS</v>
      </c>
    </row>
    <row r="866" spans="1:13" ht="30" x14ac:dyDescent="0.25">
      <c r="A866" s="359" t="s">
        <v>1736</v>
      </c>
      <c r="B866" s="359" t="s">
        <v>742</v>
      </c>
      <c r="C866" s="359" t="s">
        <v>1485</v>
      </c>
      <c r="D866" s="359" t="s">
        <v>1486</v>
      </c>
      <c r="E866" s="360"/>
      <c r="F866" s="359" t="s">
        <v>1346</v>
      </c>
      <c r="G866" s="361">
        <v>1.9521682384919715E-6</v>
      </c>
      <c r="H866" s="359" t="s">
        <v>1529</v>
      </c>
      <c r="I866" s="361">
        <v>8.0801665500495501E-2</v>
      </c>
      <c r="J866" s="359" t="s">
        <v>1485</v>
      </c>
      <c r="K866" s="359" t="s">
        <v>1272</v>
      </c>
      <c r="M866" t="str">
        <f t="shared" si="14"/>
        <v>COBALT AND COBALT COMPOUNDS</v>
      </c>
    </row>
    <row r="867" spans="1:13" ht="30" x14ac:dyDescent="0.25">
      <c r="A867" s="359" t="s">
        <v>1736</v>
      </c>
      <c r="B867" s="359" t="s">
        <v>742</v>
      </c>
      <c r="C867" s="359" t="s">
        <v>1443</v>
      </c>
      <c r="D867" s="359" t="s">
        <v>1444</v>
      </c>
      <c r="E867" s="360"/>
      <c r="F867" s="359" t="s">
        <v>1346</v>
      </c>
      <c r="G867" s="361">
        <v>1.9521682384919715E-6</v>
      </c>
      <c r="H867" s="359" t="s">
        <v>1286</v>
      </c>
      <c r="I867" s="361">
        <v>0</v>
      </c>
      <c r="J867" s="359" t="s">
        <v>1445</v>
      </c>
      <c r="K867" s="359" t="s">
        <v>1272</v>
      </c>
      <c r="M867" t="str">
        <f t="shared" si="14"/>
        <v>CRESOL(S)</v>
      </c>
    </row>
    <row r="868" spans="1:13" ht="30" x14ac:dyDescent="0.25">
      <c r="A868" s="359" t="s">
        <v>1736</v>
      </c>
      <c r="B868" s="359" t="s">
        <v>742</v>
      </c>
      <c r="C868" s="359" t="s">
        <v>1284</v>
      </c>
      <c r="D868" s="359" t="s">
        <v>1285</v>
      </c>
      <c r="E868" s="360"/>
      <c r="F868" s="359" t="s">
        <v>1346</v>
      </c>
      <c r="G868" s="361">
        <v>1.9521682384919715E-6</v>
      </c>
      <c r="H868" s="359" t="s">
        <v>1333</v>
      </c>
      <c r="I868" s="361">
        <v>3.2320666200198202E-4</v>
      </c>
      <c r="J868" s="359" t="s">
        <v>1287</v>
      </c>
      <c r="K868" s="359" t="s">
        <v>1272</v>
      </c>
      <c r="M868" t="str">
        <f t="shared" si="14"/>
        <v>ISOPROPYLBENZENE</v>
      </c>
    </row>
    <row r="869" spans="1:13" ht="30" x14ac:dyDescent="0.25">
      <c r="A869" s="359" t="s">
        <v>1736</v>
      </c>
      <c r="B869" s="359" t="s">
        <v>742</v>
      </c>
      <c r="C869" s="359" t="s">
        <v>1291</v>
      </c>
      <c r="D869" s="359" t="s">
        <v>1292</v>
      </c>
      <c r="E869" s="360"/>
      <c r="F869" s="359" t="s">
        <v>1346</v>
      </c>
      <c r="G869" s="361">
        <v>1.9521682384919715E-6</v>
      </c>
      <c r="H869" s="359" t="s">
        <v>1333</v>
      </c>
      <c r="I869" s="361">
        <v>3.2320666200198202E-4</v>
      </c>
      <c r="J869" s="359" t="s">
        <v>1291</v>
      </c>
      <c r="K869" s="359" t="s">
        <v>1272</v>
      </c>
      <c r="M869" t="str">
        <f t="shared" si="14"/>
        <v>CYCLOHEXANE</v>
      </c>
    </row>
    <row r="870" spans="1:13" ht="30" x14ac:dyDescent="0.25">
      <c r="A870" s="359" t="s">
        <v>1736</v>
      </c>
      <c r="B870" s="359" t="s">
        <v>742</v>
      </c>
      <c r="C870" s="359" t="s">
        <v>1295</v>
      </c>
      <c r="D870" s="359" t="s">
        <v>1296</v>
      </c>
      <c r="E870" s="360"/>
      <c r="F870" s="359" t="s">
        <v>1346</v>
      </c>
      <c r="G870" s="361">
        <v>1.9521682384919715E-6</v>
      </c>
      <c r="H870" s="359" t="s">
        <v>1473</v>
      </c>
      <c r="I870" s="361">
        <v>9.6961998600594618E-4</v>
      </c>
      <c r="J870" s="359" t="s">
        <v>1295</v>
      </c>
      <c r="K870" s="359" t="s">
        <v>1272</v>
      </c>
      <c r="M870" t="str">
        <f t="shared" si="14"/>
        <v>ETHYLBENZENE</v>
      </c>
    </row>
    <row r="871" spans="1:13" ht="30" x14ac:dyDescent="0.25">
      <c r="A871" s="359" t="s">
        <v>1736</v>
      </c>
      <c r="B871" s="359" t="s">
        <v>742</v>
      </c>
      <c r="C871" s="359" t="s">
        <v>1367</v>
      </c>
      <c r="D871" s="359" t="s">
        <v>1368</v>
      </c>
      <c r="E871" s="360"/>
      <c r="F871" s="359" t="s">
        <v>1346</v>
      </c>
      <c r="G871" s="361">
        <v>1.9521682384919715E-6</v>
      </c>
      <c r="H871" s="359" t="s">
        <v>1742</v>
      </c>
      <c r="I871" s="361">
        <v>8.080166550049551</v>
      </c>
      <c r="J871" s="359" t="s">
        <v>1367</v>
      </c>
      <c r="K871" s="359" t="s">
        <v>1272</v>
      </c>
      <c r="M871" t="str">
        <f t="shared" si="14"/>
        <v>ETHYLENE GLYCOL</v>
      </c>
    </row>
    <row r="872" spans="1:13" ht="30" x14ac:dyDescent="0.25">
      <c r="A872" s="359" t="s">
        <v>1736</v>
      </c>
      <c r="B872" s="359" t="s">
        <v>742</v>
      </c>
      <c r="C872" s="359" t="s">
        <v>1297</v>
      </c>
      <c r="D872" s="359" t="s">
        <v>1298</v>
      </c>
      <c r="E872" s="360"/>
      <c r="F872" s="359" t="s">
        <v>1346</v>
      </c>
      <c r="G872" s="361">
        <v>1.9521682384919715E-6</v>
      </c>
      <c r="H872" s="359" t="s">
        <v>1743</v>
      </c>
      <c r="I872" s="361">
        <v>2.4983874972753211E-2</v>
      </c>
      <c r="J872" s="359" t="s">
        <v>1297</v>
      </c>
      <c r="K872" s="359" t="s">
        <v>1272</v>
      </c>
      <c r="M872" t="str">
        <f t="shared" si="14"/>
        <v>LEAD AND LEAD COMPOUNDS</v>
      </c>
    </row>
    <row r="873" spans="1:13" ht="30" x14ac:dyDescent="0.25">
      <c r="A873" s="359" t="s">
        <v>1736</v>
      </c>
      <c r="B873" s="359" t="s">
        <v>742</v>
      </c>
      <c r="C873" s="359" t="s">
        <v>1300</v>
      </c>
      <c r="D873" s="359" t="s">
        <v>1301</v>
      </c>
      <c r="E873" s="360"/>
      <c r="F873" s="359" t="s">
        <v>1346</v>
      </c>
      <c r="G873" s="361">
        <v>1.9521682384919715E-6</v>
      </c>
      <c r="H873" s="359" t="s">
        <v>1744</v>
      </c>
      <c r="I873" s="361">
        <v>0.28998101714817826</v>
      </c>
      <c r="J873" s="359" t="s">
        <v>1300</v>
      </c>
      <c r="K873" s="359" t="s">
        <v>1272</v>
      </c>
      <c r="M873" t="str">
        <f t="shared" si="14"/>
        <v>MERCURY AND MERCURY COMPOUNDS</v>
      </c>
    </row>
    <row r="874" spans="1:13" ht="30" x14ac:dyDescent="0.25">
      <c r="A874" s="359" t="s">
        <v>1736</v>
      </c>
      <c r="B874" s="359" t="s">
        <v>742</v>
      </c>
      <c r="C874" s="359" t="s">
        <v>1375</v>
      </c>
      <c r="D874" s="359" t="s">
        <v>1376</v>
      </c>
      <c r="E874" s="360"/>
      <c r="F874" s="359" t="s">
        <v>1346</v>
      </c>
      <c r="G874" s="361">
        <v>1.9521682384919715E-6</v>
      </c>
      <c r="H874" s="359" t="s">
        <v>1333</v>
      </c>
      <c r="I874" s="361">
        <v>3.2320666200198202E-4</v>
      </c>
      <c r="J874" s="359" t="s">
        <v>1375</v>
      </c>
      <c r="K874" s="359" t="s">
        <v>1272</v>
      </c>
      <c r="M874" t="str">
        <f t="shared" si="14"/>
        <v>METHANOL</v>
      </c>
    </row>
    <row r="875" spans="1:13" ht="30" x14ac:dyDescent="0.25">
      <c r="A875" s="359" t="s">
        <v>1736</v>
      </c>
      <c r="B875" s="359" t="s">
        <v>742</v>
      </c>
      <c r="C875" s="359" t="s">
        <v>1378</v>
      </c>
      <c r="D875" s="359" t="s">
        <v>1379</v>
      </c>
      <c r="E875" s="360"/>
      <c r="F875" s="359" t="s">
        <v>1346</v>
      </c>
      <c r="G875" s="361">
        <v>1.9521682384919715E-6</v>
      </c>
      <c r="H875" s="359" t="s">
        <v>1333</v>
      </c>
      <c r="I875" s="361">
        <v>3.2320666200198202E-4</v>
      </c>
      <c r="J875" s="359" t="s">
        <v>1378</v>
      </c>
      <c r="K875" s="359" t="s">
        <v>1272</v>
      </c>
      <c r="M875" t="str">
        <f t="shared" si="14"/>
        <v>METHYL ISOBUTYL KETONE</v>
      </c>
    </row>
    <row r="876" spans="1:13" ht="30" x14ac:dyDescent="0.25">
      <c r="A876" s="359" t="s">
        <v>1736</v>
      </c>
      <c r="B876" s="359" t="s">
        <v>742</v>
      </c>
      <c r="C876" s="359" t="s">
        <v>1745</v>
      </c>
      <c r="D876" s="359" t="s">
        <v>1746</v>
      </c>
      <c r="E876" s="360"/>
      <c r="F876" s="359" t="s">
        <v>1346</v>
      </c>
      <c r="G876" s="361">
        <v>1.9521682384919715E-6</v>
      </c>
      <c r="H876" s="359" t="s">
        <v>1333</v>
      </c>
      <c r="I876" s="361">
        <v>3.2320666200198202E-4</v>
      </c>
      <c r="J876" s="359" t="s">
        <v>1747</v>
      </c>
      <c r="K876" s="359" t="s">
        <v>1272</v>
      </c>
      <c r="M876" t="str">
        <f t="shared" si="14"/>
        <v>METHYL T-BUTYL ETHER</v>
      </c>
    </row>
    <row r="877" spans="1:13" ht="30" x14ac:dyDescent="0.25">
      <c r="A877" s="359" t="s">
        <v>1736</v>
      </c>
      <c r="B877" s="359" t="s">
        <v>742</v>
      </c>
      <c r="C877" s="359" t="s">
        <v>1748</v>
      </c>
      <c r="D877" s="359" t="s">
        <v>1749</v>
      </c>
      <c r="E877" s="360"/>
      <c r="F877" s="359" t="s">
        <v>1346</v>
      </c>
      <c r="G877" s="361">
        <v>1.9521682384919715E-6</v>
      </c>
      <c r="H877" s="359" t="s">
        <v>1286</v>
      </c>
      <c r="I877" s="361">
        <v>0</v>
      </c>
      <c r="J877" s="359" t="s">
        <v>1750</v>
      </c>
      <c r="K877" s="359" t="s">
        <v>1272</v>
      </c>
      <c r="M877" t="str">
        <f t="shared" si="14"/>
        <v>N,N'-DIMETHYLFORMAMIDE</v>
      </c>
    </row>
    <row r="878" spans="1:13" ht="30" x14ac:dyDescent="0.25">
      <c r="A878" s="359" t="s">
        <v>1736</v>
      </c>
      <c r="B878" s="359" t="s">
        <v>742</v>
      </c>
      <c r="C878" s="359" t="s">
        <v>1303</v>
      </c>
      <c r="D878" s="359" t="s">
        <v>1304</v>
      </c>
      <c r="E878" s="360"/>
      <c r="F878" s="359" t="s">
        <v>1346</v>
      </c>
      <c r="G878" s="361">
        <v>1.9521682384919715E-6</v>
      </c>
      <c r="H878" s="359" t="s">
        <v>1333</v>
      </c>
      <c r="I878" s="361">
        <v>3.2320666200198202E-4</v>
      </c>
      <c r="J878" s="359" t="s">
        <v>1303</v>
      </c>
      <c r="K878" s="359" t="s">
        <v>1272</v>
      </c>
      <c r="M878" t="str">
        <f t="shared" si="14"/>
        <v>NAPHTHALENE</v>
      </c>
    </row>
    <row r="879" spans="1:13" ht="30" x14ac:dyDescent="0.25">
      <c r="A879" s="359" t="s">
        <v>1736</v>
      </c>
      <c r="B879" s="359" t="s">
        <v>742</v>
      </c>
      <c r="C879" s="359" t="s">
        <v>1305</v>
      </c>
      <c r="D879" s="359" t="s">
        <v>1306</v>
      </c>
      <c r="E879" s="360"/>
      <c r="F879" s="359" t="s">
        <v>1346</v>
      </c>
      <c r="G879" s="361">
        <v>1.9521682384919715E-6</v>
      </c>
      <c r="H879" s="359" t="s">
        <v>1333</v>
      </c>
      <c r="I879" s="361">
        <v>3.2320666200198202E-4</v>
      </c>
      <c r="J879" s="359" t="s">
        <v>1305</v>
      </c>
      <c r="K879" s="359" t="s">
        <v>1272</v>
      </c>
      <c r="M879" t="str">
        <f t="shared" si="14"/>
        <v>N-HEXANE</v>
      </c>
    </row>
    <row r="880" spans="1:13" ht="30" x14ac:dyDescent="0.25">
      <c r="A880" s="359" t="s">
        <v>1736</v>
      </c>
      <c r="B880" s="359" t="s">
        <v>742</v>
      </c>
      <c r="C880" s="359" t="s">
        <v>1384</v>
      </c>
      <c r="D880" s="359" t="s">
        <v>1385</v>
      </c>
      <c r="E880" s="360"/>
      <c r="F880" s="359" t="s">
        <v>1346</v>
      </c>
      <c r="G880" s="361">
        <v>1.9521682384919715E-6</v>
      </c>
      <c r="H880" s="359" t="s">
        <v>1286</v>
      </c>
      <c r="I880" s="361">
        <v>0</v>
      </c>
      <c r="J880" s="359" t="s">
        <v>1384</v>
      </c>
      <c r="K880" s="359" t="s">
        <v>1272</v>
      </c>
      <c r="M880" t="str">
        <f t="shared" si="14"/>
        <v>NICKEL AND NICKEL COMPOUNDS</v>
      </c>
    </row>
    <row r="881" spans="1:13" ht="30" x14ac:dyDescent="0.25">
      <c r="A881" s="359" t="s">
        <v>1736</v>
      </c>
      <c r="B881" s="359" t="s">
        <v>742</v>
      </c>
      <c r="C881" s="359" t="s">
        <v>1307</v>
      </c>
      <c r="D881" s="359" t="s">
        <v>1308</v>
      </c>
      <c r="E881" s="360"/>
      <c r="F881" s="359" t="s">
        <v>1346</v>
      </c>
      <c r="G881" s="361">
        <v>1.9521682384919715E-6</v>
      </c>
      <c r="H881" s="359" t="s">
        <v>1751</v>
      </c>
      <c r="I881" s="361">
        <v>646.41332400396402</v>
      </c>
      <c r="J881" s="359" t="s">
        <v>1310</v>
      </c>
      <c r="K881" s="359" t="s">
        <v>1272</v>
      </c>
      <c r="M881" t="str">
        <f t="shared" si="14"/>
        <v>NITRATE</v>
      </c>
    </row>
    <row r="882" spans="1:13" ht="30" x14ac:dyDescent="0.25">
      <c r="A882" s="359" t="s">
        <v>1736</v>
      </c>
      <c r="B882" s="359" t="s">
        <v>742</v>
      </c>
      <c r="C882" s="359" t="s">
        <v>1337</v>
      </c>
      <c r="D882" s="359" t="s">
        <v>1338</v>
      </c>
      <c r="E882" s="360"/>
      <c r="F882" s="359" t="s">
        <v>1346</v>
      </c>
      <c r="G882" s="361">
        <v>1.9521682384919715E-6</v>
      </c>
      <c r="H882" s="359" t="s">
        <v>1286</v>
      </c>
      <c r="I882" s="361">
        <v>0</v>
      </c>
      <c r="J882" s="359" t="s">
        <v>1340</v>
      </c>
      <c r="K882" s="359" t="s">
        <v>1272</v>
      </c>
      <c r="M882" t="str">
        <f t="shared" si="14"/>
        <v>N-METHYLPYRROLIDONE</v>
      </c>
    </row>
    <row r="883" spans="1:13" ht="30" x14ac:dyDescent="0.25">
      <c r="A883" s="359" t="s">
        <v>1736</v>
      </c>
      <c r="B883" s="359" t="s">
        <v>742</v>
      </c>
      <c r="C883" s="359" t="s">
        <v>1314</v>
      </c>
      <c r="D883" s="359" t="s">
        <v>490</v>
      </c>
      <c r="E883" s="361">
        <v>43823.617579769998</v>
      </c>
      <c r="F883" s="359" t="s">
        <v>1346</v>
      </c>
      <c r="G883" s="361">
        <v>1.9521682384919715E-6</v>
      </c>
      <c r="H883" s="359" t="s">
        <v>490</v>
      </c>
      <c r="I883" s="361">
        <v>2.3438650502752162E-4</v>
      </c>
      <c r="J883" s="359" t="s">
        <v>1314</v>
      </c>
      <c r="K883" s="359" t="s">
        <v>1277</v>
      </c>
      <c r="M883" t="str">
        <f t="shared" si="14"/>
        <v>Oil and grease</v>
      </c>
    </row>
    <row r="884" spans="1:13" ht="30" x14ac:dyDescent="0.25">
      <c r="A884" s="359" t="s">
        <v>1736</v>
      </c>
      <c r="B884" s="359" t="s">
        <v>742</v>
      </c>
      <c r="C884" s="359" t="s">
        <v>1457</v>
      </c>
      <c r="D884" s="359" t="s">
        <v>490</v>
      </c>
      <c r="E884" s="361">
        <v>1104205.44218</v>
      </c>
      <c r="F884" s="359" t="s">
        <v>1346</v>
      </c>
      <c r="G884" s="361">
        <v>1.9521682384919715E-6</v>
      </c>
      <c r="H884" s="359" t="s">
        <v>490</v>
      </c>
      <c r="I884" s="361">
        <v>5.905739158887066E-3</v>
      </c>
      <c r="J884" s="359" t="s">
        <v>1457</v>
      </c>
      <c r="K884" s="359" t="s">
        <v>1277</v>
      </c>
      <c r="M884" t="str">
        <f t="shared" si="14"/>
        <v>Chemical Oxygen Demand (COD)</v>
      </c>
    </row>
    <row r="885" spans="1:13" ht="30" x14ac:dyDescent="0.25">
      <c r="A885" s="359" t="s">
        <v>1736</v>
      </c>
      <c r="B885" s="359" t="s">
        <v>742</v>
      </c>
      <c r="C885" s="359" t="s">
        <v>1388</v>
      </c>
      <c r="D885" s="359" t="s">
        <v>1389</v>
      </c>
      <c r="E885" s="360"/>
      <c r="F885" s="359" t="s">
        <v>1346</v>
      </c>
      <c r="G885" s="361">
        <v>1.9521682384919715E-6</v>
      </c>
      <c r="H885" s="359" t="s">
        <v>1286</v>
      </c>
      <c r="I885" s="361">
        <v>0</v>
      </c>
      <c r="J885" s="359" t="s">
        <v>1388</v>
      </c>
      <c r="K885" s="359" t="s">
        <v>1272</v>
      </c>
      <c r="M885" t="str">
        <f t="shared" si="14"/>
        <v>PHENANTHRENE</v>
      </c>
    </row>
    <row r="886" spans="1:13" ht="30" x14ac:dyDescent="0.25">
      <c r="A886" s="359" t="s">
        <v>1736</v>
      </c>
      <c r="B886" s="359" t="s">
        <v>742</v>
      </c>
      <c r="C886" s="359" t="s">
        <v>1315</v>
      </c>
      <c r="D886" s="359" t="s">
        <v>1316</v>
      </c>
      <c r="E886" s="360"/>
      <c r="F886" s="359" t="s">
        <v>1346</v>
      </c>
      <c r="G886" s="361">
        <v>1.9521682384919715E-6</v>
      </c>
      <c r="H886" s="359" t="s">
        <v>1752</v>
      </c>
      <c r="I886" s="361">
        <v>0.13251473142081263</v>
      </c>
      <c r="J886" s="359" t="s">
        <v>1315</v>
      </c>
      <c r="K886" s="359" t="s">
        <v>1272</v>
      </c>
      <c r="M886" t="str">
        <f t="shared" si="14"/>
        <v>PHENOL</v>
      </c>
    </row>
    <row r="887" spans="1:13" ht="30" x14ac:dyDescent="0.25">
      <c r="A887" s="359" t="s">
        <v>1736</v>
      </c>
      <c r="B887" s="359" t="s">
        <v>742</v>
      </c>
      <c r="C887" s="359" t="s">
        <v>1319</v>
      </c>
      <c r="D887" s="359" t="s">
        <v>1320</v>
      </c>
      <c r="E887" s="360"/>
      <c r="F887" s="359" t="s">
        <v>1346</v>
      </c>
      <c r="G887" s="361">
        <v>1.9521682384919715E-6</v>
      </c>
      <c r="H887" s="359" t="s">
        <v>1286</v>
      </c>
      <c r="I887" s="361">
        <v>0</v>
      </c>
      <c r="J887" s="359" t="s">
        <v>1319</v>
      </c>
      <c r="K887" s="359" t="s">
        <v>1272</v>
      </c>
      <c r="M887" t="str">
        <f t="shared" si="14"/>
        <v>POLYCYCLIC AROMATIC COMPOUNDS</v>
      </c>
    </row>
    <row r="888" spans="1:13" ht="30" x14ac:dyDescent="0.25">
      <c r="A888" s="359" t="s">
        <v>1736</v>
      </c>
      <c r="B888" s="359" t="s">
        <v>742</v>
      </c>
      <c r="C888" s="359" t="s">
        <v>1574</v>
      </c>
      <c r="D888" s="359" t="s">
        <v>1575</v>
      </c>
      <c r="E888" s="360"/>
      <c r="F888" s="359" t="s">
        <v>1346</v>
      </c>
      <c r="G888" s="361">
        <v>1.9521682384919715E-6</v>
      </c>
      <c r="H888" s="359" t="s">
        <v>1286</v>
      </c>
      <c r="I888" s="361">
        <v>0</v>
      </c>
      <c r="J888" s="359" t="s">
        <v>1574</v>
      </c>
      <c r="K888" s="359" t="s">
        <v>1272</v>
      </c>
      <c r="M888" t="str">
        <f t="shared" si="14"/>
        <v>SEC-BUTYL ALCOHOL</v>
      </c>
    </row>
    <row r="889" spans="1:13" ht="30" x14ac:dyDescent="0.25">
      <c r="A889" s="359" t="s">
        <v>1736</v>
      </c>
      <c r="B889" s="359" t="s">
        <v>742</v>
      </c>
      <c r="C889" s="359" t="s">
        <v>1322</v>
      </c>
      <c r="D889" s="359" t="s">
        <v>490</v>
      </c>
      <c r="E889" s="361">
        <v>202660.31745999999</v>
      </c>
      <c r="F889" s="359" t="s">
        <v>1346</v>
      </c>
      <c r="G889" s="361">
        <v>1.9521682384919715E-6</v>
      </c>
      <c r="H889" s="359" t="s">
        <v>490</v>
      </c>
      <c r="I889" s="361">
        <v>1.0839096847893477E-3</v>
      </c>
      <c r="J889" s="359" t="s">
        <v>1322</v>
      </c>
      <c r="K889" s="359" t="s">
        <v>1277</v>
      </c>
      <c r="M889" t="str">
        <f t="shared" si="14"/>
        <v>Solids, total suspended</v>
      </c>
    </row>
    <row r="890" spans="1:13" ht="30" x14ac:dyDescent="0.25">
      <c r="A890" s="359" t="s">
        <v>1736</v>
      </c>
      <c r="B890" s="359" t="s">
        <v>742</v>
      </c>
      <c r="C890" s="359" t="s">
        <v>1392</v>
      </c>
      <c r="D890" s="359" t="s">
        <v>1393</v>
      </c>
      <c r="E890" s="360"/>
      <c r="F890" s="359" t="s">
        <v>1346</v>
      </c>
      <c r="G890" s="361">
        <v>1.9521682384919715E-6</v>
      </c>
      <c r="H890" s="359" t="s">
        <v>1333</v>
      </c>
      <c r="I890" s="361">
        <v>3.2320666200198202E-4</v>
      </c>
      <c r="J890" s="359" t="s">
        <v>1392</v>
      </c>
      <c r="K890" s="359" t="s">
        <v>1272</v>
      </c>
      <c r="M890" t="str">
        <f t="shared" si="14"/>
        <v>STYRENE</v>
      </c>
    </row>
    <row r="891" spans="1:13" ht="30" x14ac:dyDescent="0.25">
      <c r="A891" s="359" t="s">
        <v>1736</v>
      </c>
      <c r="B891" s="359" t="s">
        <v>742</v>
      </c>
      <c r="C891" s="359" t="s">
        <v>1394</v>
      </c>
      <c r="D891" s="359" t="s">
        <v>1395</v>
      </c>
      <c r="E891" s="360"/>
      <c r="F891" s="359" t="s">
        <v>1346</v>
      </c>
      <c r="G891" s="361">
        <v>1.9521682384919715E-6</v>
      </c>
      <c r="H891" s="359" t="s">
        <v>1286</v>
      </c>
      <c r="I891" s="361">
        <v>0</v>
      </c>
      <c r="J891" s="359" t="s">
        <v>1394</v>
      </c>
      <c r="K891" s="359" t="s">
        <v>1272</v>
      </c>
      <c r="M891" t="str">
        <f t="shared" si="14"/>
        <v>TERT-BUTYL ALCOHOL</v>
      </c>
    </row>
    <row r="892" spans="1:13" ht="30" x14ac:dyDescent="0.25">
      <c r="A892" s="359" t="s">
        <v>1736</v>
      </c>
      <c r="B892" s="359" t="s">
        <v>742</v>
      </c>
      <c r="C892" s="359" t="s">
        <v>1396</v>
      </c>
      <c r="D892" s="359" t="s">
        <v>1397</v>
      </c>
      <c r="E892" s="360"/>
      <c r="F892" s="359" t="s">
        <v>1346</v>
      </c>
      <c r="G892" s="361">
        <v>1.9521682384919715E-6</v>
      </c>
      <c r="H892" s="359" t="s">
        <v>1286</v>
      </c>
      <c r="I892" s="361">
        <v>0</v>
      </c>
      <c r="J892" s="359" t="s">
        <v>1398</v>
      </c>
      <c r="K892" s="359" t="s">
        <v>1272</v>
      </c>
      <c r="M892" t="str">
        <f t="shared" si="14"/>
        <v>PERCHLOROETHYLENE</v>
      </c>
    </row>
    <row r="893" spans="1:13" ht="30" x14ac:dyDescent="0.25">
      <c r="A893" s="359" t="s">
        <v>1736</v>
      </c>
      <c r="B893" s="359" t="s">
        <v>742</v>
      </c>
      <c r="C893" s="359" t="s">
        <v>1325</v>
      </c>
      <c r="D893" s="359" t="s">
        <v>1326</v>
      </c>
      <c r="E893" s="360"/>
      <c r="F893" s="359" t="s">
        <v>1346</v>
      </c>
      <c r="G893" s="361">
        <v>1.9521682384919715E-6</v>
      </c>
      <c r="H893" s="359" t="s">
        <v>1500</v>
      </c>
      <c r="I893" s="361">
        <v>3.2320666200198202E-3</v>
      </c>
      <c r="J893" s="359" t="s">
        <v>1325</v>
      </c>
      <c r="K893" s="359" t="s">
        <v>1272</v>
      </c>
      <c r="M893" t="str">
        <f t="shared" si="14"/>
        <v>TOLUENE</v>
      </c>
    </row>
    <row r="894" spans="1:13" ht="30" x14ac:dyDescent="0.25">
      <c r="A894" s="359" t="s">
        <v>1736</v>
      </c>
      <c r="B894" s="359" t="s">
        <v>742</v>
      </c>
      <c r="C894" s="359" t="s">
        <v>1400</v>
      </c>
      <c r="D894" s="359" t="s">
        <v>1401</v>
      </c>
      <c r="E894" s="360"/>
      <c r="F894" s="359" t="s">
        <v>1346</v>
      </c>
      <c r="G894" s="361">
        <v>1.9521682384919715E-6</v>
      </c>
      <c r="H894" s="359" t="s">
        <v>1286</v>
      </c>
      <c r="I894" s="361">
        <v>0</v>
      </c>
      <c r="J894" s="359" t="s">
        <v>1400</v>
      </c>
      <c r="K894" s="359" t="s">
        <v>1272</v>
      </c>
      <c r="M894" t="str">
        <f t="shared" si="14"/>
        <v>TRICHLOROETHYLENE</v>
      </c>
    </row>
    <row r="895" spans="1:13" ht="30" x14ac:dyDescent="0.25">
      <c r="A895" s="359" t="s">
        <v>1736</v>
      </c>
      <c r="B895" s="359" t="s">
        <v>742</v>
      </c>
      <c r="C895" s="359" t="s">
        <v>1495</v>
      </c>
      <c r="D895" s="359" t="s">
        <v>1465</v>
      </c>
      <c r="E895" s="360"/>
      <c r="F895" s="359" t="s">
        <v>1346</v>
      </c>
      <c r="G895" s="361">
        <v>1.9521682384919715E-6</v>
      </c>
      <c r="H895" s="359" t="s">
        <v>1753</v>
      </c>
      <c r="I895" s="361">
        <v>0.35552732820218025</v>
      </c>
      <c r="J895" s="359" t="s">
        <v>1495</v>
      </c>
      <c r="K895" s="359" t="s">
        <v>1272</v>
      </c>
      <c r="M895" t="str">
        <f t="shared" si="14"/>
        <v>VANADIUM AND VANADIUM COMPOUNDS</v>
      </c>
    </row>
    <row r="896" spans="1:13" ht="30" x14ac:dyDescent="0.25">
      <c r="A896" s="359" t="s">
        <v>1736</v>
      </c>
      <c r="B896" s="359" t="s">
        <v>742</v>
      </c>
      <c r="C896" s="359" t="s">
        <v>1327</v>
      </c>
      <c r="D896" s="359" t="s">
        <v>1328</v>
      </c>
      <c r="E896" s="360"/>
      <c r="F896" s="359" t="s">
        <v>1346</v>
      </c>
      <c r="G896" s="361">
        <v>1.9521682384919715E-6</v>
      </c>
      <c r="H896" s="359" t="s">
        <v>1754</v>
      </c>
      <c r="I896" s="361">
        <v>8.0801665500495508E-3</v>
      </c>
      <c r="J896" s="359" t="s">
        <v>1329</v>
      </c>
      <c r="K896" s="359" t="s">
        <v>1272</v>
      </c>
      <c r="M896" t="str">
        <f t="shared" si="14"/>
        <v>XYLENES</v>
      </c>
    </row>
    <row r="897" spans="1:13" ht="30" x14ac:dyDescent="0.25">
      <c r="A897" s="359" t="s">
        <v>1736</v>
      </c>
      <c r="B897" s="359" t="s">
        <v>742</v>
      </c>
      <c r="C897" s="359" t="s">
        <v>1342</v>
      </c>
      <c r="D897" s="359" t="s">
        <v>1343</v>
      </c>
      <c r="E897" s="360"/>
      <c r="F897" s="359" t="s">
        <v>1346</v>
      </c>
      <c r="G897" s="361">
        <v>1.9521682384919715E-6</v>
      </c>
      <c r="H897" s="359" t="s">
        <v>1755</v>
      </c>
      <c r="I897" s="361">
        <v>0.67873399020416225</v>
      </c>
      <c r="J897" s="359" t="s">
        <v>1342</v>
      </c>
      <c r="K897" s="359" t="s">
        <v>1272</v>
      </c>
      <c r="M897" t="str">
        <f t="shared" si="14"/>
        <v>ZINC AND ZINC COMPOUNDS</v>
      </c>
    </row>
    <row r="898" spans="1:13" ht="30" x14ac:dyDescent="0.25">
      <c r="A898" s="359" t="s">
        <v>1756</v>
      </c>
      <c r="B898" s="359" t="s">
        <v>761</v>
      </c>
      <c r="C898" s="359" t="s">
        <v>1268</v>
      </c>
      <c r="D898" s="359" t="s">
        <v>1269</v>
      </c>
      <c r="E898" s="360"/>
      <c r="F898" s="359" t="s">
        <v>1346</v>
      </c>
      <c r="G898" s="361">
        <v>1.6666666666666667E-5</v>
      </c>
      <c r="H898" s="359" t="s">
        <v>1275</v>
      </c>
      <c r="I898" s="361">
        <v>1.9315673289183224E-2</v>
      </c>
      <c r="J898" s="359" t="s">
        <v>1268</v>
      </c>
      <c r="K898" s="359" t="s">
        <v>1272</v>
      </c>
      <c r="M898" t="str">
        <f t="shared" si="14"/>
        <v>1,2,4-TRIMETHYLBENZENE</v>
      </c>
    </row>
    <row r="899" spans="1:13" ht="30" x14ac:dyDescent="0.25">
      <c r="A899" s="359" t="s">
        <v>1756</v>
      </c>
      <c r="B899" s="359" t="s">
        <v>761</v>
      </c>
      <c r="C899" s="359" t="s">
        <v>1347</v>
      </c>
      <c r="D899" s="359" t="s">
        <v>1348</v>
      </c>
      <c r="E899" s="360"/>
      <c r="F899" s="359" t="s">
        <v>1346</v>
      </c>
      <c r="G899" s="361">
        <v>1.6666666666666667E-5</v>
      </c>
      <c r="H899" s="359" t="s">
        <v>1333</v>
      </c>
      <c r="I899" s="361">
        <v>2.7593818984547464E-3</v>
      </c>
      <c r="J899" s="359" t="s">
        <v>1347</v>
      </c>
      <c r="K899" s="359" t="s">
        <v>1272</v>
      </c>
      <c r="M899" t="str">
        <f t="shared" si="14"/>
        <v>1,3-BUTADIENE</v>
      </c>
    </row>
    <row r="900" spans="1:13" ht="30" x14ac:dyDescent="0.25">
      <c r="A900" s="359" t="s">
        <v>1756</v>
      </c>
      <c r="B900" s="359" t="s">
        <v>761</v>
      </c>
      <c r="C900" s="359" t="s">
        <v>1349</v>
      </c>
      <c r="D900" s="359" t="s">
        <v>1350</v>
      </c>
      <c r="E900" s="360"/>
      <c r="F900" s="359" t="s">
        <v>1346</v>
      </c>
      <c r="G900" s="361">
        <v>1.6666666666666667E-5</v>
      </c>
      <c r="H900" s="359" t="s">
        <v>1286</v>
      </c>
      <c r="I900" s="361">
        <v>0</v>
      </c>
      <c r="J900" s="359" t="s">
        <v>1349</v>
      </c>
      <c r="K900" s="359" t="s">
        <v>1272</v>
      </c>
      <c r="M900" t="str">
        <f t="shared" si="14"/>
        <v>ANTHRACENE</v>
      </c>
    </row>
    <row r="901" spans="1:13" ht="30" x14ac:dyDescent="0.25">
      <c r="A901" s="359" t="s">
        <v>1756</v>
      </c>
      <c r="B901" s="359" t="s">
        <v>761</v>
      </c>
      <c r="C901" s="359" t="s">
        <v>1273</v>
      </c>
      <c r="D901" s="359" t="s">
        <v>1274</v>
      </c>
      <c r="E901" s="360"/>
      <c r="F901" s="359" t="s">
        <v>1346</v>
      </c>
      <c r="G901" s="361">
        <v>1.6666666666666667E-5</v>
      </c>
      <c r="H901" s="359" t="s">
        <v>1270</v>
      </c>
      <c r="I901" s="361">
        <v>5.5187637969094927E-3</v>
      </c>
      <c r="J901" s="359" t="s">
        <v>1273</v>
      </c>
      <c r="K901" s="359" t="s">
        <v>1272</v>
      </c>
      <c r="M901" t="str">
        <f t="shared" si="14"/>
        <v>BENZENE</v>
      </c>
    </row>
    <row r="902" spans="1:13" ht="30" x14ac:dyDescent="0.25">
      <c r="A902" s="359" t="s">
        <v>1756</v>
      </c>
      <c r="B902" s="359" t="s">
        <v>761</v>
      </c>
      <c r="C902" s="359" t="s">
        <v>1352</v>
      </c>
      <c r="D902" s="359" t="s">
        <v>1353</v>
      </c>
      <c r="E902" s="360"/>
      <c r="F902" s="359" t="s">
        <v>1346</v>
      </c>
      <c r="G902" s="361">
        <v>1.6666666666666667E-5</v>
      </c>
      <c r="H902" s="359" t="s">
        <v>1286</v>
      </c>
      <c r="I902" s="361">
        <v>0</v>
      </c>
      <c r="J902" s="359" t="s">
        <v>1352</v>
      </c>
      <c r="K902" s="359" t="s">
        <v>1272</v>
      </c>
      <c r="M902" t="str">
        <f t="shared" ref="M902:M965" si="15">IF(J902="",C902,J902)</f>
        <v>BENZO(G,H,I)PERYLENE</v>
      </c>
    </row>
    <row r="903" spans="1:13" ht="30" x14ac:dyDescent="0.25">
      <c r="A903" s="359" t="s">
        <v>1756</v>
      </c>
      <c r="B903" s="359" t="s">
        <v>761</v>
      </c>
      <c r="C903" s="359" t="s">
        <v>1276</v>
      </c>
      <c r="D903" s="359" t="s">
        <v>490</v>
      </c>
      <c r="E903" s="361">
        <v>34238.095238100002</v>
      </c>
      <c r="F903" s="359" t="s">
        <v>1346</v>
      </c>
      <c r="G903" s="361">
        <v>1.6666666666666667E-5</v>
      </c>
      <c r="H903" s="359" t="s">
        <v>490</v>
      </c>
      <c r="I903" s="361">
        <v>1.5633833442054794E-3</v>
      </c>
      <c r="J903" s="359" t="s">
        <v>1276</v>
      </c>
      <c r="K903" s="359" t="s">
        <v>1277</v>
      </c>
      <c r="M903" t="str">
        <f t="shared" si="15"/>
        <v>BOD, 5-day, 20 deg. C</v>
      </c>
    </row>
    <row r="904" spans="1:13" ht="30" x14ac:dyDescent="0.25">
      <c r="A904" s="359" t="s">
        <v>1756</v>
      </c>
      <c r="B904" s="359" t="s">
        <v>761</v>
      </c>
      <c r="C904" s="359" t="s">
        <v>1357</v>
      </c>
      <c r="D904" s="359" t="s">
        <v>1358</v>
      </c>
      <c r="E904" s="360"/>
      <c r="F904" s="359" t="s">
        <v>1346</v>
      </c>
      <c r="G904" s="361">
        <v>1.6666666666666667E-5</v>
      </c>
      <c r="H904" s="359" t="s">
        <v>1286</v>
      </c>
      <c r="I904" s="361">
        <v>0</v>
      </c>
      <c r="J904" s="359" t="s">
        <v>1357</v>
      </c>
      <c r="K904" s="359" t="s">
        <v>1272</v>
      </c>
      <c r="M904" t="str">
        <f t="shared" si="15"/>
        <v>CARBONYL SULFIDE</v>
      </c>
    </row>
    <row r="905" spans="1:13" ht="30" x14ac:dyDescent="0.25">
      <c r="A905" s="359" t="s">
        <v>1756</v>
      </c>
      <c r="B905" s="359" t="s">
        <v>761</v>
      </c>
      <c r="C905" s="359" t="s">
        <v>1280</v>
      </c>
      <c r="D905" s="359" t="s">
        <v>1281</v>
      </c>
      <c r="E905" s="361">
        <v>3.0430839002300001</v>
      </c>
      <c r="F905" s="359" t="s">
        <v>1346</v>
      </c>
      <c r="G905" s="361">
        <v>1.6666666666666667E-5</v>
      </c>
      <c r="H905" s="359" t="s">
        <v>490</v>
      </c>
      <c r="I905" s="361">
        <v>1.389536027502283E-7</v>
      </c>
      <c r="J905" s="359" t="s">
        <v>1280</v>
      </c>
      <c r="K905" s="359" t="s">
        <v>1277</v>
      </c>
      <c r="M905" t="str">
        <f t="shared" si="15"/>
        <v>Chromium, hexavalent (as Cr)</v>
      </c>
    </row>
    <row r="906" spans="1:13" ht="30" x14ac:dyDescent="0.25">
      <c r="A906" s="359" t="s">
        <v>1756</v>
      </c>
      <c r="B906" s="359" t="s">
        <v>761</v>
      </c>
      <c r="C906" s="359" t="s">
        <v>1282</v>
      </c>
      <c r="D906" s="359" t="s">
        <v>1283</v>
      </c>
      <c r="E906" s="361">
        <v>2.3718820861699998</v>
      </c>
      <c r="F906" s="359" t="s">
        <v>1346</v>
      </c>
      <c r="G906" s="361">
        <v>1.6666666666666667E-5</v>
      </c>
      <c r="H906" s="359" t="s">
        <v>490</v>
      </c>
      <c r="I906" s="361">
        <v>1.0830511808995432E-7</v>
      </c>
      <c r="J906" s="359" t="s">
        <v>1282</v>
      </c>
      <c r="K906" s="359" t="s">
        <v>1277</v>
      </c>
      <c r="M906" t="str">
        <f t="shared" si="15"/>
        <v>Chromium, total (as Cr)</v>
      </c>
    </row>
    <row r="907" spans="1:13" ht="30" x14ac:dyDescent="0.25">
      <c r="A907" s="359" t="s">
        <v>1756</v>
      </c>
      <c r="B907" s="359" t="s">
        <v>761</v>
      </c>
      <c r="C907" s="359" t="s">
        <v>1284</v>
      </c>
      <c r="D907" s="359" t="s">
        <v>1285</v>
      </c>
      <c r="E907" s="360"/>
      <c r="F907" s="359" t="s">
        <v>1346</v>
      </c>
      <c r="G907" s="361">
        <v>1.6666666666666667E-5</v>
      </c>
      <c r="H907" s="359" t="s">
        <v>1286</v>
      </c>
      <c r="I907" s="361">
        <v>0</v>
      </c>
      <c r="J907" s="359" t="s">
        <v>1287</v>
      </c>
      <c r="K907" s="359" t="s">
        <v>1272</v>
      </c>
      <c r="M907" t="str">
        <f t="shared" si="15"/>
        <v>ISOPROPYLBENZENE</v>
      </c>
    </row>
    <row r="908" spans="1:13" ht="30" x14ac:dyDescent="0.25">
      <c r="A908" s="359" t="s">
        <v>1756</v>
      </c>
      <c r="B908" s="359" t="s">
        <v>761</v>
      </c>
      <c r="C908" s="359" t="s">
        <v>1291</v>
      </c>
      <c r="D908" s="359" t="s">
        <v>1292</v>
      </c>
      <c r="E908" s="360"/>
      <c r="F908" s="359" t="s">
        <v>1346</v>
      </c>
      <c r="G908" s="361">
        <v>1.6666666666666667E-5</v>
      </c>
      <c r="H908" s="359" t="s">
        <v>1333</v>
      </c>
      <c r="I908" s="361">
        <v>2.7593818984547464E-3</v>
      </c>
      <c r="J908" s="359" t="s">
        <v>1291</v>
      </c>
      <c r="K908" s="359" t="s">
        <v>1272</v>
      </c>
      <c r="M908" t="str">
        <f t="shared" si="15"/>
        <v>CYCLOHEXANE</v>
      </c>
    </row>
    <row r="909" spans="1:13" ht="30" x14ac:dyDescent="0.25">
      <c r="A909" s="359" t="s">
        <v>1756</v>
      </c>
      <c r="B909" s="359" t="s">
        <v>761</v>
      </c>
      <c r="C909" s="359" t="s">
        <v>1293</v>
      </c>
      <c r="D909" s="359" t="s">
        <v>1294</v>
      </c>
      <c r="E909" s="360"/>
      <c r="F909" s="359" t="s">
        <v>1346</v>
      </c>
      <c r="G909" s="361">
        <v>1.6666666666666667E-5</v>
      </c>
      <c r="H909" s="359" t="s">
        <v>1757</v>
      </c>
      <c r="I909" s="361">
        <v>1.4072847682119205</v>
      </c>
      <c r="J909" s="359" t="s">
        <v>1293</v>
      </c>
      <c r="K909" s="359" t="s">
        <v>1272</v>
      </c>
      <c r="M909" t="str">
        <f t="shared" si="15"/>
        <v>DIETHANOLAMINE</v>
      </c>
    </row>
    <row r="910" spans="1:13" ht="30" x14ac:dyDescent="0.25">
      <c r="A910" s="359" t="s">
        <v>1756</v>
      </c>
      <c r="B910" s="359" t="s">
        <v>761</v>
      </c>
      <c r="C910" s="359" t="s">
        <v>1362</v>
      </c>
      <c r="D910" s="359" t="s">
        <v>1363</v>
      </c>
      <c r="E910" s="360"/>
      <c r="F910" s="359" t="s">
        <v>1346</v>
      </c>
      <c r="G910" s="361">
        <v>1.6666666666666667E-5</v>
      </c>
      <c r="H910" s="359" t="s">
        <v>1286</v>
      </c>
      <c r="I910" s="361">
        <v>0</v>
      </c>
      <c r="J910" s="359" t="s">
        <v>1362</v>
      </c>
      <c r="K910" s="359" t="s">
        <v>1272</v>
      </c>
      <c r="M910" t="str">
        <f t="shared" si="15"/>
        <v>DIOXIN AND DIOXIN-LIKE COMPOUNDS</v>
      </c>
    </row>
    <row r="911" spans="1:13" ht="30" x14ac:dyDescent="0.25">
      <c r="A911" s="359" t="s">
        <v>1756</v>
      </c>
      <c r="B911" s="359" t="s">
        <v>761</v>
      </c>
      <c r="C911" s="359" t="s">
        <v>1295</v>
      </c>
      <c r="D911" s="359" t="s">
        <v>1296</v>
      </c>
      <c r="E911" s="360"/>
      <c r="F911" s="359" t="s">
        <v>1346</v>
      </c>
      <c r="G911" s="361">
        <v>1.6666666666666667E-5</v>
      </c>
      <c r="H911" s="359" t="s">
        <v>1333</v>
      </c>
      <c r="I911" s="361">
        <v>2.7593818984547464E-3</v>
      </c>
      <c r="J911" s="359" t="s">
        <v>1295</v>
      </c>
      <c r="K911" s="359" t="s">
        <v>1272</v>
      </c>
      <c r="M911" t="str">
        <f t="shared" si="15"/>
        <v>ETHYLBENZENE</v>
      </c>
    </row>
    <row r="912" spans="1:13" ht="30" x14ac:dyDescent="0.25">
      <c r="A912" s="359" t="s">
        <v>1756</v>
      </c>
      <c r="B912" s="359" t="s">
        <v>761</v>
      </c>
      <c r="C912" s="359" t="s">
        <v>1365</v>
      </c>
      <c r="D912" s="359" t="s">
        <v>1366</v>
      </c>
      <c r="E912" s="360"/>
      <c r="F912" s="359" t="s">
        <v>1346</v>
      </c>
      <c r="G912" s="361">
        <v>1.6666666666666667E-5</v>
      </c>
      <c r="H912" s="359" t="s">
        <v>1539</v>
      </c>
      <c r="I912" s="361">
        <v>3.0353200883002206E-2</v>
      </c>
      <c r="J912" s="359" t="s">
        <v>1028</v>
      </c>
      <c r="K912" s="359" t="s">
        <v>1272</v>
      </c>
      <c r="M912" t="str">
        <f t="shared" si="15"/>
        <v>ETHENE</v>
      </c>
    </row>
    <row r="913" spans="1:13" ht="30" x14ac:dyDescent="0.25">
      <c r="A913" s="359" t="s">
        <v>1756</v>
      </c>
      <c r="B913" s="359" t="s">
        <v>761</v>
      </c>
      <c r="C913" s="359" t="s">
        <v>1367</v>
      </c>
      <c r="D913" s="359" t="s">
        <v>1368</v>
      </c>
      <c r="E913" s="360"/>
      <c r="F913" s="359" t="s">
        <v>1346</v>
      </c>
      <c r="G913" s="361">
        <v>1.6666666666666667E-5</v>
      </c>
      <c r="H913" s="359" t="s">
        <v>1758</v>
      </c>
      <c r="I913" s="361">
        <v>4.6909492273730686</v>
      </c>
      <c r="J913" s="359" t="s">
        <v>1367</v>
      </c>
      <c r="K913" s="359" t="s">
        <v>1272</v>
      </c>
      <c r="M913" t="str">
        <f t="shared" si="15"/>
        <v>ETHYLENE GLYCOL</v>
      </c>
    </row>
    <row r="914" spans="1:13" ht="30" x14ac:dyDescent="0.25">
      <c r="A914" s="359" t="s">
        <v>1756</v>
      </c>
      <c r="B914" s="359" t="s">
        <v>761</v>
      </c>
      <c r="C914" s="359" t="s">
        <v>1371</v>
      </c>
      <c r="D914" s="359" t="s">
        <v>1372</v>
      </c>
      <c r="E914" s="360"/>
      <c r="F914" s="359" t="s">
        <v>1346</v>
      </c>
      <c r="G914" s="361">
        <v>1.6666666666666667E-5</v>
      </c>
      <c r="H914" s="359" t="s">
        <v>1286</v>
      </c>
      <c r="I914" s="361">
        <v>0</v>
      </c>
      <c r="J914" s="359" t="s">
        <v>1371</v>
      </c>
      <c r="K914" s="359" t="s">
        <v>1272</v>
      </c>
      <c r="M914" t="str">
        <f t="shared" si="15"/>
        <v>HYDROGEN CYANIDE</v>
      </c>
    </row>
    <row r="915" spans="1:13" ht="30" x14ac:dyDescent="0.25">
      <c r="A915" s="359" t="s">
        <v>1756</v>
      </c>
      <c r="B915" s="359" t="s">
        <v>761</v>
      </c>
      <c r="C915" s="359" t="s">
        <v>1488</v>
      </c>
      <c r="D915" s="359" t="s">
        <v>1489</v>
      </c>
      <c r="E915" s="360"/>
      <c r="F915" s="359" t="s">
        <v>1346</v>
      </c>
      <c r="G915" s="361">
        <v>1.6666666666666667E-5</v>
      </c>
      <c r="H915" s="359" t="s">
        <v>1286</v>
      </c>
      <c r="I915" s="361">
        <v>0</v>
      </c>
      <c r="J915" s="359" t="s">
        <v>1490</v>
      </c>
      <c r="K915" s="359" t="s">
        <v>1272</v>
      </c>
      <c r="M915" t="str">
        <f t="shared" si="15"/>
        <v>HYDROFLUORIC ACID</v>
      </c>
    </row>
    <row r="916" spans="1:13" ht="30" x14ac:dyDescent="0.25">
      <c r="A916" s="359" t="s">
        <v>1756</v>
      </c>
      <c r="B916" s="359" t="s">
        <v>761</v>
      </c>
      <c r="C916" s="359" t="s">
        <v>1297</v>
      </c>
      <c r="D916" s="359" t="s">
        <v>1298</v>
      </c>
      <c r="E916" s="360"/>
      <c r="F916" s="359" t="s">
        <v>1346</v>
      </c>
      <c r="G916" s="361">
        <v>1.6666666666666667E-5</v>
      </c>
      <c r="H916" s="359" t="s">
        <v>1286</v>
      </c>
      <c r="I916" s="361">
        <v>0</v>
      </c>
      <c r="J916" s="359" t="s">
        <v>1297</v>
      </c>
      <c r="K916" s="359" t="s">
        <v>1272</v>
      </c>
      <c r="M916" t="str">
        <f t="shared" si="15"/>
        <v>LEAD AND LEAD COMPOUNDS</v>
      </c>
    </row>
    <row r="917" spans="1:13" ht="30" x14ac:dyDescent="0.25">
      <c r="A917" s="359" t="s">
        <v>1756</v>
      </c>
      <c r="B917" s="359" t="s">
        <v>761</v>
      </c>
      <c r="C917" s="359" t="s">
        <v>1300</v>
      </c>
      <c r="D917" s="359" t="s">
        <v>1301</v>
      </c>
      <c r="E917" s="360"/>
      <c r="F917" s="359" t="s">
        <v>1346</v>
      </c>
      <c r="G917" s="361">
        <v>1.6666666666666667E-5</v>
      </c>
      <c r="H917" s="359" t="s">
        <v>1286</v>
      </c>
      <c r="I917" s="361">
        <v>0</v>
      </c>
      <c r="J917" s="359" t="s">
        <v>1300</v>
      </c>
      <c r="K917" s="359" t="s">
        <v>1272</v>
      </c>
      <c r="M917" t="str">
        <f t="shared" si="15"/>
        <v>MERCURY AND MERCURY COMPOUNDS</v>
      </c>
    </row>
    <row r="918" spans="1:13" ht="30" x14ac:dyDescent="0.25">
      <c r="A918" s="359" t="s">
        <v>1756</v>
      </c>
      <c r="B918" s="359" t="s">
        <v>761</v>
      </c>
      <c r="C918" s="359" t="s">
        <v>1375</v>
      </c>
      <c r="D918" s="359" t="s">
        <v>1376</v>
      </c>
      <c r="E918" s="360"/>
      <c r="F918" s="359" t="s">
        <v>1346</v>
      </c>
      <c r="G918" s="361">
        <v>1.6666666666666667E-5</v>
      </c>
      <c r="H918" s="359" t="s">
        <v>1286</v>
      </c>
      <c r="I918" s="361">
        <v>0</v>
      </c>
      <c r="J918" s="359" t="s">
        <v>1375</v>
      </c>
      <c r="K918" s="359" t="s">
        <v>1272</v>
      </c>
      <c r="M918" t="str">
        <f t="shared" si="15"/>
        <v>METHANOL</v>
      </c>
    </row>
    <row r="919" spans="1:13" ht="30" x14ac:dyDescent="0.25">
      <c r="A919" s="359" t="s">
        <v>1756</v>
      </c>
      <c r="B919" s="359" t="s">
        <v>761</v>
      </c>
      <c r="C919" s="359" t="s">
        <v>1381</v>
      </c>
      <c r="D919" s="359" t="s">
        <v>1382</v>
      </c>
      <c r="E919" s="360"/>
      <c r="F919" s="359" t="s">
        <v>1346</v>
      </c>
      <c r="G919" s="361">
        <v>1.6666666666666667E-5</v>
      </c>
      <c r="H919" s="359" t="s">
        <v>1286</v>
      </c>
      <c r="I919" s="361">
        <v>0</v>
      </c>
      <c r="J919" s="359" t="s">
        <v>1381</v>
      </c>
      <c r="K919" s="359" t="s">
        <v>1272</v>
      </c>
      <c r="M919" t="str">
        <f t="shared" si="15"/>
        <v>MOLYBDENUM TRIOXIDE</v>
      </c>
    </row>
    <row r="920" spans="1:13" ht="30" x14ac:dyDescent="0.25">
      <c r="A920" s="359" t="s">
        <v>1756</v>
      </c>
      <c r="B920" s="359" t="s">
        <v>761</v>
      </c>
      <c r="C920" s="359" t="s">
        <v>1303</v>
      </c>
      <c r="D920" s="359" t="s">
        <v>1304</v>
      </c>
      <c r="E920" s="360"/>
      <c r="F920" s="359" t="s">
        <v>1346</v>
      </c>
      <c r="G920" s="361">
        <v>1.6666666666666667E-5</v>
      </c>
      <c r="H920" s="359" t="s">
        <v>1333</v>
      </c>
      <c r="I920" s="361">
        <v>2.7593818984547464E-3</v>
      </c>
      <c r="J920" s="359" t="s">
        <v>1303</v>
      </c>
      <c r="K920" s="359" t="s">
        <v>1272</v>
      </c>
      <c r="M920" t="str">
        <f t="shared" si="15"/>
        <v>NAPHTHALENE</v>
      </c>
    </row>
    <row r="921" spans="1:13" ht="30" x14ac:dyDescent="0.25">
      <c r="A921" s="359" t="s">
        <v>1756</v>
      </c>
      <c r="B921" s="359" t="s">
        <v>761</v>
      </c>
      <c r="C921" s="359" t="s">
        <v>1305</v>
      </c>
      <c r="D921" s="359" t="s">
        <v>1306</v>
      </c>
      <c r="E921" s="360"/>
      <c r="F921" s="359" t="s">
        <v>1346</v>
      </c>
      <c r="G921" s="361">
        <v>1.6666666666666667E-5</v>
      </c>
      <c r="H921" s="359" t="s">
        <v>1473</v>
      </c>
      <c r="I921" s="361">
        <v>8.2781456953642391E-3</v>
      </c>
      <c r="J921" s="359" t="s">
        <v>1305</v>
      </c>
      <c r="K921" s="359" t="s">
        <v>1272</v>
      </c>
      <c r="M921" t="str">
        <f t="shared" si="15"/>
        <v>N-HEXANE</v>
      </c>
    </row>
    <row r="922" spans="1:13" ht="30" x14ac:dyDescent="0.25">
      <c r="A922" s="359" t="s">
        <v>1756</v>
      </c>
      <c r="B922" s="359" t="s">
        <v>761</v>
      </c>
      <c r="C922" s="359" t="s">
        <v>1384</v>
      </c>
      <c r="D922" s="359" t="s">
        <v>1385</v>
      </c>
      <c r="E922" s="360"/>
      <c r="F922" s="359" t="s">
        <v>1346</v>
      </c>
      <c r="G922" s="361">
        <v>1.6666666666666667E-5</v>
      </c>
      <c r="H922" s="359" t="s">
        <v>1383</v>
      </c>
      <c r="I922" s="361">
        <v>5.2428256070640181E-2</v>
      </c>
      <c r="J922" s="359" t="s">
        <v>1384</v>
      </c>
      <c r="K922" s="359" t="s">
        <v>1272</v>
      </c>
      <c r="M922" t="str">
        <f t="shared" si="15"/>
        <v>NICKEL AND NICKEL COMPOUNDS</v>
      </c>
    </row>
    <row r="923" spans="1:13" ht="30" x14ac:dyDescent="0.25">
      <c r="A923" s="359" t="s">
        <v>1756</v>
      </c>
      <c r="B923" s="359" t="s">
        <v>761</v>
      </c>
      <c r="C923" s="359" t="s">
        <v>1311</v>
      </c>
      <c r="D923" s="359" t="s">
        <v>1312</v>
      </c>
      <c r="E923" s="361">
        <v>13290.2494331</v>
      </c>
      <c r="F923" s="359" t="s">
        <v>1346</v>
      </c>
      <c r="G923" s="361">
        <v>1.6666666666666667E-5</v>
      </c>
      <c r="H923" s="359" t="s">
        <v>490</v>
      </c>
      <c r="I923" s="361">
        <v>6.068607047077625E-4</v>
      </c>
      <c r="J923" s="359" t="s">
        <v>1313</v>
      </c>
      <c r="K923" s="359" t="s">
        <v>1277</v>
      </c>
      <c r="M923" t="str">
        <f t="shared" si="15"/>
        <v>AMMONIA</v>
      </c>
    </row>
    <row r="924" spans="1:13" ht="30" x14ac:dyDescent="0.25">
      <c r="A924" s="359" t="s">
        <v>1756</v>
      </c>
      <c r="B924" s="359" t="s">
        <v>761</v>
      </c>
      <c r="C924" s="359" t="s">
        <v>1510</v>
      </c>
      <c r="D924" s="359" t="s">
        <v>1505</v>
      </c>
      <c r="E924" s="361">
        <v>10964.951374300001</v>
      </c>
      <c r="F924" s="359" t="s">
        <v>1346</v>
      </c>
      <c r="G924" s="361">
        <v>1.6666666666666667E-5</v>
      </c>
      <c r="H924" s="359" t="s">
        <v>490</v>
      </c>
      <c r="I924" s="361">
        <v>5.0068271115525113E-4</v>
      </c>
      <c r="J924" s="359" t="s">
        <v>1506</v>
      </c>
      <c r="K924" s="359" t="s">
        <v>1277</v>
      </c>
      <c r="M924" t="str">
        <f t="shared" si="15"/>
        <v>NITROGEN</v>
      </c>
    </row>
    <row r="925" spans="1:13" ht="30" x14ac:dyDescent="0.25">
      <c r="A925" s="359" t="s">
        <v>1756</v>
      </c>
      <c r="B925" s="359" t="s">
        <v>761</v>
      </c>
      <c r="C925" s="359" t="s">
        <v>1341</v>
      </c>
      <c r="D925" s="359" t="s">
        <v>490</v>
      </c>
      <c r="E925" s="361">
        <v>27986.770450110002</v>
      </c>
      <c r="F925" s="359" t="s">
        <v>1346</v>
      </c>
      <c r="G925" s="361">
        <v>1.6666666666666667E-5</v>
      </c>
      <c r="H925" s="359" t="s">
        <v>490</v>
      </c>
      <c r="I925" s="361">
        <v>1.2779347237493151E-3</v>
      </c>
      <c r="J925" s="359" t="s">
        <v>1341</v>
      </c>
      <c r="K925" s="359" t="s">
        <v>1277</v>
      </c>
      <c r="M925" t="str">
        <f t="shared" si="15"/>
        <v>Oil &amp; grease</v>
      </c>
    </row>
    <row r="926" spans="1:13" ht="30" x14ac:dyDescent="0.25">
      <c r="A926" s="359" t="s">
        <v>1756</v>
      </c>
      <c r="B926" s="359" t="s">
        <v>761</v>
      </c>
      <c r="C926" s="359" t="s">
        <v>1457</v>
      </c>
      <c r="D926" s="359" t="s">
        <v>490</v>
      </c>
      <c r="E926" s="361">
        <v>130575.51020400001</v>
      </c>
      <c r="F926" s="359" t="s">
        <v>1346</v>
      </c>
      <c r="G926" s="361">
        <v>1.6666666666666667E-5</v>
      </c>
      <c r="H926" s="359" t="s">
        <v>490</v>
      </c>
      <c r="I926" s="361">
        <v>5.9623520641095889E-3</v>
      </c>
      <c r="J926" s="359" t="s">
        <v>1457</v>
      </c>
      <c r="K926" s="359" t="s">
        <v>1277</v>
      </c>
      <c r="M926" t="str">
        <f t="shared" si="15"/>
        <v>Chemical Oxygen Demand (COD)</v>
      </c>
    </row>
    <row r="927" spans="1:13" ht="30" x14ac:dyDescent="0.25">
      <c r="A927" s="359" t="s">
        <v>1756</v>
      </c>
      <c r="B927" s="359" t="s">
        <v>761</v>
      </c>
      <c r="C927" s="359" t="s">
        <v>1388</v>
      </c>
      <c r="D927" s="359" t="s">
        <v>1389</v>
      </c>
      <c r="E927" s="360"/>
      <c r="F927" s="359" t="s">
        <v>1346</v>
      </c>
      <c r="G927" s="361">
        <v>1.6666666666666667E-5</v>
      </c>
      <c r="H927" s="359" t="s">
        <v>1286</v>
      </c>
      <c r="I927" s="361">
        <v>0</v>
      </c>
      <c r="J927" s="359" t="s">
        <v>1388</v>
      </c>
      <c r="K927" s="359" t="s">
        <v>1272</v>
      </c>
      <c r="M927" t="str">
        <f t="shared" si="15"/>
        <v>PHENANTHRENE</v>
      </c>
    </row>
    <row r="928" spans="1:13" ht="30" x14ac:dyDescent="0.25">
      <c r="A928" s="359" t="s">
        <v>1756</v>
      </c>
      <c r="B928" s="359" t="s">
        <v>761</v>
      </c>
      <c r="C928" s="359" t="s">
        <v>1315</v>
      </c>
      <c r="D928" s="359" t="s">
        <v>1316</v>
      </c>
      <c r="E928" s="360"/>
      <c r="F928" s="359" t="s">
        <v>1346</v>
      </c>
      <c r="G928" s="361">
        <v>1.6666666666666667E-5</v>
      </c>
      <c r="H928" s="359" t="s">
        <v>1692</v>
      </c>
      <c r="I928" s="361">
        <v>4.4150110375275942E-2</v>
      </c>
      <c r="J928" s="359" t="s">
        <v>1315</v>
      </c>
      <c r="K928" s="359" t="s">
        <v>1272</v>
      </c>
      <c r="M928" t="str">
        <f t="shared" si="15"/>
        <v>PHENOL</v>
      </c>
    </row>
    <row r="929" spans="1:13" ht="30" x14ac:dyDescent="0.25">
      <c r="A929" s="359" t="s">
        <v>1756</v>
      </c>
      <c r="B929" s="359" t="s">
        <v>761</v>
      </c>
      <c r="C929" s="359" t="s">
        <v>1482</v>
      </c>
      <c r="D929" s="359" t="s">
        <v>490</v>
      </c>
      <c r="E929" s="361">
        <v>24.140589569199999</v>
      </c>
      <c r="F929" s="359" t="s">
        <v>1346</v>
      </c>
      <c r="G929" s="361">
        <v>1.6666666666666667E-5</v>
      </c>
      <c r="H929" s="359" t="s">
        <v>490</v>
      </c>
      <c r="I929" s="361">
        <v>1.1023100259908675E-6</v>
      </c>
      <c r="J929" s="359" t="s">
        <v>1482</v>
      </c>
      <c r="K929" s="359" t="s">
        <v>1277</v>
      </c>
      <c r="M929" t="str">
        <f t="shared" si="15"/>
        <v>Phenols</v>
      </c>
    </row>
    <row r="930" spans="1:13" ht="30" x14ac:dyDescent="0.25">
      <c r="A930" s="359" t="s">
        <v>1756</v>
      </c>
      <c r="B930" s="359" t="s">
        <v>761</v>
      </c>
      <c r="C930" s="359" t="s">
        <v>1319</v>
      </c>
      <c r="D930" s="359" t="s">
        <v>1320</v>
      </c>
      <c r="E930" s="360"/>
      <c r="F930" s="359" t="s">
        <v>1346</v>
      </c>
      <c r="G930" s="361">
        <v>1.6666666666666667E-5</v>
      </c>
      <c r="H930" s="359" t="s">
        <v>1286</v>
      </c>
      <c r="I930" s="361">
        <v>0</v>
      </c>
      <c r="J930" s="359" t="s">
        <v>1319</v>
      </c>
      <c r="K930" s="359" t="s">
        <v>1272</v>
      </c>
      <c r="M930" t="str">
        <f t="shared" si="15"/>
        <v>POLYCYCLIC AROMATIC COMPOUNDS</v>
      </c>
    </row>
    <row r="931" spans="1:13" ht="30" x14ac:dyDescent="0.25">
      <c r="A931" s="359" t="s">
        <v>1756</v>
      </c>
      <c r="B931" s="359" t="s">
        <v>761</v>
      </c>
      <c r="C931" s="359" t="s">
        <v>1425</v>
      </c>
      <c r="D931" s="359" t="s">
        <v>1426</v>
      </c>
      <c r="E931" s="360"/>
      <c r="F931" s="359" t="s">
        <v>1346</v>
      </c>
      <c r="G931" s="361">
        <v>1.6666666666666667E-5</v>
      </c>
      <c r="H931" s="359" t="s">
        <v>1412</v>
      </c>
      <c r="I931" s="361">
        <v>1.1037527593818985E-2</v>
      </c>
      <c r="J931" s="359" t="s">
        <v>1425</v>
      </c>
      <c r="K931" s="359" t="s">
        <v>1272</v>
      </c>
      <c r="M931" t="str">
        <f t="shared" si="15"/>
        <v>PROPYLENE</v>
      </c>
    </row>
    <row r="932" spans="1:13" ht="30" x14ac:dyDescent="0.25">
      <c r="A932" s="359" t="s">
        <v>1756</v>
      </c>
      <c r="B932" s="359" t="s">
        <v>761</v>
      </c>
      <c r="C932" s="359" t="s">
        <v>1323</v>
      </c>
      <c r="D932" s="359" t="s">
        <v>1324</v>
      </c>
      <c r="E932" s="361">
        <v>145.08390022699999</v>
      </c>
      <c r="F932" s="359" t="s">
        <v>1346</v>
      </c>
      <c r="G932" s="361">
        <v>1.6666666666666667E-5</v>
      </c>
      <c r="H932" s="359" t="s">
        <v>490</v>
      </c>
      <c r="I932" s="361">
        <v>6.6248356268036521E-6</v>
      </c>
      <c r="J932" s="359" t="s">
        <v>1323</v>
      </c>
      <c r="K932" s="359" t="s">
        <v>1277</v>
      </c>
      <c r="M932" t="str">
        <f t="shared" si="15"/>
        <v>Sulfide, total (as S)</v>
      </c>
    </row>
    <row r="933" spans="1:13" ht="30" x14ac:dyDescent="0.25">
      <c r="A933" s="359" t="s">
        <v>1756</v>
      </c>
      <c r="B933" s="359" t="s">
        <v>761</v>
      </c>
      <c r="C933" s="359" t="s">
        <v>1325</v>
      </c>
      <c r="D933" s="359" t="s">
        <v>1326</v>
      </c>
      <c r="E933" s="360"/>
      <c r="F933" s="359" t="s">
        <v>1346</v>
      </c>
      <c r="G933" s="361">
        <v>1.6666666666666667E-5</v>
      </c>
      <c r="H933" s="359" t="s">
        <v>1412</v>
      </c>
      <c r="I933" s="361">
        <v>1.1037527593818985E-2</v>
      </c>
      <c r="J933" s="359" t="s">
        <v>1325</v>
      </c>
      <c r="K933" s="359" t="s">
        <v>1272</v>
      </c>
      <c r="M933" t="str">
        <f t="shared" si="15"/>
        <v>TOLUENE</v>
      </c>
    </row>
    <row r="934" spans="1:13" ht="30" x14ac:dyDescent="0.25">
      <c r="A934" s="359" t="s">
        <v>1756</v>
      </c>
      <c r="B934" s="359" t="s">
        <v>761</v>
      </c>
      <c r="C934" s="359" t="s">
        <v>1495</v>
      </c>
      <c r="D934" s="359" t="s">
        <v>1465</v>
      </c>
      <c r="E934" s="360"/>
      <c r="F934" s="359" t="s">
        <v>1346</v>
      </c>
      <c r="G934" s="361">
        <v>1.6666666666666667E-5</v>
      </c>
      <c r="H934" s="359" t="s">
        <v>1521</v>
      </c>
      <c r="I934" s="361">
        <v>0.38631346578366449</v>
      </c>
      <c r="J934" s="359" t="s">
        <v>1495</v>
      </c>
      <c r="K934" s="359" t="s">
        <v>1272</v>
      </c>
      <c r="M934" t="str">
        <f t="shared" si="15"/>
        <v>VANADIUM AND VANADIUM COMPOUNDS</v>
      </c>
    </row>
    <row r="935" spans="1:13" ht="30" x14ac:dyDescent="0.25">
      <c r="A935" s="359" t="s">
        <v>1756</v>
      </c>
      <c r="B935" s="359" t="s">
        <v>761</v>
      </c>
      <c r="C935" s="359" t="s">
        <v>1327</v>
      </c>
      <c r="D935" s="359" t="s">
        <v>1328</v>
      </c>
      <c r="E935" s="360"/>
      <c r="F935" s="359" t="s">
        <v>1346</v>
      </c>
      <c r="G935" s="361">
        <v>1.6666666666666667E-5</v>
      </c>
      <c r="H935" s="359" t="s">
        <v>1275</v>
      </c>
      <c r="I935" s="361">
        <v>1.9315673289183224E-2</v>
      </c>
      <c r="J935" s="359" t="s">
        <v>1329</v>
      </c>
      <c r="K935" s="359" t="s">
        <v>1272</v>
      </c>
      <c r="M935" t="str">
        <f t="shared" si="15"/>
        <v>XYLENES</v>
      </c>
    </row>
    <row r="936" spans="1:13" ht="30" x14ac:dyDescent="0.25">
      <c r="A936" s="359" t="s">
        <v>1759</v>
      </c>
      <c r="B936" s="359" t="s">
        <v>748</v>
      </c>
      <c r="C936" s="359" t="s">
        <v>1349</v>
      </c>
      <c r="D936" s="359" t="s">
        <v>1350</v>
      </c>
      <c r="E936" s="360"/>
      <c r="F936" s="359" t="s">
        <v>1346</v>
      </c>
      <c r="G936" s="361">
        <v>3.105107902499612E-6</v>
      </c>
      <c r="H936" s="359" t="s">
        <v>1334</v>
      </c>
      <c r="I936" s="361">
        <v>5.6549978356781026E-4</v>
      </c>
      <c r="J936" s="359" t="s">
        <v>1349</v>
      </c>
      <c r="K936" s="359" t="s">
        <v>1272</v>
      </c>
      <c r="M936" t="str">
        <f t="shared" si="15"/>
        <v>ANTHRACENE</v>
      </c>
    </row>
    <row r="937" spans="1:13" ht="30" x14ac:dyDescent="0.25">
      <c r="A937" s="359" t="s">
        <v>1759</v>
      </c>
      <c r="B937" s="359" t="s">
        <v>748</v>
      </c>
      <c r="C937" s="359" t="s">
        <v>1702</v>
      </c>
      <c r="D937" s="359" t="s">
        <v>1430</v>
      </c>
      <c r="E937" s="360"/>
      <c r="F937" s="359" t="s">
        <v>1346</v>
      </c>
      <c r="G937" s="361">
        <v>3.105107902499612E-6</v>
      </c>
      <c r="H937" s="359" t="s">
        <v>1760</v>
      </c>
      <c r="I937" s="361">
        <v>1.2029722668624323</v>
      </c>
      <c r="J937" s="359" t="s">
        <v>1702</v>
      </c>
      <c r="K937" s="359" t="s">
        <v>1272</v>
      </c>
      <c r="M937" t="str">
        <f t="shared" si="15"/>
        <v>BARIUM AND BARIUM COMPOUNDS</v>
      </c>
    </row>
    <row r="938" spans="1:13" ht="30" x14ac:dyDescent="0.25">
      <c r="A938" s="359" t="s">
        <v>1759</v>
      </c>
      <c r="B938" s="359" t="s">
        <v>748</v>
      </c>
      <c r="C938" s="359" t="s">
        <v>1273</v>
      </c>
      <c r="D938" s="359" t="s">
        <v>1274</v>
      </c>
      <c r="E938" s="360"/>
      <c r="F938" s="359" t="s">
        <v>1346</v>
      </c>
      <c r="G938" s="361">
        <v>3.105107902499612E-6</v>
      </c>
      <c r="H938" s="359" t="s">
        <v>1683</v>
      </c>
      <c r="I938" s="361">
        <v>2.3134082055046778E-3</v>
      </c>
      <c r="J938" s="359" t="s">
        <v>1273</v>
      </c>
      <c r="K938" s="359" t="s">
        <v>1272</v>
      </c>
      <c r="M938" t="str">
        <f t="shared" si="15"/>
        <v>BENZENE</v>
      </c>
    </row>
    <row r="939" spans="1:13" ht="30" x14ac:dyDescent="0.25">
      <c r="A939" s="359" t="s">
        <v>1759</v>
      </c>
      <c r="B939" s="359" t="s">
        <v>748</v>
      </c>
      <c r="C939" s="359" t="s">
        <v>1352</v>
      </c>
      <c r="D939" s="359" t="s">
        <v>1353</v>
      </c>
      <c r="E939" s="360"/>
      <c r="F939" s="359" t="s">
        <v>1346</v>
      </c>
      <c r="G939" s="361">
        <v>3.105107902499612E-6</v>
      </c>
      <c r="H939" s="359" t="s">
        <v>1761</v>
      </c>
      <c r="I939" s="361">
        <v>4.8324526959431045E-3</v>
      </c>
      <c r="J939" s="359" t="s">
        <v>1352</v>
      </c>
      <c r="K939" s="359" t="s">
        <v>1272</v>
      </c>
      <c r="M939" t="str">
        <f t="shared" si="15"/>
        <v>BENZO(G,H,I)PERYLENE</v>
      </c>
    </row>
    <row r="940" spans="1:13" ht="30" x14ac:dyDescent="0.25">
      <c r="A940" s="359" t="s">
        <v>1759</v>
      </c>
      <c r="B940" s="359" t="s">
        <v>748</v>
      </c>
      <c r="C940" s="359" t="s">
        <v>1276</v>
      </c>
      <c r="D940" s="359" t="s">
        <v>490</v>
      </c>
      <c r="E940" s="361">
        <v>757</v>
      </c>
      <c r="F940" s="359" t="s">
        <v>1346</v>
      </c>
      <c r="G940" s="361">
        <v>3.105107902499612E-6</v>
      </c>
      <c r="H940" s="359" t="s">
        <v>490</v>
      </c>
      <c r="I940" s="361">
        <v>6.4399087183348114E-6</v>
      </c>
      <c r="J940" s="359" t="s">
        <v>1276</v>
      </c>
      <c r="K940" s="359" t="s">
        <v>1277</v>
      </c>
      <c r="M940" t="str">
        <f t="shared" si="15"/>
        <v>BOD, 5-day, 20 deg. C</v>
      </c>
    </row>
    <row r="941" spans="1:13" ht="30" x14ac:dyDescent="0.25">
      <c r="A941" s="359" t="s">
        <v>1759</v>
      </c>
      <c r="B941" s="359" t="s">
        <v>748</v>
      </c>
      <c r="C941" s="359" t="s">
        <v>1457</v>
      </c>
      <c r="D941" s="359" t="s">
        <v>490</v>
      </c>
      <c r="E941" s="361">
        <v>298189</v>
      </c>
      <c r="F941" s="359" t="s">
        <v>1346</v>
      </c>
      <c r="G941" s="361">
        <v>3.105107902499612E-6</v>
      </c>
      <c r="H941" s="359" t="s">
        <v>490</v>
      </c>
      <c r="I941" s="361">
        <v>2.5367370420231691E-3</v>
      </c>
      <c r="J941" s="359" t="s">
        <v>1457</v>
      </c>
      <c r="K941" s="359" t="s">
        <v>1277</v>
      </c>
      <c r="M941" t="str">
        <f t="shared" si="15"/>
        <v>Chemical Oxygen Demand (COD)</v>
      </c>
    </row>
    <row r="942" spans="1:13" ht="30" x14ac:dyDescent="0.25">
      <c r="A942" s="359" t="s">
        <v>1759</v>
      </c>
      <c r="B942" s="359" t="s">
        <v>748</v>
      </c>
      <c r="C942" s="359" t="s">
        <v>1437</v>
      </c>
      <c r="D942" s="359" t="s">
        <v>1438</v>
      </c>
      <c r="E942" s="360"/>
      <c r="F942" s="359" t="s">
        <v>1346</v>
      </c>
      <c r="G942" s="361">
        <v>3.105107902499612E-6</v>
      </c>
      <c r="H942" s="359" t="s">
        <v>1290</v>
      </c>
      <c r="I942" s="361">
        <v>1.1309995671356203E-2</v>
      </c>
      <c r="J942" s="359" t="s">
        <v>1437</v>
      </c>
      <c r="K942" s="359" t="s">
        <v>1272</v>
      </c>
      <c r="M942" t="str">
        <f t="shared" si="15"/>
        <v>CHROMIUM AND CHROMIUM COMPOUNDS</v>
      </c>
    </row>
    <row r="943" spans="1:13" ht="30" x14ac:dyDescent="0.25">
      <c r="A943" s="359" t="s">
        <v>1759</v>
      </c>
      <c r="B943" s="359" t="s">
        <v>748</v>
      </c>
      <c r="C943" s="359" t="s">
        <v>1280</v>
      </c>
      <c r="D943" s="359" t="s">
        <v>1281</v>
      </c>
      <c r="E943" s="361">
        <v>0.34</v>
      </c>
      <c r="F943" s="359" t="s">
        <v>1346</v>
      </c>
      <c r="G943" s="361">
        <v>3.105107902499612E-6</v>
      </c>
      <c r="H943" s="359" t="s">
        <v>490</v>
      </c>
      <c r="I943" s="361">
        <v>2.8924292790407346E-9</v>
      </c>
      <c r="J943" s="359" t="s">
        <v>1280</v>
      </c>
      <c r="K943" s="359" t="s">
        <v>1277</v>
      </c>
      <c r="M943" t="str">
        <f t="shared" si="15"/>
        <v>Chromium, hexavalent (as Cr)</v>
      </c>
    </row>
    <row r="944" spans="1:13" ht="30" x14ac:dyDescent="0.25">
      <c r="A944" s="359" t="s">
        <v>1759</v>
      </c>
      <c r="B944" s="359" t="s">
        <v>748</v>
      </c>
      <c r="C944" s="359" t="s">
        <v>1282</v>
      </c>
      <c r="D944" s="359" t="s">
        <v>1283</v>
      </c>
      <c r="E944" s="361">
        <v>0</v>
      </c>
      <c r="F944" s="359" t="s">
        <v>1346</v>
      </c>
      <c r="G944" s="361">
        <v>3.105107902499612E-6</v>
      </c>
      <c r="H944" s="359" t="s">
        <v>490</v>
      </c>
      <c r="I944" s="361">
        <v>0</v>
      </c>
      <c r="J944" s="359" t="s">
        <v>1282</v>
      </c>
      <c r="K944" s="359" t="s">
        <v>1277</v>
      </c>
      <c r="M944" t="str">
        <f t="shared" si="15"/>
        <v>Chromium, total (as Cr)</v>
      </c>
    </row>
    <row r="945" spans="1:13" ht="30" x14ac:dyDescent="0.25">
      <c r="A945" s="359" t="s">
        <v>1759</v>
      </c>
      <c r="B945" s="359" t="s">
        <v>748</v>
      </c>
      <c r="C945" s="359" t="s">
        <v>1485</v>
      </c>
      <c r="D945" s="359" t="s">
        <v>1486</v>
      </c>
      <c r="E945" s="360"/>
      <c r="F945" s="359" t="s">
        <v>1346</v>
      </c>
      <c r="G945" s="361">
        <v>3.105107902499612E-6</v>
      </c>
      <c r="H945" s="359" t="s">
        <v>1290</v>
      </c>
      <c r="I945" s="361">
        <v>1.1309995671356203E-2</v>
      </c>
      <c r="J945" s="359" t="s">
        <v>1485</v>
      </c>
      <c r="K945" s="359" t="s">
        <v>1272</v>
      </c>
      <c r="M945" t="str">
        <f t="shared" si="15"/>
        <v>COBALT AND COBALT COMPOUNDS</v>
      </c>
    </row>
    <row r="946" spans="1:13" ht="30" x14ac:dyDescent="0.25">
      <c r="A946" s="359" t="s">
        <v>1759</v>
      </c>
      <c r="B946" s="359" t="s">
        <v>748</v>
      </c>
      <c r="C946" s="359" t="s">
        <v>1440</v>
      </c>
      <c r="D946" s="359" t="s">
        <v>1441</v>
      </c>
      <c r="E946" s="360"/>
      <c r="F946" s="359" t="s">
        <v>1346</v>
      </c>
      <c r="G946" s="361">
        <v>3.105107902499612E-6</v>
      </c>
      <c r="H946" s="359" t="s">
        <v>1582</v>
      </c>
      <c r="I946" s="361">
        <v>2.313408205504678E-2</v>
      </c>
      <c r="J946" s="359" t="s">
        <v>1440</v>
      </c>
      <c r="K946" s="359" t="s">
        <v>1272</v>
      </c>
      <c r="M946" t="str">
        <f t="shared" si="15"/>
        <v>COPPER AND COPPER COMPOUNDS</v>
      </c>
    </row>
    <row r="947" spans="1:13" ht="30" x14ac:dyDescent="0.25">
      <c r="A947" s="359" t="s">
        <v>1759</v>
      </c>
      <c r="B947" s="359" t="s">
        <v>748</v>
      </c>
      <c r="C947" s="359" t="s">
        <v>1288</v>
      </c>
      <c r="D947" s="359" t="s">
        <v>1289</v>
      </c>
      <c r="E947" s="360"/>
      <c r="F947" s="359" t="s">
        <v>1346</v>
      </c>
      <c r="G947" s="361">
        <v>3.105107902499612E-6</v>
      </c>
      <c r="H947" s="359" t="s">
        <v>1474</v>
      </c>
      <c r="I947" s="361">
        <v>9.2536328220187113E-3</v>
      </c>
      <c r="J947" s="359" t="s">
        <v>1288</v>
      </c>
      <c r="K947" s="359" t="s">
        <v>1272</v>
      </c>
      <c r="M947" t="str">
        <f t="shared" si="15"/>
        <v>CYANIDE COMPOUNDS</v>
      </c>
    </row>
    <row r="948" spans="1:13" ht="30" x14ac:dyDescent="0.25">
      <c r="A948" s="359" t="s">
        <v>1759</v>
      </c>
      <c r="B948" s="359" t="s">
        <v>748</v>
      </c>
      <c r="C948" s="359" t="s">
        <v>1295</v>
      </c>
      <c r="D948" s="359" t="s">
        <v>1296</v>
      </c>
      <c r="E948" s="360"/>
      <c r="F948" s="359" t="s">
        <v>1346</v>
      </c>
      <c r="G948" s="361">
        <v>3.105107902499612E-6</v>
      </c>
      <c r="H948" s="359" t="s">
        <v>1683</v>
      </c>
      <c r="I948" s="361">
        <v>2.3134082055046778E-3</v>
      </c>
      <c r="J948" s="359" t="s">
        <v>1295</v>
      </c>
      <c r="K948" s="359" t="s">
        <v>1272</v>
      </c>
      <c r="M948" t="str">
        <f t="shared" si="15"/>
        <v>ETHYLBENZENE</v>
      </c>
    </row>
    <row r="949" spans="1:13" ht="30" x14ac:dyDescent="0.25">
      <c r="A949" s="359" t="s">
        <v>1759</v>
      </c>
      <c r="B949" s="359" t="s">
        <v>748</v>
      </c>
      <c r="C949" s="359" t="s">
        <v>1297</v>
      </c>
      <c r="D949" s="359" t="s">
        <v>1298</v>
      </c>
      <c r="E949" s="360"/>
      <c r="F949" s="359" t="s">
        <v>1346</v>
      </c>
      <c r="G949" s="361">
        <v>3.105107902499612E-6</v>
      </c>
      <c r="H949" s="359" t="s">
        <v>1290</v>
      </c>
      <c r="I949" s="361">
        <v>1.1309995671356203E-2</v>
      </c>
      <c r="J949" s="359" t="s">
        <v>1297</v>
      </c>
      <c r="K949" s="359" t="s">
        <v>1272</v>
      </c>
      <c r="M949" t="str">
        <f t="shared" si="15"/>
        <v>LEAD AND LEAD COMPOUNDS</v>
      </c>
    </row>
    <row r="950" spans="1:13" ht="30" x14ac:dyDescent="0.25">
      <c r="A950" s="359" t="s">
        <v>1759</v>
      </c>
      <c r="B950" s="359" t="s">
        <v>748</v>
      </c>
      <c r="C950" s="359" t="s">
        <v>1447</v>
      </c>
      <c r="D950" s="359" t="s">
        <v>1448</v>
      </c>
      <c r="E950" s="360"/>
      <c r="F950" s="359" t="s">
        <v>1346</v>
      </c>
      <c r="G950" s="361">
        <v>3.105107902499612E-6</v>
      </c>
      <c r="H950" s="359" t="s">
        <v>1762</v>
      </c>
      <c r="I950" s="361">
        <v>0.11567041027523391</v>
      </c>
      <c r="J950" s="359" t="s">
        <v>1447</v>
      </c>
      <c r="K950" s="359" t="s">
        <v>1272</v>
      </c>
      <c r="M950" t="str">
        <f t="shared" si="15"/>
        <v>MANGANESE AND MANGANESE COMPOUNDS</v>
      </c>
    </row>
    <row r="951" spans="1:13" ht="30" x14ac:dyDescent="0.25">
      <c r="A951" s="359" t="s">
        <v>1759</v>
      </c>
      <c r="B951" s="359" t="s">
        <v>748</v>
      </c>
      <c r="C951" s="359" t="s">
        <v>1300</v>
      </c>
      <c r="D951" s="359" t="s">
        <v>1301</v>
      </c>
      <c r="E951" s="360"/>
      <c r="F951" s="359" t="s">
        <v>1346</v>
      </c>
      <c r="G951" s="361">
        <v>3.105107902499612E-6</v>
      </c>
      <c r="H951" s="359" t="s">
        <v>1299</v>
      </c>
      <c r="I951" s="361">
        <v>5.1409071233437289E-5</v>
      </c>
      <c r="J951" s="359" t="s">
        <v>1300</v>
      </c>
      <c r="K951" s="359" t="s">
        <v>1272</v>
      </c>
      <c r="M951" t="str">
        <f t="shared" si="15"/>
        <v>MERCURY AND MERCURY COMPOUNDS</v>
      </c>
    </row>
    <row r="952" spans="1:13" ht="30" x14ac:dyDescent="0.25">
      <c r="A952" s="359" t="s">
        <v>1759</v>
      </c>
      <c r="B952" s="359" t="s">
        <v>748</v>
      </c>
      <c r="C952" s="359" t="s">
        <v>1468</v>
      </c>
      <c r="D952" s="359" t="s">
        <v>1459</v>
      </c>
      <c r="E952" s="361">
        <v>2.369257843E-2</v>
      </c>
      <c r="F952" s="359" t="s">
        <v>1346</v>
      </c>
      <c r="G952" s="361">
        <v>3.105107902499612E-6</v>
      </c>
      <c r="H952" s="359" t="s">
        <v>490</v>
      </c>
      <c r="I952" s="361">
        <v>2.0155619866735574E-10</v>
      </c>
      <c r="J952" s="359" t="s">
        <v>1468</v>
      </c>
      <c r="K952" s="359" t="s">
        <v>1277</v>
      </c>
      <c r="M952" t="str">
        <f t="shared" si="15"/>
        <v>Mercury, total (as Hg)</v>
      </c>
    </row>
    <row r="953" spans="1:13" ht="30" x14ac:dyDescent="0.25">
      <c r="A953" s="359" t="s">
        <v>1759</v>
      </c>
      <c r="B953" s="359" t="s">
        <v>748</v>
      </c>
      <c r="C953" s="359" t="s">
        <v>1303</v>
      </c>
      <c r="D953" s="359" t="s">
        <v>1304</v>
      </c>
      <c r="E953" s="360"/>
      <c r="F953" s="359" t="s">
        <v>1346</v>
      </c>
      <c r="G953" s="361">
        <v>3.105107902499612E-6</v>
      </c>
      <c r="H953" s="359" t="s">
        <v>1763</v>
      </c>
      <c r="I953" s="361">
        <v>8.7395421096843383E-4</v>
      </c>
      <c r="J953" s="359" t="s">
        <v>1303</v>
      </c>
      <c r="K953" s="359" t="s">
        <v>1272</v>
      </c>
      <c r="M953" t="str">
        <f t="shared" si="15"/>
        <v>NAPHTHALENE</v>
      </c>
    </row>
    <row r="954" spans="1:13" ht="30" x14ac:dyDescent="0.25">
      <c r="A954" s="359" t="s">
        <v>1759</v>
      </c>
      <c r="B954" s="359" t="s">
        <v>748</v>
      </c>
      <c r="C954" s="359" t="s">
        <v>1384</v>
      </c>
      <c r="D954" s="359" t="s">
        <v>1385</v>
      </c>
      <c r="E954" s="360"/>
      <c r="F954" s="359" t="s">
        <v>1346</v>
      </c>
      <c r="G954" s="361">
        <v>3.105107902499612E-6</v>
      </c>
      <c r="H954" s="359" t="s">
        <v>1290</v>
      </c>
      <c r="I954" s="361">
        <v>1.1309995671356203E-2</v>
      </c>
      <c r="J954" s="359" t="s">
        <v>1384</v>
      </c>
      <c r="K954" s="359" t="s">
        <v>1272</v>
      </c>
      <c r="M954" t="str">
        <f t="shared" si="15"/>
        <v>NICKEL AND NICKEL COMPOUNDS</v>
      </c>
    </row>
    <row r="955" spans="1:13" ht="30" x14ac:dyDescent="0.25">
      <c r="A955" s="359" t="s">
        <v>1759</v>
      </c>
      <c r="B955" s="359" t="s">
        <v>748</v>
      </c>
      <c r="C955" s="359" t="s">
        <v>1307</v>
      </c>
      <c r="D955" s="359" t="s">
        <v>1308</v>
      </c>
      <c r="E955" s="360"/>
      <c r="F955" s="359" t="s">
        <v>1346</v>
      </c>
      <c r="G955" s="361">
        <v>3.105107902499612E-6</v>
      </c>
      <c r="H955" s="359" t="s">
        <v>1764</v>
      </c>
      <c r="I955" s="361">
        <v>321.14218618103604</v>
      </c>
      <c r="J955" s="359" t="s">
        <v>1310</v>
      </c>
      <c r="K955" s="359" t="s">
        <v>1272</v>
      </c>
      <c r="M955" t="str">
        <f t="shared" si="15"/>
        <v>NITRATE</v>
      </c>
    </row>
    <row r="956" spans="1:13" ht="30" x14ac:dyDescent="0.25">
      <c r="A956" s="359" t="s">
        <v>1759</v>
      </c>
      <c r="B956" s="359" t="s">
        <v>748</v>
      </c>
      <c r="C956" s="359" t="s">
        <v>1311</v>
      </c>
      <c r="D956" s="359" t="s">
        <v>1312</v>
      </c>
      <c r="E956" s="361">
        <v>882.1</v>
      </c>
      <c r="F956" s="359" t="s">
        <v>1346</v>
      </c>
      <c r="G956" s="361">
        <v>3.105107902499612E-6</v>
      </c>
      <c r="H956" s="359" t="s">
        <v>490</v>
      </c>
      <c r="I956" s="361">
        <v>7.5041525501230342E-6</v>
      </c>
      <c r="J956" s="359" t="s">
        <v>1313</v>
      </c>
      <c r="K956" s="359" t="s">
        <v>1277</v>
      </c>
      <c r="M956" t="str">
        <f t="shared" si="15"/>
        <v>AMMONIA</v>
      </c>
    </row>
    <row r="957" spans="1:13" ht="30" x14ac:dyDescent="0.25">
      <c r="A957" s="359" t="s">
        <v>1759</v>
      </c>
      <c r="B957" s="359" t="s">
        <v>748</v>
      </c>
      <c r="C957" s="359" t="s">
        <v>1765</v>
      </c>
      <c r="D957" s="359" t="s">
        <v>1312</v>
      </c>
      <c r="E957" s="361">
        <v>4.106725</v>
      </c>
      <c r="F957" s="359" t="s">
        <v>1346</v>
      </c>
      <c r="G957" s="361">
        <v>3.105107902499612E-6</v>
      </c>
      <c r="H957" s="359" t="s">
        <v>490</v>
      </c>
      <c r="I957" s="361">
        <v>3.493650479696635E-8</v>
      </c>
      <c r="J957" s="359" t="s">
        <v>1313</v>
      </c>
      <c r="K957" s="359" t="s">
        <v>1277</v>
      </c>
      <c r="M957" t="str">
        <f t="shared" si="15"/>
        <v>AMMONIA</v>
      </c>
    </row>
    <row r="958" spans="1:13" ht="30" x14ac:dyDescent="0.25">
      <c r="A958" s="359" t="s">
        <v>1759</v>
      </c>
      <c r="B958" s="359" t="s">
        <v>748</v>
      </c>
      <c r="C958" s="359" t="s">
        <v>1460</v>
      </c>
      <c r="D958" s="359" t="s">
        <v>490</v>
      </c>
      <c r="E958" s="361">
        <v>2367</v>
      </c>
      <c r="F958" s="359" t="s">
        <v>1346</v>
      </c>
      <c r="G958" s="361">
        <v>3.105107902499612E-6</v>
      </c>
      <c r="H958" s="359" t="s">
        <v>490</v>
      </c>
      <c r="I958" s="361">
        <v>2.0136412069086523E-5</v>
      </c>
      <c r="J958" s="359" t="s">
        <v>1460</v>
      </c>
      <c r="K958" s="359" t="s">
        <v>1277</v>
      </c>
      <c r="M958" t="str">
        <f t="shared" si="15"/>
        <v>Oil and grease, hexane extr method</v>
      </c>
    </row>
    <row r="959" spans="1:13" ht="30" x14ac:dyDescent="0.25">
      <c r="A959" s="359" t="s">
        <v>1759</v>
      </c>
      <c r="B959" s="359" t="s">
        <v>748</v>
      </c>
      <c r="C959" s="359" t="s">
        <v>1388</v>
      </c>
      <c r="D959" s="359" t="s">
        <v>1389</v>
      </c>
      <c r="E959" s="360"/>
      <c r="F959" s="359" t="s">
        <v>1346</v>
      </c>
      <c r="G959" s="361">
        <v>3.105107902499612E-6</v>
      </c>
      <c r="H959" s="359" t="s">
        <v>1334</v>
      </c>
      <c r="I959" s="361">
        <v>5.6549978356781026E-4</v>
      </c>
      <c r="J959" s="359" t="s">
        <v>1388</v>
      </c>
      <c r="K959" s="359" t="s">
        <v>1272</v>
      </c>
      <c r="M959" t="str">
        <f t="shared" si="15"/>
        <v>PHENANTHRENE</v>
      </c>
    </row>
    <row r="960" spans="1:13" ht="30" x14ac:dyDescent="0.25">
      <c r="A960" s="359" t="s">
        <v>1759</v>
      </c>
      <c r="B960" s="359" t="s">
        <v>748</v>
      </c>
      <c r="C960" s="359" t="s">
        <v>1315</v>
      </c>
      <c r="D960" s="359" t="s">
        <v>1316</v>
      </c>
      <c r="E960" s="360"/>
      <c r="F960" s="359" t="s">
        <v>1346</v>
      </c>
      <c r="G960" s="361">
        <v>3.105107902499612E-6</v>
      </c>
      <c r="H960" s="359" t="s">
        <v>1423</v>
      </c>
      <c r="I960" s="361">
        <v>6.1690885480124739E-2</v>
      </c>
      <c r="J960" s="359" t="s">
        <v>1315</v>
      </c>
      <c r="K960" s="359" t="s">
        <v>1272</v>
      </c>
      <c r="M960" t="str">
        <f t="shared" si="15"/>
        <v>PHENOL</v>
      </c>
    </row>
    <row r="961" spans="1:13" ht="30" x14ac:dyDescent="0.25">
      <c r="A961" s="359" t="s">
        <v>1759</v>
      </c>
      <c r="B961" s="359" t="s">
        <v>748</v>
      </c>
      <c r="C961" s="359" t="s">
        <v>1318</v>
      </c>
      <c r="D961" s="359" t="s">
        <v>490</v>
      </c>
      <c r="E961" s="361">
        <v>11.43</v>
      </c>
      <c r="F961" s="359" t="s">
        <v>1346</v>
      </c>
      <c r="G961" s="361">
        <v>3.105107902499612E-6</v>
      </c>
      <c r="H961" s="359" t="s">
        <v>490</v>
      </c>
      <c r="I961" s="361">
        <v>9.7236666645398797E-8</v>
      </c>
      <c r="J961" s="359" t="s">
        <v>1318</v>
      </c>
      <c r="K961" s="359" t="s">
        <v>1277</v>
      </c>
      <c r="M961" t="str">
        <f t="shared" si="15"/>
        <v>Phenolics, total recoverable</v>
      </c>
    </row>
    <row r="962" spans="1:13" ht="30" x14ac:dyDescent="0.25">
      <c r="A962" s="359" t="s">
        <v>1759</v>
      </c>
      <c r="B962" s="359" t="s">
        <v>748</v>
      </c>
      <c r="C962" s="359" t="s">
        <v>1461</v>
      </c>
      <c r="D962" s="359" t="s">
        <v>1462</v>
      </c>
      <c r="E962" s="361">
        <v>3510.1605519999998</v>
      </c>
      <c r="F962" s="359" t="s">
        <v>1346</v>
      </c>
      <c r="G962" s="361">
        <v>3.105107902499612E-6</v>
      </c>
      <c r="H962" s="359" t="s">
        <v>490</v>
      </c>
      <c r="I962" s="361">
        <v>2.9861444572760544E-5</v>
      </c>
      <c r="J962" s="359" t="s">
        <v>1463</v>
      </c>
      <c r="K962" s="359" t="s">
        <v>1277</v>
      </c>
      <c r="M962" t="str">
        <f t="shared" si="15"/>
        <v>PHOSPHORUS</v>
      </c>
    </row>
    <row r="963" spans="1:13" ht="30" x14ac:dyDescent="0.25">
      <c r="A963" s="359" t="s">
        <v>1759</v>
      </c>
      <c r="B963" s="359" t="s">
        <v>748</v>
      </c>
      <c r="C963" s="359" t="s">
        <v>1432</v>
      </c>
      <c r="D963" s="359" t="s">
        <v>1427</v>
      </c>
      <c r="E963" s="361">
        <v>1707.4055515</v>
      </c>
      <c r="F963" s="359" t="s">
        <v>1346</v>
      </c>
      <c r="G963" s="361">
        <v>3.105107902499612E-6</v>
      </c>
      <c r="H963" s="359" t="s">
        <v>490</v>
      </c>
      <c r="I963" s="361">
        <v>1.4525146495162623E-5</v>
      </c>
      <c r="J963" s="359" t="s">
        <v>1432</v>
      </c>
      <c r="K963" s="359" t="s">
        <v>1277</v>
      </c>
      <c r="M963" t="str">
        <f t="shared" si="15"/>
        <v>Selenium, total (as Se)</v>
      </c>
    </row>
    <row r="964" spans="1:13" ht="30" x14ac:dyDescent="0.25">
      <c r="A964" s="359" t="s">
        <v>1759</v>
      </c>
      <c r="B964" s="359" t="s">
        <v>748</v>
      </c>
      <c r="C964" s="359" t="s">
        <v>1322</v>
      </c>
      <c r="D964" s="359" t="s">
        <v>490</v>
      </c>
      <c r="E964" s="361">
        <v>28665</v>
      </c>
      <c r="F964" s="359" t="s">
        <v>1346</v>
      </c>
      <c r="G964" s="361">
        <v>3.105107902499612E-6</v>
      </c>
      <c r="H964" s="359" t="s">
        <v>490</v>
      </c>
      <c r="I964" s="361">
        <v>2.4385730965794896E-4</v>
      </c>
      <c r="J964" s="359" t="s">
        <v>1322</v>
      </c>
      <c r="K964" s="359" t="s">
        <v>1277</v>
      </c>
      <c r="M964" t="str">
        <f t="shared" si="15"/>
        <v>Solids, total suspended</v>
      </c>
    </row>
    <row r="965" spans="1:13" ht="30" x14ac:dyDescent="0.25">
      <c r="A965" s="359" t="s">
        <v>1759</v>
      </c>
      <c r="B965" s="359" t="s">
        <v>748</v>
      </c>
      <c r="C965" s="359" t="s">
        <v>1323</v>
      </c>
      <c r="D965" s="359" t="s">
        <v>1324</v>
      </c>
      <c r="E965" s="361">
        <v>0</v>
      </c>
      <c r="F965" s="359" t="s">
        <v>1346</v>
      </c>
      <c r="G965" s="361">
        <v>3.105107902499612E-6</v>
      </c>
      <c r="H965" s="359" t="s">
        <v>490</v>
      </c>
      <c r="I965" s="361">
        <v>0</v>
      </c>
      <c r="J965" s="359" t="s">
        <v>1323</v>
      </c>
      <c r="K965" s="359" t="s">
        <v>1277</v>
      </c>
      <c r="M965" t="str">
        <f t="shared" si="15"/>
        <v>Sulfide, total (as S)</v>
      </c>
    </row>
    <row r="966" spans="1:13" ht="30" x14ac:dyDescent="0.25">
      <c r="A966" s="359" t="s">
        <v>1759</v>
      </c>
      <c r="B966" s="359" t="s">
        <v>748</v>
      </c>
      <c r="C966" s="359" t="s">
        <v>1396</v>
      </c>
      <c r="D966" s="359" t="s">
        <v>1397</v>
      </c>
      <c r="E966" s="360"/>
      <c r="F966" s="359" t="s">
        <v>1346</v>
      </c>
      <c r="G966" s="361">
        <v>3.105107902499612E-6</v>
      </c>
      <c r="H966" s="359" t="s">
        <v>1317</v>
      </c>
      <c r="I966" s="361">
        <v>4.6268164110093556E-3</v>
      </c>
      <c r="J966" s="359" t="s">
        <v>1398</v>
      </c>
      <c r="K966" s="359" t="s">
        <v>1272</v>
      </c>
      <c r="M966" t="str">
        <f t="shared" ref="M966:M1029" si="16">IF(J966="",C966,J966)</f>
        <v>PERCHLOROETHYLENE</v>
      </c>
    </row>
    <row r="967" spans="1:13" ht="30" x14ac:dyDescent="0.25">
      <c r="A967" s="359" t="s">
        <v>1759</v>
      </c>
      <c r="B967" s="359" t="s">
        <v>748</v>
      </c>
      <c r="C967" s="359" t="s">
        <v>1325</v>
      </c>
      <c r="D967" s="359" t="s">
        <v>1326</v>
      </c>
      <c r="E967" s="360"/>
      <c r="F967" s="359" t="s">
        <v>1346</v>
      </c>
      <c r="G967" s="361">
        <v>3.105107902499612E-6</v>
      </c>
      <c r="H967" s="359" t="s">
        <v>1683</v>
      </c>
      <c r="I967" s="361">
        <v>2.3134082055046778E-3</v>
      </c>
      <c r="J967" s="359" t="s">
        <v>1325</v>
      </c>
      <c r="K967" s="359" t="s">
        <v>1272</v>
      </c>
      <c r="M967" t="str">
        <f t="shared" si="16"/>
        <v>TOLUENE</v>
      </c>
    </row>
    <row r="968" spans="1:13" ht="30" x14ac:dyDescent="0.25">
      <c r="A968" s="359" t="s">
        <v>1759</v>
      </c>
      <c r="B968" s="359" t="s">
        <v>748</v>
      </c>
      <c r="C968" s="359" t="s">
        <v>1495</v>
      </c>
      <c r="D968" s="359" t="s">
        <v>1465</v>
      </c>
      <c r="E968" s="360"/>
      <c r="F968" s="359" t="s">
        <v>1346</v>
      </c>
      <c r="G968" s="361">
        <v>3.105107902499612E-6</v>
      </c>
      <c r="H968" s="359" t="s">
        <v>1613</v>
      </c>
      <c r="I968" s="361">
        <v>2.1077719205709288E-2</v>
      </c>
      <c r="J968" s="359" t="s">
        <v>1495</v>
      </c>
      <c r="K968" s="359" t="s">
        <v>1272</v>
      </c>
      <c r="M968" t="str">
        <f t="shared" si="16"/>
        <v>VANADIUM AND VANADIUM COMPOUNDS</v>
      </c>
    </row>
    <row r="969" spans="1:13" ht="30" x14ac:dyDescent="0.25">
      <c r="A969" s="359" t="s">
        <v>1759</v>
      </c>
      <c r="B969" s="359" t="s">
        <v>748</v>
      </c>
      <c r="C969" s="359" t="s">
        <v>1327</v>
      </c>
      <c r="D969" s="359" t="s">
        <v>1328</v>
      </c>
      <c r="E969" s="360"/>
      <c r="F969" s="359" t="s">
        <v>1346</v>
      </c>
      <c r="G969" s="361">
        <v>3.105107902499612E-6</v>
      </c>
      <c r="H969" s="359" t="s">
        <v>1683</v>
      </c>
      <c r="I969" s="361">
        <v>2.3134082055046778E-3</v>
      </c>
      <c r="J969" s="359" t="s">
        <v>1329</v>
      </c>
      <c r="K969" s="359" t="s">
        <v>1272</v>
      </c>
      <c r="M969" t="str">
        <f t="shared" si="16"/>
        <v>XYLENES</v>
      </c>
    </row>
    <row r="970" spans="1:13" ht="30" x14ac:dyDescent="0.25">
      <c r="A970" s="359" t="s">
        <v>1759</v>
      </c>
      <c r="B970" s="359" t="s">
        <v>748</v>
      </c>
      <c r="C970" s="359" t="s">
        <v>1342</v>
      </c>
      <c r="D970" s="359" t="s">
        <v>1343</v>
      </c>
      <c r="E970" s="360"/>
      <c r="F970" s="359" t="s">
        <v>1346</v>
      </c>
      <c r="G970" s="361">
        <v>3.105107902499612E-6</v>
      </c>
      <c r="H970" s="359" t="s">
        <v>1766</v>
      </c>
      <c r="I970" s="361">
        <v>4.626816411009356E-2</v>
      </c>
      <c r="J970" s="359" t="s">
        <v>1342</v>
      </c>
      <c r="K970" s="359" t="s">
        <v>1272</v>
      </c>
      <c r="M970" t="str">
        <f t="shared" si="16"/>
        <v>ZINC AND ZINC COMPOUNDS</v>
      </c>
    </row>
    <row r="971" spans="1:13" ht="30" x14ac:dyDescent="0.25">
      <c r="A971" s="359" t="s">
        <v>1767</v>
      </c>
      <c r="B971" s="359" t="s">
        <v>701</v>
      </c>
      <c r="C971" s="359" t="s">
        <v>1268</v>
      </c>
      <c r="D971" s="359" t="s">
        <v>1269</v>
      </c>
      <c r="E971" s="360"/>
      <c r="F971" s="359" t="s">
        <v>1412</v>
      </c>
      <c r="G971" s="361">
        <v>7.4074074074074075E-6</v>
      </c>
      <c r="H971" s="359" t="s">
        <v>1768</v>
      </c>
      <c r="I971" s="361">
        <v>0.26244787834191807</v>
      </c>
      <c r="J971" s="359" t="s">
        <v>1268</v>
      </c>
      <c r="K971" s="359" t="s">
        <v>1272</v>
      </c>
      <c r="M971" t="str">
        <f t="shared" si="16"/>
        <v>1,2,4-TRIMETHYLBENZENE</v>
      </c>
    </row>
    <row r="972" spans="1:13" ht="30" x14ac:dyDescent="0.25">
      <c r="A972" s="359" t="s">
        <v>1767</v>
      </c>
      <c r="B972" s="359" t="s">
        <v>701</v>
      </c>
      <c r="C972" s="359" t="s">
        <v>1347</v>
      </c>
      <c r="D972" s="359" t="s">
        <v>1348</v>
      </c>
      <c r="E972" s="360"/>
      <c r="F972" s="359" t="s">
        <v>1412</v>
      </c>
      <c r="G972" s="361">
        <v>7.4074074074074075E-6</v>
      </c>
      <c r="H972" s="359" t="s">
        <v>1286</v>
      </c>
      <c r="I972" s="361">
        <v>0</v>
      </c>
      <c r="J972" s="359" t="s">
        <v>1347</v>
      </c>
      <c r="K972" s="359" t="s">
        <v>1272</v>
      </c>
      <c r="M972" t="str">
        <f t="shared" si="16"/>
        <v>1,3-BUTADIENE</v>
      </c>
    </row>
    <row r="973" spans="1:13" ht="30" x14ac:dyDescent="0.25">
      <c r="A973" s="359" t="s">
        <v>1767</v>
      </c>
      <c r="B973" s="359" t="s">
        <v>701</v>
      </c>
      <c r="C973" s="359" t="s">
        <v>1273</v>
      </c>
      <c r="D973" s="359" t="s">
        <v>1274</v>
      </c>
      <c r="E973" s="360"/>
      <c r="F973" s="359" t="s">
        <v>1412</v>
      </c>
      <c r="G973" s="361">
        <v>7.4074074074074075E-6</v>
      </c>
      <c r="H973" s="359" t="s">
        <v>1769</v>
      </c>
      <c r="I973" s="361">
        <v>0.21216580819229827</v>
      </c>
      <c r="J973" s="359" t="s">
        <v>1273</v>
      </c>
      <c r="K973" s="359" t="s">
        <v>1272</v>
      </c>
      <c r="M973" t="str">
        <f t="shared" si="16"/>
        <v>BENZENE</v>
      </c>
    </row>
    <row r="974" spans="1:13" ht="30" x14ac:dyDescent="0.25">
      <c r="A974" s="359" t="s">
        <v>1767</v>
      </c>
      <c r="B974" s="359" t="s">
        <v>701</v>
      </c>
      <c r="C974" s="359" t="s">
        <v>1352</v>
      </c>
      <c r="D974" s="359" t="s">
        <v>1353</v>
      </c>
      <c r="E974" s="360"/>
      <c r="F974" s="359" t="s">
        <v>1412</v>
      </c>
      <c r="G974" s="361">
        <v>7.4074074074074075E-6</v>
      </c>
      <c r="H974" s="359" t="s">
        <v>1286</v>
      </c>
      <c r="I974" s="361">
        <v>0</v>
      </c>
      <c r="J974" s="359" t="s">
        <v>1352</v>
      </c>
      <c r="K974" s="359" t="s">
        <v>1272</v>
      </c>
      <c r="M974" t="str">
        <f t="shared" si="16"/>
        <v>BENZO(G,H,I)PERYLENE</v>
      </c>
    </row>
    <row r="975" spans="1:13" ht="30" x14ac:dyDescent="0.25">
      <c r="A975" s="359" t="s">
        <v>1767</v>
      </c>
      <c r="B975" s="359" t="s">
        <v>701</v>
      </c>
      <c r="C975" s="359" t="s">
        <v>1276</v>
      </c>
      <c r="D975" s="359" t="s">
        <v>490</v>
      </c>
      <c r="E975" s="361">
        <v>24865.760791600002</v>
      </c>
      <c r="F975" s="359" t="s">
        <v>1412</v>
      </c>
      <c r="G975" s="361">
        <v>7.4074074074074075E-6</v>
      </c>
      <c r="H975" s="359" t="s">
        <v>490</v>
      </c>
      <c r="I975" s="361">
        <v>5.0463238542059873E-4</v>
      </c>
      <c r="J975" s="359" t="s">
        <v>1276</v>
      </c>
      <c r="K975" s="359" t="s">
        <v>1277</v>
      </c>
      <c r="M975" t="str">
        <f t="shared" si="16"/>
        <v>BOD, 5-day, 20 deg. C</v>
      </c>
    </row>
    <row r="976" spans="1:13" ht="30" x14ac:dyDescent="0.25">
      <c r="A976" s="359" t="s">
        <v>1767</v>
      </c>
      <c r="B976" s="359" t="s">
        <v>701</v>
      </c>
      <c r="C976" s="359" t="s">
        <v>1278</v>
      </c>
      <c r="D976" s="359" t="s">
        <v>1279</v>
      </c>
      <c r="E976" s="361">
        <v>3304.17694966</v>
      </c>
      <c r="F976" s="359" t="s">
        <v>1412</v>
      </c>
      <c r="G976" s="361">
        <v>7.4074074074074075E-6</v>
      </c>
      <c r="H976" s="359" t="s">
        <v>490</v>
      </c>
      <c r="I976" s="361">
        <v>6.7055848800811769E-5</v>
      </c>
      <c r="J976" s="359" t="s">
        <v>1278</v>
      </c>
      <c r="K976" s="359" t="s">
        <v>1277</v>
      </c>
      <c r="M976" t="str">
        <f t="shared" si="16"/>
        <v>Carbon, tot organic (TOC)</v>
      </c>
    </row>
    <row r="977" spans="1:13" ht="30" x14ac:dyDescent="0.25">
      <c r="A977" s="359" t="s">
        <v>1767</v>
      </c>
      <c r="B977" s="359" t="s">
        <v>701</v>
      </c>
      <c r="C977" s="359" t="s">
        <v>1476</v>
      </c>
      <c r="D977" s="359" t="s">
        <v>1477</v>
      </c>
      <c r="E977" s="361">
        <v>567008.57856199995</v>
      </c>
      <c r="F977" s="359" t="s">
        <v>1412</v>
      </c>
      <c r="G977" s="361">
        <v>7.4074074074074075E-6</v>
      </c>
      <c r="H977" s="359" t="s">
        <v>490</v>
      </c>
      <c r="I977" s="361">
        <v>1.1507023410695077E-2</v>
      </c>
      <c r="J977" s="359" t="s">
        <v>1476</v>
      </c>
      <c r="K977" s="359" t="s">
        <v>1277</v>
      </c>
      <c r="M977" t="str">
        <f t="shared" si="16"/>
        <v>Chloride (as Cl)</v>
      </c>
    </row>
    <row r="978" spans="1:13" ht="30" x14ac:dyDescent="0.25">
      <c r="A978" s="359" t="s">
        <v>1767</v>
      </c>
      <c r="B978" s="359" t="s">
        <v>701</v>
      </c>
      <c r="C978" s="359" t="s">
        <v>1291</v>
      </c>
      <c r="D978" s="359" t="s">
        <v>1292</v>
      </c>
      <c r="E978" s="360"/>
      <c r="F978" s="359" t="s">
        <v>1412</v>
      </c>
      <c r="G978" s="361">
        <v>7.4074074074074075E-6</v>
      </c>
      <c r="H978" s="359" t="s">
        <v>1770</v>
      </c>
      <c r="I978" s="361">
        <v>0.16801569781702233</v>
      </c>
      <c r="J978" s="359" t="s">
        <v>1291</v>
      </c>
      <c r="K978" s="359" t="s">
        <v>1272</v>
      </c>
      <c r="M978" t="str">
        <f t="shared" si="16"/>
        <v>CYCLOHEXANE</v>
      </c>
    </row>
    <row r="979" spans="1:13" ht="30" x14ac:dyDescent="0.25">
      <c r="A979" s="359" t="s">
        <v>1767</v>
      </c>
      <c r="B979" s="359" t="s">
        <v>701</v>
      </c>
      <c r="C979" s="359" t="s">
        <v>1295</v>
      </c>
      <c r="D979" s="359" t="s">
        <v>1296</v>
      </c>
      <c r="E979" s="360"/>
      <c r="F979" s="359" t="s">
        <v>1412</v>
      </c>
      <c r="G979" s="361">
        <v>7.4074074074074075E-6</v>
      </c>
      <c r="H979" s="359" t="s">
        <v>1771</v>
      </c>
      <c r="I979" s="361">
        <v>0.26980623007113075</v>
      </c>
      <c r="J979" s="359" t="s">
        <v>1295</v>
      </c>
      <c r="K979" s="359" t="s">
        <v>1272</v>
      </c>
      <c r="M979" t="str">
        <f t="shared" si="16"/>
        <v>ETHYLBENZENE</v>
      </c>
    </row>
    <row r="980" spans="1:13" ht="30" x14ac:dyDescent="0.25">
      <c r="A980" s="359" t="s">
        <v>1767</v>
      </c>
      <c r="B980" s="359" t="s">
        <v>701</v>
      </c>
      <c r="C980" s="359" t="s">
        <v>1596</v>
      </c>
      <c r="D980" s="359" t="s">
        <v>1597</v>
      </c>
      <c r="E980" s="361">
        <v>5251.0686393699998</v>
      </c>
      <c r="F980" s="359" t="s">
        <v>1412</v>
      </c>
      <c r="G980" s="361">
        <v>7.4074074074074075E-6</v>
      </c>
      <c r="H980" s="359" t="s">
        <v>490</v>
      </c>
      <c r="I980" s="361">
        <v>1.0656658831801115E-4</v>
      </c>
      <c r="J980" s="359" t="s">
        <v>1596</v>
      </c>
      <c r="K980" s="359" t="s">
        <v>1277</v>
      </c>
      <c r="M980" t="str">
        <f t="shared" si="16"/>
        <v>Fluoride, total (as F)</v>
      </c>
    </row>
    <row r="981" spans="1:13" ht="30" x14ac:dyDescent="0.25">
      <c r="A981" s="359" t="s">
        <v>1767</v>
      </c>
      <c r="B981" s="359" t="s">
        <v>701</v>
      </c>
      <c r="C981" s="359" t="s">
        <v>1300</v>
      </c>
      <c r="D981" s="359" t="s">
        <v>1301</v>
      </c>
      <c r="E981" s="360"/>
      <c r="F981" s="359" t="s">
        <v>1412</v>
      </c>
      <c r="G981" s="361">
        <v>7.4074074074074075E-6</v>
      </c>
      <c r="H981" s="359" t="s">
        <v>1299</v>
      </c>
      <c r="I981" s="361">
        <v>1.2263919548687762E-4</v>
      </c>
      <c r="J981" s="359" t="s">
        <v>1300</v>
      </c>
      <c r="K981" s="359" t="s">
        <v>1272</v>
      </c>
      <c r="M981" t="str">
        <f t="shared" si="16"/>
        <v>MERCURY AND MERCURY COMPOUNDS</v>
      </c>
    </row>
    <row r="982" spans="1:13" ht="30" x14ac:dyDescent="0.25">
      <c r="A982" s="359" t="s">
        <v>1767</v>
      </c>
      <c r="B982" s="359" t="s">
        <v>701</v>
      </c>
      <c r="C982" s="359" t="s">
        <v>1375</v>
      </c>
      <c r="D982" s="359" t="s">
        <v>1376</v>
      </c>
      <c r="E982" s="360"/>
      <c r="F982" s="359" t="s">
        <v>1412</v>
      </c>
      <c r="G982" s="361">
        <v>7.4074074074074075E-6</v>
      </c>
      <c r="H982" s="359" t="s">
        <v>1286</v>
      </c>
      <c r="I982" s="361">
        <v>0</v>
      </c>
      <c r="J982" s="359" t="s">
        <v>1375</v>
      </c>
      <c r="K982" s="359" t="s">
        <v>1272</v>
      </c>
      <c r="M982" t="str">
        <f t="shared" si="16"/>
        <v>METHANOL</v>
      </c>
    </row>
    <row r="983" spans="1:13" ht="30" x14ac:dyDescent="0.25">
      <c r="A983" s="359" t="s">
        <v>1767</v>
      </c>
      <c r="B983" s="359" t="s">
        <v>701</v>
      </c>
      <c r="C983" s="359" t="s">
        <v>1381</v>
      </c>
      <c r="D983" s="359" t="s">
        <v>1382</v>
      </c>
      <c r="E983" s="360"/>
      <c r="F983" s="359" t="s">
        <v>1412</v>
      </c>
      <c r="G983" s="361">
        <v>7.4074074074074075E-6</v>
      </c>
      <c r="H983" s="359" t="s">
        <v>1556</v>
      </c>
      <c r="I983" s="361">
        <v>1.2263919548687761</v>
      </c>
      <c r="J983" s="359" t="s">
        <v>1381</v>
      </c>
      <c r="K983" s="359" t="s">
        <v>1272</v>
      </c>
      <c r="M983" t="str">
        <f t="shared" si="16"/>
        <v>MOLYBDENUM TRIOXIDE</v>
      </c>
    </row>
    <row r="984" spans="1:13" ht="30" x14ac:dyDescent="0.25">
      <c r="A984" s="359" t="s">
        <v>1767</v>
      </c>
      <c r="B984" s="359" t="s">
        <v>701</v>
      </c>
      <c r="C984" s="359" t="s">
        <v>1303</v>
      </c>
      <c r="D984" s="359" t="s">
        <v>1304</v>
      </c>
      <c r="E984" s="360"/>
      <c r="F984" s="359" t="s">
        <v>1412</v>
      </c>
      <c r="G984" s="361">
        <v>7.4074074074074075E-6</v>
      </c>
      <c r="H984" s="359" t="s">
        <v>1286</v>
      </c>
      <c r="I984" s="361">
        <v>0</v>
      </c>
      <c r="J984" s="359" t="s">
        <v>1303</v>
      </c>
      <c r="K984" s="359" t="s">
        <v>1272</v>
      </c>
      <c r="M984" t="str">
        <f t="shared" si="16"/>
        <v>NAPHTHALENE</v>
      </c>
    </row>
    <row r="985" spans="1:13" ht="30" x14ac:dyDescent="0.25">
      <c r="A985" s="359" t="s">
        <v>1767</v>
      </c>
      <c r="B985" s="359" t="s">
        <v>701</v>
      </c>
      <c r="C985" s="359" t="s">
        <v>1305</v>
      </c>
      <c r="D985" s="359" t="s">
        <v>1306</v>
      </c>
      <c r="E985" s="360"/>
      <c r="F985" s="359" t="s">
        <v>1412</v>
      </c>
      <c r="G985" s="361">
        <v>7.4074074074074075E-6</v>
      </c>
      <c r="H985" s="359" t="s">
        <v>1286</v>
      </c>
      <c r="I985" s="361">
        <v>0</v>
      </c>
      <c r="J985" s="359" t="s">
        <v>1305</v>
      </c>
      <c r="K985" s="359" t="s">
        <v>1272</v>
      </c>
      <c r="M985" t="str">
        <f t="shared" si="16"/>
        <v>N-HEXANE</v>
      </c>
    </row>
    <row r="986" spans="1:13" ht="30" x14ac:dyDescent="0.25">
      <c r="A986" s="359" t="s">
        <v>1767</v>
      </c>
      <c r="B986" s="359" t="s">
        <v>701</v>
      </c>
      <c r="C986" s="359" t="s">
        <v>1384</v>
      </c>
      <c r="D986" s="359" t="s">
        <v>1385</v>
      </c>
      <c r="E986" s="360"/>
      <c r="F986" s="359" t="s">
        <v>1412</v>
      </c>
      <c r="G986" s="361">
        <v>7.4074074074074075E-6</v>
      </c>
      <c r="H986" s="359" t="s">
        <v>1487</v>
      </c>
      <c r="I986" s="361">
        <v>4.6602894285013491E-2</v>
      </c>
      <c r="J986" s="359" t="s">
        <v>1384</v>
      </c>
      <c r="K986" s="359" t="s">
        <v>1272</v>
      </c>
      <c r="M986" t="str">
        <f t="shared" si="16"/>
        <v>NICKEL AND NICKEL COMPOUNDS</v>
      </c>
    </row>
    <row r="987" spans="1:13" ht="30" x14ac:dyDescent="0.25">
      <c r="A987" s="359" t="s">
        <v>1767</v>
      </c>
      <c r="B987" s="359" t="s">
        <v>701</v>
      </c>
      <c r="C987" s="359" t="s">
        <v>1307</v>
      </c>
      <c r="D987" s="359" t="s">
        <v>1308</v>
      </c>
      <c r="E987" s="360"/>
      <c r="F987" s="359" t="s">
        <v>1412</v>
      </c>
      <c r="G987" s="361">
        <v>7.4074074074074075E-6</v>
      </c>
      <c r="H987" s="359" t="s">
        <v>1772</v>
      </c>
      <c r="I987" s="361">
        <v>83.518518518518519</v>
      </c>
      <c r="J987" s="359" t="s">
        <v>1310</v>
      </c>
      <c r="K987" s="359" t="s">
        <v>1272</v>
      </c>
      <c r="M987" t="str">
        <f t="shared" si="16"/>
        <v>NITRATE</v>
      </c>
    </row>
    <row r="988" spans="1:13" ht="30" x14ac:dyDescent="0.25">
      <c r="A988" s="359" t="s">
        <v>1767</v>
      </c>
      <c r="B988" s="359" t="s">
        <v>701</v>
      </c>
      <c r="C988" s="359" t="s">
        <v>1311</v>
      </c>
      <c r="D988" s="359" t="s">
        <v>1312</v>
      </c>
      <c r="E988" s="361">
        <v>6010.9627705599996</v>
      </c>
      <c r="F988" s="359" t="s">
        <v>1412</v>
      </c>
      <c r="G988" s="361">
        <v>7.4074074074074075E-6</v>
      </c>
      <c r="H988" s="359" t="s">
        <v>490</v>
      </c>
      <c r="I988" s="361">
        <v>1.2198808260903094E-4</v>
      </c>
      <c r="J988" s="359" t="s">
        <v>1313</v>
      </c>
      <c r="K988" s="359" t="s">
        <v>1277</v>
      </c>
      <c r="M988" t="str">
        <f t="shared" si="16"/>
        <v>AMMONIA</v>
      </c>
    </row>
    <row r="989" spans="1:13" ht="30" x14ac:dyDescent="0.25">
      <c r="A989" s="359" t="s">
        <v>1767</v>
      </c>
      <c r="B989" s="359" t="s">
        <v>701</v>
      </c>
      <c r="C989" s="359" t="s">
        <v>1533</v>
      </c>
      <c r="D989" s="359" t="s">
        <v>490</v>
      </c>
      <c r="E989" s="361">
        <v>13652.669765369999</v>
      </c>
      <c r="F989" s="359" t="s">
        <v>1412</v>
      </c>
      <c r="G989" s="361">
        <v>7.4074074074074075E-6</v>
      </c>
      <c r="H989" s="359" t="s">
        <v>490</v>
      </c>
      <c r="I989" s="361">
        <v>2.7707092370106543E-4</v>
      </c>
      <c r="J989" s="359" t="s">
        <v>1533</v>
      </c>
      <c r="K989" s="359" t="s">
        <v>1277</v>
      </c>
      <c r="M989" t="str">
        <f t="shared" si="16"/>
        <v>Oil and grease (soxhlet extr.) tot.</v>
      </c>
    </row>
    <row r="990" spans="1:13" ht="30" x14ac:dyDescent="0.25">
      <c r="A990" s="359" t="s">
        <v>1767</v>
      </c>
      <c r="B990" s="359" t="s">
        <v>701</v>
      </c>
      <c r="C990" s="359" t="s">
        <v>1457</v>
      </c>
      <c r="D990" s="359" t="s">
        <v>490</v>
      </c>
      <c r="E990" s="361">
        <v>220981.82857099999</v>
      </c>
      <c r="F990" s="359" t="s">
        <v>1412</v>
      </c>
      <c r="G990" s="361">
        <v>7.4074074074074075E-6</v>
      </c>
      <c r="H990" s="359" t="s">
        <v>490</v>
      </c>
      <c r="I990" s="361">
        <v>4.4846642023541345E-3</v>
      </c>
      <c r="J990" s="359" t="s">
        <v>1457</v>
      </c>
      <c r="K990" s="359" t="s">
        <v>1277</v>
      </c>
      <c r="M990" t="str">
        <f t="shared" si="16"/>
        <v>Chemical Oxygen Demand (COD)</v>
      </c>
    </row>
    <row r="991" spans="1:13" ht="30" x14ac:dyDescent="0.25">
      <c r="A991" s="359" t="s">
        <v>1767</v>
      </c>
      <c r="B991" s="359" t="s">
        <v>701</v>
      </c>
      <c r="C991" s="359" t="s">
        <v>1391</v>
      </c>
      <c r="D991" s="359" t="s">
        <v>490</v>
      </c>
      <c r="E991" s="361">
        <v>21.232776747100001</v>
      </c>
      <c r="F991" s="359" t="s">
        <v>1412</v>
      </c>
      <c r="G991" s="361">
        <v>7.4074074074074075E-6</v>
      </c>
      <c r="H991" s="359" t="s">
        <v>490</v>
      </c>
      <c r="I991" s="361">
        <v>4.3090363768848303E-7</v>
      </c>
      <c r="J991" s="359" t="s">
        <v>1391</v>
      </c>
      <c r="K991" s="359" t="s">
        <v>1277</v>
      </c>
      <c r="M991" t="str">
        <f t="shared" si="16"/>
        <v>Phenolic compounds, total</v>
      </c>
    </row>
    <row r="992" spans="1:13" ht="30" x14ac:dyDescent="0.25">
      <c r="A992" s="359" t="s">
        <v>1767</v>
      </c>
      <c r="B992" s="359" t="s">
        <v>701</v>
      </c>
      <c r="C992" s="359" t="s">
        <v>1319</v>
      </c>
      <c r="D992" s="359" t="s">
        <v>1320</v>
      </c>
      <c r="E992" s="360"/>
      <c r="F992" s="359" t="s">
        <v>1412</v>
      </c>
      <c r="G992" s="361">
        <v>7.4074074074074075E-6</v>
      </c>
      <c r="H992" s="359" t="s">
        <v>1286</v>
      </c>
      <c r="I992" s="361">
        <v>0</v>
      </c>
      <c r="J992" s="359" t="s">
        <v>1319</v>
      </c>
      <c r="K992" s="359" t="s">
        <v>1272</v>
      </c>
      <c r="M992" t="str">
        <f t="shared" si="16"/>
        <v>POLYCYCLIC AROMATIC COMPOUNDS</v>
      </c>
    </row>
    <row r="993" spans="1:13" ht="30" x14ac:dyDescent="0.25">
      <c r="A993" s="359" t="s">
        <v>1767</v>
      </c>
      <c r="B993" s="359" t="s">
        <v>701</v>
      </c>
      <c r="C993" s="359" t="s">
        <v>1322</v>
      </c>
      <c r="D993" s="359" t="s">
        <v>490</v>
      </c>
      <c r="E993" s="361">
        <v>28848.7777365</v>
      </c>
      <c r="F993" s="359" t="s">
        <v>1412</v>
      </c>
      <c r="G993" s="361">
        <v>7.4074074074074075E-6</v>
      </c>
      <c r="H993" s="359" t="s">
        <v>490</v>
      </c>
      <c r="I993" s="361">
        <v>5.8546479424657536E-4</v>
      </c>
      <c r="J993" s="359" t="s">
        <v>1322</v>
      </c>
      <c r="K993" s="359" t="s">
        <v>1277</v>
      </c>
      <c r="M993" t="str">
        <f t="shared" si="16"/>
        <v>Solids, total suspended</v>
      </c>
    </row>
    <row r="994" spans="1:13" ht="30" x14ac:dyDescent="0.25">
      <c r="A994" s="359" t="s">
        <v>1767</v>
      </c>
      <c r="B994" s="359" t="s">
        <v>701</v>
      </c>
      <c r="C994" s="359" t="s">
        <v>1323</v>
      </c>
      <c r="D994" s="359" t="s">
        <v>1324</v>
      </c>
      <c r="E994" s="361">
        <v>0</v>
      </c>
      <c r="F994" s="359" t="s">
        <v>1412</v>
      </c>
      <c r="G994" s="361">
        <v>7.4074074074074075E-6</v>
      </c>
      <c r="H994" s="359" t="s">
        <v>490</v>
      </c>
      <c r="I994" s="361">
        <v>0</v>
      </c>
      <c r="J994" s="359" t="s">
        <v>1323</v>
      </c>
      <c r="K994" s="359" t="s">
        <v>1277</v>
      </c>
      <c r="M994" t="str">
        <f t="shared" si="16"/>
        <v>Sulfide, total (as S)</v>
      </c>
    </row>
    <row r="995" spans="1:13" ht="30" x14ac:dyDescent="0.25">
      <c r="A995" s="359" t="s">
        <v>1767</v>
      </c>
      <c r="B995" s="359" t="s">
        <v>701</v>
      </c>
      <c r="C995" s="359" t="s">
        <v>1325</v>
      </c>
      <c r="D995" s="359" t="s">
        <v>1326</v>
      </c>
      <c r="E995" s="360"/>
      <c r="F995" s="359" t="s">
        <v>1412</v>
      </c>
      <c r="G995" s="361">
        <v>7.4074074074074075E-6</v>
      </c>
      <c r="H995" s="359" t="s">
        <v>1773</v>
      </c>
      <c r="I995" s="361">
        <v>2.5116507235712535</v>
      </c>
      <c r="J995" s="359" t="s">
        <v>1325</v>
      </c>
      <c r="K995" s="359" t="s">
        <v>1272</v>
      </c>
      <c r="M995" t="str">
        <f t="shared" si="16"/>
        <v>TOLUENE</v>
      </c>
    </row>
    <row r="996" spans="1:13" ht="30" x14ac:dyDescent="0.25">
      <c r="A996" s="359" t="s">
        <v>1767</v>
      </c>
      <c r="B996" s="359" t="s">
        <v>701</v>
      </c>
      <c r="C996" s="359" t="s">
        <v>1327</v>
      </c>
      <c r="D996" s="359" t="s">
        <v>1328</v>
      </c>
      <c r="E996" s="360"/>
      <c r="F996" s="359" t="s">
        <v>1412</v>
      </c>
      <c r="G996" s="361">
        <v>7.4074074074074075E-6</v>
      </c>
      <c r="H996" s="359" t="s">
        <v>1774</v>
      </c>
      <c r="I996" s="361">
        <v>0.73706156487613439</v>
      </c>
      <c r="J996" s="359" t="s">
        <v>1329</v>
      </c>
      <c r="K996" s="359" t="s">
        <v>1272</v>
      </c>
      <c r="M996" t="str">
        <f t="shared" si="16"/>
        <v>XYLENES</v>
      </c>
    </row>
    <row r="997" spans="1:13" x14ac:dyDescent="0.25">
      <c r="A997" s="359" t="s">
        <v>1775</v>
      </c>
      <c r="B997" s="359" t="s">
        <v>897</v>
      </c>
      <c r="C997" s="359" t="s">
        <v>1268</v>
      </c>
      <c r="D997" s="359" t="s">
        <v>1269</v>
      </c>
      <c r="E997" s="360"/>
      <c r="F997" s="359" t="s">
        <v>1412</v>
      </c>
      <c r="G997" s="361">
        <v>1.8813967489464178E-5</v>
      </c>
      <c r="H997" s="359" t="s">
        <v>1286</v>
      </c>
      <c r="I997" s="361">
        <v>0</v>
      </c>
      <c r="J997" s="359" t="s">
        <v>1268</v>
      </c>
      <c r="K997" s="359" t="s">
        <v>1272</v>
      </c>
      <c r="M997" t="str">
        <f t="shared" si="16"/>
        <v>1,2,4-TRIMETHYLBENZENE</v>
      </c>
    </row>
    <row r="998" spans="1:13" x14ac:dyDescent="0.25">
      <c r="A998" s="359" t="s">
        <v>1775</v>
      </c>
      <c r="B998" s="359" t="s">
        <v>897</v>
      </c>
      <c r="C998" s="359" t="s">
        <v>1347</v>
      </c>
      <c r="D998" s="359" t="s">
        <v>1348</v>
      </c>
      <c r="E998" s="360"/>
      <c r="F998" s="359" t="s">
        <v>1412</v>
      </c>
      <c r="G998" s="361">
        <v>1.8813967489464178E-5</v>
      </c>
      <c r="H998" s="359" t="s">
        <v>1286</v>
      </c>
      <c r="I998" s="361">
        <v>0</v>
      </c>
      <c r="J998" s="359" t="s">
        <v>1347</v>
      </c>
      <c r="K998" s="359" t="s">
        <v>1272</v>
      </c>
      <c r="M998" t="str">
        <f t="shared" si="16"/>
        <v>1,3-BUTADIENE</v>
      </c>
    </row>
    <row r="999" spans="1:13" x14ac:dyDescent="0.25">
      <c r="A999" s="359" t="s">
        <v>1775</v>
      </c>
      <c r="B999" s="359" t="s">
        <v>897</v>
      </c>
      <c r="C999" s="359" t="s">
        <v>1349</v>
      </c>
      <c r="D999" s="359" t="s">
        <v>1350</v>
      </c>
      <c r="E999" s="360"/>
      <c r="F999" s="359" t="s">
        <v>1412</v>
      </c>
      <c r="G999" s="361">
        <v>1.8813967489464178E-5</v>
      </c>
      <c r="H999" s="359" t="s">
        <v>1286</v>
      </c>
      <c r="I999" s="361">
        <v>0</v>
      </c>
      <c r="J999" s="359" t="s">
        <v>1349</v>
      </c>
      <c r="K999" s="359" t="s">
        <v>1272</v>
      </c>
      <c r="M999" t="str">
        <f t="shared" si="16"/>
        <v>ANTHRACENE</v>
      </c>
    </row>
    <row r="1000" spans="1:13" x14ac:dyDescent="0.25">
      <c r="A1000" s="359" t="s">
        <v>1775</v>
      </c>
      <c r="B1000" s="359" t="s">
        <v>897</v>
      </c>
      <c r="C1000" s="359" t="s">
        <v>1273</v>
      </c>
      <c r="D1000" s="359" t="s">
        <v>1274</v>
      </c>
      <c r="E1000" s="360"/>
      <c r="F1000" s="359" t="s">
        <v>1412</v>
      </c>
      <c r="G1000" s="361">
        <v>1.8813967489464178E-5</v>
      </c>
      <c r="H1000" s="359" t="s">
        <v>1286</v>
      </c>
      <c r="I1000" s="361">
        <v>0</v>
      </c>
      <c r="J1000" s="359" t="s">
        <v>1273</v>
      </c>
      <c r="K1000" s="359" t="s">
        <v>1272</v>
      </c>
      <c r="M1000" t="str">
        <f t="shared" si="16"/>
        <v>BENZENE</v>
      </c>
    </row>
    <row r="1001" spans="1:13" x14ac:dyDescent="0.25">
      <c r="A1001" s="359" t="s">
        <v>1775</v>
      </c>
      <c r="B1001" s="359" t="s">
        <v>897</v>
      </c>
      <c r="C1001" s="359" t="s">
        <v>1352</v>
      </c>
      <c r="D1001" s="359" t="s">
        <v>1353</v>
      </c>
      <c r="E1001" s="360"/>
      <c r="F1001" s="359" t="s">
        <v>1412</v>
      </c>
      <c r="G1001" s="361">
        <v>1.8813967489464178E-5</v>
      </c>
      <c r="H1001" s="359" t="s">
        <v>1286</v>
      </c>
      <c r="I1001" s="361">
        <v>0</v>
      </c>
      <c r="J1001" s="359" t="s">
        <v>1352</v>
      </c>
      <c r="K1001" s="359" t="s">
        <v>1272</v>
      </c>
      <c r="M1001" t="str">
        <f t="shared" si="16"/>
        <v>BENZO(G,H,I)PERYLENE</v>
      </c>
    </row>
    <row r="1002" spans="1:13" x14ac:dyDescent="0.25">
      <c r="A1002" s="359" t="s">
        <v>1775</v>
      </c>
      <c r="B1002" s="359" t="s">
        <v>897</v>
      </c>
      <c r="C1002" s="359" t="s">
        <v>1414</v>
      </c>
      <c r="D1002" s="359" t="s">
        <v>1415</v>
      </c>
      <c r="E1002" s="360"/>
      <c r="F1002" s="359" t="s">
        <v>1412</v>
      </c>
      <c r="G1002" s="361">
        <v>1.8813967489464178E-5</v>
      </c>
      <c r="H1002" s="359" t="s">
        <v>1286</v>
      </c>
      <c r="I1002" s="361">
        <v>0</v>
      </c>
      <c r="J1002" s="359" t="s">
        <v>1414</v>
      </c>
      <c r="K1002" s="359" t="s">
        <v>1272</v>
      </c>
      <c r="M1002" t="str">
        <f t="shared" si="16"/>
        <v>BIPHENYL</v>
      </c>
    </row>
    <row r="1003" spans="1:13" x14ac:dyDescent="0.25">
      <c r="A1003" s="359" t="s">
        <v>1775</v>
      </c>
      <c r="B1003" s="359" t="s">
        <v>897</v>
      </c>
      <c r="C1003" s="359" t="s">
        <v>1276</v>
      </c>
      <c r="D1003" s="359" t="s">
        <v>490</v>
      </c>
      <c r="E1003" s="361">
        <v>2031.97278912</v>
      </c>
      <c r="F1003" s="359" t="s">
        <v>1412</v>
      </c>
      <c r="G1003" s="361">
        <v>1.8813967489464178E-5</v>
      </c>
      <c r="H1003" s="359" t="s">
        <v>490</v>
      </c>
      <c r="I1003" s="361">
        <v>1.047382739561083E-4</v>
      </c>
      <c r="J1003" s="359" t="s">
        <v>1276</v>
      </c>
      <c r="K1003" s="359" t="s">
        <v>1277</v>
      </c>
      <c r="M1003" t="str">
        <f t="shared" si="16"/>
        <v>BOD, 5-day, 20 deg. C</v>
      </c>
    </row>
    <row r="1004" spans="1:13" x14ac:dyDescent="0.25">
      <c r="A1004" s="359" t="s">
        <v>1775</v>
      </c>
      <c r="B1004" s="359" t="s">
        <v>897</v>
      </c>
      <c r="C1004" s="359" t="s">
        <v>1355</v>
      </c>
      <c r="D1004" s="359" t="s">
        <v>1356</v>
      </c>
      <c r="E1004" s="360"/>
      <c r="F1004" s="359" t="s">
        <v>1412</v>
      </c>
      <c r="G1004" s="361">
        <v>1.8813967489464178E-5</v>
      </c>
      <c r="H1004" s="359" t="s">
        <v>1286</v>
      </c>
      <c r="I1004" s="361">
        <v>0</v>
      </c>
      <c r="J1004" s="359" t="s">
        <v>1355</v>
      </c>
      <c r="K1004" s="359" t="s">
        <v>1272</v>
      </c>
      <c r="M1004" t="str">
        <f t="shared" si="16"/>
        <v>CARBON DISULFIDE</v>
      </c>
    </row>
    <row r="1005" spans="1:13" x14ac:dyDescent="0.25">
      <c r="A1005" s="359" t="s">
        <v>1775</v>
      </c>
      <c r="B1005" s="359" t="s">
        <v>897</v>
      </c>
      <c r="C1005" s="359" t="s">
        <v>1357</v>
      </c>
      <c r="D1005" s="359" t="s">
        <v>1358</v>
      </c>
      <c r="E1005" s="360"/>
      <c r="F1005" s="359" t="s">
        <v>1412</v>
      </c>
      <c r="G1005" s="361">
        <v>1.8813967489464178E-5</v>
      </c>
      <c r="H1005" s="359" t="s">
        <v>1286</v>
      </c>
      <c r="I1005" s="361">
        <v>0</v>
      </c>
      <c r="J1005" s="359" t="s">
        <v>1357</v>
      </c>
      <c r="K1005" s="359" t="s">
        <v>1272</v>
      </c>
      <c r="M1005" t="str">
        <f t="shared" si="16"/>
        <v>CARBONYL SULFIDE</v>
      </c>
    </row>
    <row r="1006" spans="1:13" x14ac:dyDescent="0.25">
      <c r="A1006" s="359" t="s">
        <v>1775</v>
      </c>
      <c r="B1006" s="359" t="s">
        <v>897</v>
      </c>
      <c r="C1006" s="359" t="s">
        <v>1476</v>
      </c>
      <c r="D1006" s="359" t="s">
        <v>1477</v>
      </c>
      <c r="E1006" s="361">
        <v>107713.53</v>
      </c>
      <c r="F1006" s="359" t="s">
        <v>1412</v>
      </c>
      <c r="G1006" s="361">
        <v>1.8813967489464178E-5</v>
      </c>
      <c r="H1006" s="359" t="s">
        <v>490</v>
      </c>
      <c r="I1006" s="361">
        <v>5.5521064427271902E-3</v>
      </c>
      <c r="J1006" s="359" t="s">
        <v>1476</v>
      </c>
      <c r="K1006" s="359" t="s">
        <v>1277</v>
      </c>
      <c r="M1006" t="str">
        <f t="shared" si="16"/>
        <v>Chloride (as Cl)</v>
      </c>
    </row>
    <row r="1007" spans="1:13" x14ac:dyDescent="0.25">
      <c r="A1007" s="359" t="s">
        <v>1775</v>
      </c>
      <c r="B1007" s="359" t="s">
        <v>897</v>
      </c>
      <c r="C1007" s="359" t="s">
        <v>1485</v>
      </c>
      <c r="D1007" s="359" t="s">
        <v>1486</v>
      </c>
      <c r="E1007" s="360"/>
      <c r="F1007" s="359" t="s">
        <v>1412</v>
      </c>
      <c r="G1007" s="361">
        <v>1.8813967489464178E-5</v>
      </c>
      <c r="H1007" s="359" t="s">
        <v>1286</v>
      </c>
      <c r="I1007" s="361">
        <v>0</v>
      </c>
      <c r="J1007" s="359" t="s">
        <v>1485</v>
      </c>
      <c r="K1007" s="359" t="s">
        <v>1272</v>
      </c>
      <c r="M1007" t="str">
        <f t="shared" si="16"/>
        <v>COBALT AND COBALT COMPOUNDS</v>
      </c>
    </row>
    <row r="1008" spans="1:13" x14ac:dyDescent="0.25">
      <c r="A1008" s="359" t="s">
        <v>1775</v>
      </c>
      <c r="B1008" s="359" t="s">
        <v>897</v>
      </c>
      <c r="C1008" s="359" t="s">
        <v>1284</v>
      </c>
      <c r="D1008" s="359" t="s">
        <v>1285</v>
      </c>
      <c r="E1008" s="360"/>
      <c r="F1008" s="359" t="s">
        <v>1412</v>
      </c>
      <c r="G1008" s="361">
        <v>1.8813967489464178E-5</v>
      </c>
      <c r="H1008" s="359" t="s">
        <v>1286</v>
      </c>
      <c r="I1008" s="361">
        <v>0</v>
      </c>
      <c r="J1008" s="359" t="s">
        <v>1287</v>
      </c>
      <c r="K1008" s="359" t="s">
        <v>1272</v>
      </c>
      <c r="M1008" t="str">
        <f t="shared" si="16"/>
        <v>ISOPROPYLBENZENE</v>
      </c>
    </row>
    <row r="1009" spans="1:13" x14ac:dyDescent="0.25">
      <c r="A1009" s="359" t="s">
        <v>1775</v>
      </c>
      <c r="B1009" s="359" t="s">
        <v>897</v>
      </c>
      <c r="C1009" s="359" t="s">
        <v>1291</v>
      </c>
      <c r="D1009" s="359" t="s">
        <v>1292</v>
      </c>
      <c r="E1009" s="360"/>
      <c r="F1009" s="359" t="s">
        <v>1412</v>
      </c>
      <c r="G1009" s="361">
        <v>1.8813967489464178E-5</v>
      </c>
      <c r="H1009" s="359" t="s">
        <v>1286</v>
      </c>
      <c r="I1009" s="361">
        <v>0</v>
      </c>
      <c r="J1009" s="359" t="s">
        <v>1291</v>
      </c>
      <c r="K1009" s="359" t="s">
        <v>1272</v>
      </c>
      <c r="M1009" t="str">
        <f t="shared" si="16"/>
        <v>CYCLOHEXANE</v>
      </c>
    </row>
    <row r="1010" spans="1:13" x14ac:dyDescent="0.25">
      <c r="A1010" s="359" t="s">
        <v>1775</v>
      </c>
      <c r="B1010" s="359" t="s">
        <v>897</v>
      </c>
      <c r="C1010" s="359" t="s">
        <v>1293</v>
      </c>
      <c r="D1010" s="359" t="s">
        <v>1294</v>
      </c>
      <c r="E1010" s="360"/>
      <c r="F1010" s="359" t="s">
        <v>1412</v>
      </c>
      <c r="G1010" s="361">
        <v>1.8813967489464178E-5</v>
      </c>
      <c r="H1010" s="359" t="s">
        <v>1286</v>
      </c>
      <c r="I1010" s="361">
        <v>0</v>
      </c>
      <c r="J1010" s="359" t="s">
        <v>1293</v>
      </c>
      <c r="K1010" s="359" t="s">
        <v>1272</v>
      </c>
      <c r="M1010" t="str">
        <f t="shared" si="16"/>
        <v>DIETHANOLAMINE</v>
      </c>
    </row>
    <row r="1011" spans="1:13" x14ac:dyDescent="0.25">
      <c r="A1011" s="359" t="s">
        <v>1775</v>
      </c>
      <c r="B1011" s="359" t="s">
        <v>897</v>
      </c>
      <c r="C1011" s="359" t="s">
        <v>1295</v>
      </c>
      <c r="D1011" s="359" t="s">
        <v>1296</v>
      </c>
      <c r="E1011" s="360"/>
      <c r="F1011" s="359" t="s">
        <v>1412</v>
      </c>
      <c r="G1011" s="361">
        <v>1.8813967489464178E-5</v>
      </c>
      <c r="H1011" s="359" t="s">
        <v>1286</v>
      </c>
      <c r="I1011" s="361">
        <v>0</v>
      </c>
      <c r="J1011" s="359" t="s">
        <v>1295</v>
      </c>
      <c r="K1011" s="359" t="s">
        <v>1272</v>
      </c>
      <c r="M1011" t="str">
        <f t="shared" si="16"/>
        <v>ETHYLBENZENE</v>
      </c>
    </row>
    <row r="1012" spans="1:13" x14ac:dyDescent="0.25">
      <c r="A1012" s="359" t="s">
        <v>1775</v>
      </c>
      <c r="B1012" s="359" t="s">
        <v>897</v>
      </c>
      <c r="C1012" s="359" t="s">
        <v>1365</v>
      </c>
      <c r="D1012" s="359" t="s">
        <v>1366</v>
      </c>
      <c r="E1012" s="360"/>
      <c r="F1012" s="359" t="s">
        <v>1412</v>
      </c>
      <c r="G1012" s="361">
        <v>1.8813967489464178E-5</v>
      </c>
      <c r="H1012" s="359" t="s">
        <v>1286</v>
      </c>
      <c r="I1012" s="361">
        <v>0</v>
      </c>
      <c r="J1012" s="359" t="s">
        <v>1028</v>
      </c>
      <c r="K1012" s="359" t="s">
        <v>1272</v>
      </c>
      <c r="M1012" t="str">
        <f t="shared" si="16"/>
        <v>ETHENE</v>
      </c>
    </row>
    <row r="1013" spans="1:13" x14ac:dyDescent="0.25">
      <c r="A1013" s="359" t="s">
        <v>1775</v>
      </c>
      <c r="B1013" s="359" t="s">
        <v>897</v>
      </c>
      <c r="C1013" s="359" t="s">
        <v>1488</v>
      </c>
      <c r="D1013" s="359" t="s">
        <v>1489</v>
      </c>
      <c r="E1013" s="360"/>
      <c r="F1013" s="359" t="s">
        <v>1412</v>
      </c>
      <c r="G1013" s="361">
        <v>1.8813967489464178E-5</v>
      </c>
      <c r="H1013" s="359" t="s">
        <v>1286</v>
      </c>
      <c r="I1013" s="361">
        <v>0</v>
      </c>
      <c r="J1013" s="359" t="s">
        <v>1490</v>
      </c>
      <c r="K1013" s="359" t="s">
        <v>1272</v>
      </c>
      <c r="M1013" t="str">
        <f t="shared" si="16"/>
        <v>HYDROFLUORIC ACID</v>
      </c>
    </row>
    <row r="1014" spans="1:13" x14ac:dyDescent="0.25">
      <c r="A1014" s="359" t="s">
        <v>1775</v>
      </c>
      <c r="B1014" s="359" t="s">
        <v>897</v>
      </c>
      <c r="C1014" s="359" t="s">
        <v>1297</v>
      </c>
      <c r="D1014" s="359" t="s">
        <v>1298</v>
      </c>
      <c r="E1014" s="360"/>
      <c r="F1014" s="359" t="s">
        <v>1412</v>
      </c>
      <c r="G1014" s="361">
        <v>1.8813967489464178E-5</v>
      </c>
      <c r="H1014" s="359" t="s">
        <v>1286</v>
      </c>
      <c r="I1014" s="361">
        <v>0</v>
      </c>
      <c r="J1014" s="359" t="s">
        <v>1297</v>
      </c>
      <c r="K1014" s="359" t="s">
        <v>1272</v>
      </c>
      <c r="M1014" t="str">
        <f t="shared" si="16"/>
        <v>LEAD AND LEAD COMPOUNDS</v>
      </c>
    </row>
    <row r="1015" spans="1:13" x14ac:dyDescent="0.25">
      <c r="A1015" s="359" t="s">
        <v>1775</v>
      </c>
      <c r="B1015" s="359" t="s">
        <v>897</v>
      </c>
      <c r="C1015" s="359" t="s">
        <v>1776</v>
      </c>
      <c r="D1015" s="359" t="s">
        <v>1448</v>
      </c>
      <c r="E1015" s="361">
        <v>12.5665785</v>
      </c>
      <c r="F1015" s="359" t="s">
        <v>1412</v>
      </c>
      <c r="G1015" s="361">
        <v>1.8813967489464178E-5</v>
      </c>
      <c r="H1015" s="359" t="s">
        <v>490</v>
      </c>
      <c r="I1015" s="361">
        <v>6.4774575165150556E-7</v>
      </c>
      <c r="J1015" s="359" t="s">
        <v>1776</v>
      </c>
      <c r="K1015" s="359" t="s">
        <v>1277</v>
      </c>
      <c r="M1015" t="str">
        <f t="shared" si="16"/>
        <v>Manganese, dissolved (as Mn)</v>
      </c>
    </row>
    <row r="1016" spans="1:13" x14ac:dyDescent="0.25">
      <c r="A1016" s="359" t="s">
        <v>1775</v>
      </c>
      <c r="B1016" s="359" t="s">
        <v>897</v>
      </c>
      <c r="C1016" s="359" t="s">
        <v>1300</v>
      </c>
      <c r="D1016" s="359" t="s">
        <v>1301</v>
      </c>
      <c r="E1016" s="360"/>
      <c r="F1016" s="359" t="s">
        <v>1412</v>
      </c>
      <c r="G1016" s="361">
        <v>1.8813967489464178E-5</v>
      </c>
      <c r="H1016" s="359" t="s">
        <v>1286</v>
      </c>
      <c r="I1016" s="361">
        <v>0</v>
      </c>
      <c r="J1016" s="359" t="s">
        <v>1300</v>
      </c>
      <c r="K1016" s="359" t="s">
        <v>1272</v>
      </c>
      <c r="M1016" t="str">
        <f t="shared" si="16"/>
        <v>MERCURY AND MERCURY COMPOUNDS</v>
      </c>
    </row>
    <row r="1017" spans="1:13" x14ac:dyDescent="0.25">
      <c r="A1017" s="359" t="s">
        <v>1775</v>
      </c>
      <c r="B1017" s="359" t="s">
        <v>897</v>
      </c>
      <c r="C1017" s="359" t="s">
        <v>1381</v>
      </c>
      <c r="D1017" s="359" t="s">
        <v>1382</v>
      </c>
      <c r="E1017" s="360"/>
      <c r="F1017" s="359" t="s">
        <v>1412</v>
      </c>
      <c r="G1017" s="361">
        <v>1.8813967489464178E-5</v>
      </c>
      <c r="H1017" s="359" t="s">
        <v>1286</v>
      </c>
      <c r="I1017" s="361">
        <v>0</v>
      </c>
      <c r="J1017" s="359" t="s">
        <v>1381</v>
      </c>
      <c r="K1017" s="359" t="s">
        <v>1272</v>
      </c>
      <c r="M1017" t="str">
        <f t="shared" si="16"/>
        <v>MOLYBDENUM TRIOXIDE</v>
      </c>
    </row>
    <row r="1018" spans="1:13" x14ac:dyDescent="0.25">
      <c r="A1018" s="359" t="s">
        <v>1775</v>
      </c>
      <c r="B1018" s="359" t="s">
        <v>897</v>
      </c>
      <c r="C1018" s="359" t="s">
        <v>1303</v>
      </c>
      <c r="D1018" s="359" t="s">
        <v>1304</v>
      </c>
      <c r="E1018" s="360"/>
      <c r="F1018" s="359" t="s">
        <v>1412</v>
      </c>
      <c r="G1018" s="361">
        <v>1.8813967489464178E-5</v>
      </c>
      <c r="H1018" s="359" t="s">
        <v>1286</v>
      </c>
      <c r="I1018" s="361">
        <v>0</v>
      </c>
      <c r="J1018" s="359" t="s">
        <v>1303</v>
      </c>
      <c r="K1018" s="359" t="s">
        <v>1272</v>
      </c>
      <c r="M1018" t="str">
        <f t="shared" si="16"/>
        <v>NAPHTHALENE</v>
      </c>
    </row>
    <row r="1019" spans="1:13" x14ac:dyDescent="0.25">
      <c r="A1019" s="359" t="s">
        <v>1775</v>
      </c>
      <c r="B1019" s="359" t="s">
        <v>897</v>
      </c>
      <c r="C1019" s="359" t="s">
        <v>1305</v>
      </c>
      <c r="D1019" s="359" t="s">
        <v>1306</v>
      </c>
      <c r="E1019" s="360"/>
      <c r="F1019" s="359" t="s">
        <v>1412</v>
      </c>
      <c r="G1019" s="361">
        <v>1.8813967489464178E-5</v>
      </c>
      <c r="H1019" s="359" t="s">
        <v>1286</v>
      </c>
      <c r="I1019" s="361">
        <v>0</v>
      </c>
      <c r="J1019" s="359" t="s">
        <v>1305</v>
      </c>
      <c r="K1019" s="359" t="s">
        <v>1272</v>
      </c>
      <c r="M1019" t="str">
        <f t="shared" si="16"/>
        <v>N-HEXANE</v>
      </c>
    </row>
    <row r="1020" spans="1:13" x14ac:dyDescent="0.25">
      <c r="A1020" s="359" t="s">
        <v>1775</v>
      </c>
      <c r="B1020" s="359" t="s">
        <v>897</v>
      </c>
      <c r="C1020" s="359" t="s">
        <v>1384</v>
      </c>
      <c r="D1020" s="359" t="s">
        <v>1385</v>
      </c>
      <c r="E1020" s="360"/>
      <c r="F1020" s="359" t="s">
        <v>1412</v>
      </c>
      <c r="G1020" s="361">
        <v>1.8813967489464178E-5</v>
      </c>
      <c r="H1020" s="359" t="s">
        <v>1286</v>
      </c>
      <c r="I1020" s="361">
        <v>0</v>
      </c>
      <c r="J1020" s="359" t="s">
        <v>1384</v>
      </c>
      <c r="K1020" s="359" t="s">
        <v>1272</v>
      </c>
      <c r="M1020" t="str">
        <f t="shared" si="16"/>
        <v>NICKEL AND NICKEL COMPOUNDS</v>
      </c>
    </row>
    <row r="1021" spans="1:13" x14ac:dyDescent="0.25">
      <c r="A1021" s="359" t="s">
        <v>1775</v>
      </c>
      <c r="B1021" s="359" t="s">
        <v>897</v>
      </c>
      <c r="C1021" s="359" t="s">
        <v>1777</v>
      </c>
      <c r="D1021" s="359" t="s">
        <v>1479</v>
      </c>
      <c r="E1021" s="361">
        <v>0.5834482875</v>
      </c>
      <c r="F1021" s="359" t="s">
        <v>1412</v>
      </c>
      <c r="G1021" s="361">
        <v>1.8813967489464178E-5</v>
      </c>
      <c r="H1021" s="359" t="s">
        <v>490</v>
      </c>
      <c r="I1021" s="361">
        <v>3.0073909898105615E-8</v>
      </c>
      <c r="J1021" s="359" t="s">
        <v>1777</v>
      </c>
      <c r="K1021" s="359" t="s">
        <v>1277</v>
      </c>
      <c r="M1021" t="str">
        <f t="shared" si="16"/>
        <v>Nickel, dissolved (as Ni)</v>
      </c>
    </row>
    <row r="1022" spans="1:13" x14ac:dyDescent="0.25">
      <c r="A1022" s="359" t="s">
        <v>1775</v>
      </c>
      <c r="B1022" s="359" t="s">
        <v>897</v>
      </c>
      <c r="C1022" s="359" t="s">
        <v>1311</v>
      </c>
      <c r="D1022" s="359" t="s">
        <v>1312</v>
      </c>
      <c r="E1022" s="361">
        <v>134.82993197299999</v>
      </c>
      <c r="F1022" s="359" t="s">
        <v>1412</v>
      </c>
      <c r="G1022" s="361">
        <v>1.8813967489464178E-5</v>
      </c>
      <c r="H1022" s="359" t="s">
        <v>490</v>
      </c>
      <c r="I1022" s="361">
        <v>6.949824539032023E-6</v>
      </c>
      <c r="J1022" s="359" t="s">
        <v>1313</v>
      </c>
      <c r="K1022" s="359" t="s">
        <v>1277</v>
      </c>
      <c r="M1022" t="str">
        <f t="shared" si="16"/>
        <v>AMMONIA</v>
      </c>
    </row>
    <row r="1023" spans="1:13" x14ac:dyDescent="0.25">
      <c r="A1023" s="359" t="s">
        <v>1775</v>
      </c>
      <c r="B1023" s="359" t="s">
        <v>897</v>
      </c>
      <c r="C1023" s="359" t="s">
        <v>1457</v>
      </c>
      <c r="D1023" s="359" t="s">
        <v>490</v>
      </c>
      <c r="E1023" s="361">
        <v>26089.387755100001</v>
      </c>
      <c r="F1023" s="359" t="s">
        <v>1412</v>
      </c>
      <c r="G1023" s="361">
        <v>1.8813967489464178E-5</v>
      </c>
      <c r="H1023" s="359" t="s">
        <v>490</v>
      </c>
      <c r="I1023" s="361">
        <v>1.3447805288889759E-3</v>
      </c>
      <c r="J1023" s="359" t="s">
        <v>1457</v>
      </c>
      <c r="K1023" s="359" t="s">
        <v>1277</v>
      </c>
      <c r="M1023" t="str">
        <f t="shared" si="16"/>
        <v>Chemical Oxygen Demand (COD)</v>
      </c>
    </row>
    <row r="1024" spans="1:13" x14ac:dyDescent="0.25">
      <c r="A1024" s="359" t="s">
        <v>1775</v>
      </c>
      <c r="B1024" s="359" t="s">
        <v>897</v>
      </c>
      <c r="C1024" s="359" t="s">
        <v>1388</v>
      </c>
      <c r="D1024" s="359" t="s">
        <v>1389</v>
      </c>
      <c r="E1024" s="360"/>
      <c r="F1024" s="359" t="s">
        <v>1412</v>
      </c>
      <c r="G1024" s="361">
        <v>1.8813967489464178E-5</v>
      </c>
      <c r="H1024" s="359" t="s">
        <v>1286</v>
      </c>
      <c r="I1024" s="361">
        <v>0</v>
      </c>
      <c r="J1024" s="359" t="s">
        <v>1388</v>
      </c>
      <c r="K1024" s="359" t="s">
        <v>1272</v>
      </c>
      <c r="M1024" t="str">
        <f t="shared" si="16"/>
        <v>PHENANTHRENE</v>
      </c>
    </row>
    <row r="1025" spans="1:13" x14ac:dyDescent="0.25">
      <c r="A1025" s="359" t="s">
        <v>1775</v>
      </c>
      <c r="B1025" s="359" t="s">
        <v>897</v>
      </c>
      <c r="C1025" s="359" t="s">
        <v>1319</v>
      </c>
      <c r="D1025" s="359" t="s">
        <v>1320</v>
      </c>
      <c r="E1025" s="360"/>
      <c r="F1025" s="359" t="s">
        <v>1412</v>
      </c>
      <c r="G1025" s="361">
        <v>1.8813967489464178E-5</v>
      </c>
      <c r="H1025" s="359" t="s">
        <v>1286</v>
      </c>
      <c r="I1025" s="361">
        <v>0</v>
      </c>
      <c r="J1025" s="359" t="s">
        <v>1319</v>
      </c>
      <c r="K1025" s="359" t="s">
        <v>1272</v>
      </c>
      <c r="M1025" t="str">
        <f t="shared" si="16"/>
        <v>POLYCYCLIC AROMATIC COMPOUNDS</v>
      </c>
    </row>
    <row r="1026" spans="1:13" x14ac:dyDescent="0.25">
      <c r="A1026" s="359" t="s">
        <v>1775</v>
      </c>
      <c r="B1026" s="359" t="s">
        <v>897</v>
      </c>
      <c r="C1026" s="359" t="s">
        <v>1425</v>
      </c>
      <c r="D1026" s="359" t="s">
        <v>1426</v>
      </c>
      <c r="E1026" s="360"/>
      <c r="F1026" s="359" t="s">
        <v>1412</v>
      </c>
      <c r="G1026" s="361">
        <v>1.8813967489464178E-5</v>
      </c>
      <c r="H1026" s="359" t="s">
        <v>1286</v>
      </c>
      <c r="I1026" s="361">
        <v>0</v>
      </c>
      <c r="J1026" s="359" t="s">
        <v>1425</v>
      </c>
      <c r="K1026" s="359" t="s">
        <v>1272</v>
      </c>
      <c r="M1026" t="str">
        <f t="shared" si="16"/>
        <v>PROPYLENE</v>
      </c>
    </row>
    <row r="1027" spans="1:13" x14ac:dyDescent="0.25">
      <c r="A1027" s="359" t="s">
        <v>1775</v>
      </c>
      <c r="B1027" s="359" t="s">
        <v>897</v>
      </c>
      <c r="C1027" s="359" t="s">
        <v>1432</v>
      </c>
      <c r="D1027" s="359" t="s">
        <v>1427</v>
      </c>
      <c r="E1027" s="361">
        <v>22.440318749999999</v>
      </c>
      <c r="F1027" s="359" t="s">
        <v>1412</v>
      </c>
      <c r="G1027" s="361">
        <v>1.8813967489464178E-5</v>
      </c>
      <c r="H1027" s="359" t="s">
        <v>490</v>
      </c>
      <c r="I1027" s="361">
        <v>1.1566888422348313E-6</v>
      </c>
      <c r="J1027" s="359" t="s">
        <v>1432</v>
      </c>
      <c r="K1027" s="359" t="s">
        <v>1277</v>
      </c>
      <c r="M1027" t="str">
        <f t="shared" si="16"/>
        <v>Selenium, total (as Se)</v>
      </c>
    </row>
    <row r="1028" spans="1:13" x14ac:dyDescent="0.25">
      <c r="A1028" s="359" t="s">
        <v>1775</v>
      </c>
      <c r="B1028" s="359" t="s">
        <v>897</v>
      </c>
      <c r="C1028" s="359" t="s">
        <v>1322</v>
      </c>
      <c r="D1028" s="359" t="s">
        <v>490</v>
      </c>
      <c r="E1028" s="361">
        <v>231.972789116</v>
      </c>
      <c r="F1028" s="359" t="s">
        <v>1412</v>
      </c>
      <c r="G1028" s="361">
        <v>1.8813967489464178E-5</v>
      </c>
      <c r="H1028" s="359" t="s">
        <v>490</v>
      </c>
      <c r="I1028" s="361">
        <v>1.1957064418818503E-5</v>
      </c>
      <c r="J1028" s="359" t="s">
        <v>1322</v>
      </c>
      <c r="K1028" s="359" t="s">
        <v>1277</v>
      </c>
      <c r="M1028" t="str">
        <f t="shared" si="16"/>
        <v>Solids, total suspended</v>
      </c>
    </row>
    <row r="1029" spans="1:13" x14ac:dyDescent="0.25">
      <c r="A1029" s="359" t="s">
        <v>1775</v>
      </c>
      <c r="B1029" s="359" t="s">
        <v>897</v>
      </c>
      <c r="C1029" s="359" t="s">
        <v>1392</v>
      </c>
      <c r="D1029" s="359" t="s">
        <v>1393</v>
      </c>
      <c r="E1029" s="360"/>
      <c r="F1029" s="359" t="s">
        <v>1412</v>
      </c>
      <c r="G1029" s="361">
        <v>1.8813967489464178E-5</v>
      </c>
      <c r="H1029" s="359" t="s">
        <v>1286</v>
      </c>
      <c r="I1029" s="361">
        <v>0</v>
      </c>
      <c r="J1029" s="359" t="s">
        <v>1392</v>
      </c>
      <c r="K1029" s="359" t="s">
        <v>1272</v>
      </c>
      <c r="M1029" t="str">
        <f t="shared" si="16"/>
        <v>STYRENE</v>
      </c>
    </row>
    <row r="1030" spans="1:13" x14ac:dyDescent="0.25">
      <c r="A1030" s="359" t="s">
        <v>1775</v>
      </c>
      <c r="B1030" s="359" t="s">
        <v>897</v>
      </c>
      <c r="C1030" s="359" t="s">
        <v>1396</v>
      </c>
      <c r="D1030" s="359" t="s">
        <v>1397</v>
      </c>
      <c r="E1030" s="360"/>
      <c r="F1030" s="359" t="s">
        <v>1412</v>
      </c>
      <c r="G1030" s="361">
        <v>1.8813967489464178E-5</v>
      </c>
      <c r="H1030" s="359" t="s">
        <v>1286</v>
      </c>
      <c r="I1030" s="361">
        <v>0</v>
      </c>
      <c r="J1030" s="359" t="s">
        <v>1398</v>
      </c>
      <c r="K1030" s="359" t="s">
        <v>1272</v>
      </c>
      <c r="M1030" t="str">
        <f t="shared" ref="M1030:M1093" si="17">IF(J1030="",C1030,J1030)</f>
        <v>PERCHLOROETHYLENE</v>
      </c>
    </row>
    <row r="1031" spans="1:13" x14ac:dyDescent="0.25">
      <c r="A1031" s="359" t="s">
        <v>1775</v>
      </c>
      <c r="B1031" s="359" t="s">
        <v>897</v>
      </c>
      <c r="C1031" s="359" t="s">
        <v>1325</v>
      </c>
      <c r="D1031" s="359" t="s">
        <v>1326</v>
      </c>
      <c r="E1031" s="360"/>
      <c r="F1031" s="359" t="s">
        <v>1412</v>
      </c>
      <c r="G1031" s="361">
        <v>1.8813967489464178E-5</v>
      </c>
      <c r="H1031" s="359" t="s">
        <v>1286</v>
      </c>
      <c r="I1031" s="361">
        <v>0</v>
      </c>
      <c r="J1031" s="359" t="s">
        <v>1325</v>
      </c>
      <c r="K1031" s="359" t="s">
        <v>1272</v>
      </c>
      <c r="M1031" t="str">
        <f t="shared" si="17"/>
        <v>TOLUENE</v>
      </c>
    </row>
    <row r="1032" spans="1:13" x14ac:dyDescent="0.25">
      <c r="A1032" s="359" t="s">
        <v>1775</v>
      </c>
      <c r="B1032" s="359" t="s">
        <v>897</v>
      </c>
      <c r="C1032" s="359" t="s">
        <v>1327</v>
      </c>
      <c r="D1032" s="359" t="s">
        <v>1328</v>
      </c>
      <c r="E1032" s="360"/>
      <c r="F1032" s="359" t="s">
        <v>1412</v>
      </c>
      <c r="G1032" s="361">
        <v>1.8813967489464178E-5</v>
      </c>
      <c r="H1032" s="359" t="s">
        <v>1286</v>
      </c>
      <c r="I1032" s="361">
        <v>0</v>
      </c>
      <c r="J1032" s="359" t="s">
        <v>1329</v>
      </c>
      <c r="K1032" s="359" t="s">
        <v>1272</v>
      </c>
      <c r="M1032" t="str">
        <f t="shared" si="17"/>
        <v>XYLENES</v>
      </c>
    </row>
    <row r="1033" spans="1:13" x14ac:dyDescent="0.25">
      <c r="A1033" s="359" t="s">
        <v>1775</v>
      </c>
      <c r="B1033" s="359" t="s">
        <v>897</v>
      </c>
      <c r="C1033" s="359" t="s">
        <v>1778</v>
      </c>
      <c r="D1033" s="359" t="s">
        <v>1343</v>
      </c>
      <c r="E1033" s="361">
        <v>7.6297083749999999</v>
      </c>
      <c r="F1033" s="359" t="s">
        <v>1412</v>
      </c>
      <c r="G1033" s="361">
        <v>1.8813967489464178E-5</v>
      </c>
      <c r="H1033" s="359" t="s">
        <v>490</v>
      </c>
      <c r="I1033" s="361">
        <v>3.9327420635984261E-7</v>
      </c>
      <c r="J1033" s="359" t="s">
        <v>1778</v>
      </c>
      <c r="K1033" s="359" t="s">
        <v>1277</v>
      </c>
      <c r="M1033" t="str">
        <f t="shared" si="17"/>
        <v>Zinc, dissolved (as Zn)</v>
      </c>
    </row>
    <row r="1034" spans="1:13" ht="30" x14ac:dyDescent="0.25">
      <c r="A1034" s="359" t="s">
        <v>1779</v>
      </c>
      <c r="B1034" s="359" t="s">
        <v>843</v>
      </c>
      <c r="C1034" s="359" t="s">
        <v>1276</v>
      </c>
      <c r="D1034" s="359" t="s">
        <v>490</v>
      </c>
      <c r="E1034" s="361">
        <v>147921.07624289999</v>
      </c>
      <c r="F1034" s="359" t="s">
        <v>1346</v>
      </c>
      <c r="G1034" s="361">
        <v>2.1885840948412623E-6</v>
      </c>
      <c r="H1034" s="359" t="s">
        <v>490</v>
      </c>
      <c r="I1034" s="361">
        <v>8.8695264316989754E-4</v>
      </c>
      <c r="J1034" s="359" t="s">
        <v>1276</v>
      </c>
      <c r="K1034" s="359" t="s">
        <v>1277</v>
      </c>
      <c r="M1034" t="str">
        <f t="shared" si="17"/>
        <v>BOD, 5-day, 20 deg. C</v>
      </c>
    </row>
    <row r="1035" spans="1:13" ht="30" x14ac:dyDescent="0.25">
      <c r="A1035" s="359" t="s">
        <v>1779</v>
      </c>
      <c r="B1035" s="359" t="s">
        <v>843</v>
      </c>
      <c r="C1035" s="359" t="s">
        <v>1278</v>
      </c>
      <c r="D1035" s="359" t="s">
        <v>1279</v>
      </c>
      <c r="E1035" s="361">
        <v>510217.78467023</v>
      </c>
      <c r="F1035" s="359" t="s">
        <v>1346</v>
      </c>
      <c r="G1035" s="361">
        <v>2.1885840948412623E-6</v>
      </c>
      <c r="H1035" s="359" t="s">
        <v>490</v>
      </c>
      <c r="I1035" s="361">
        <v>3.0593274751627652E-3</v>
      </c>
      <c r="J1035" s="359" t="s">
        <v>1278</v>
      </c>
      <c r="K1035" s="359" t="s">
        <v>1277</v>
      </c>
      <c r="M1035" t="str">
        <f t="shared" si="17"/>
        <v>Carbon, tot organic (TOC)</v>
      </c>
    </row>
    <row r="1036" spans="1:13" ht="30" x14ac:dyDescent="0.25">
      <c r="A1036" s="359" t="s">
        <v>1779</v>
      </c>
      <c r="B1036" s="359" t="s">
        <v>843</v>
      </c>
      <c r="C1036" s="359" t="s">
        <v>1416</v>
      </c>
      <c r="D1036" s="359" t="s">
        <v>1417</v>
      </c>
      <c r="E1036" s="361">
        <v>9.9383708454500006</v>
      </c>
      <c r="F1036" s="359" t="s">
        <v>1346</v>
      </c>
      <c r="G1036" s="361">
        <v>2.1885840948412623E-6</v>
      </c>
      <c r="H1036" s="359" t="s">
        <v>490</v>
      </c>
      <c r="I1036" s="361">
        <v>5.9591672221879397E-8</v>
      </c>
      <c r="J1036" s="359" t="s">
        <v>1418</v>
      </c>
      <c r="K1036" s="359" t="s">
        <v>1277</v>
      </c>
      <c r="M1036" t="str">
        <f t="shared" si="17"/>
        <v>CHLORINE</v>
      </c>
    </row>
    <row r="1037" spans="1:13" ht="30" x14ac:dyDescent="0.25">
      <c r="A1037" s="359" t="s">
        <v>1779</v>
      </c>
      <c r="B1037" s="359" t="s">
        <v>843</v>
      </c>
      <c r="C1037" s="359" t="s">
        <v>1280</v>
      </c>
      <c r="D1037" s="359" t="s">
        <v>1281</v>
      </c>
      <c r="E1037" s="361">
        <v>0</v>
      </c>
      <c r="F1037" s="359" t="s">
        <v>1346</v>
      </c>
      <c r="G1037" s="361">
        <v>2.1885840948412623E-6</v>
      </c>
      <c r="H1037" s="359" t="s">
        <v>490</v>
      </c>
      <c r="I1037" s="361">
        <v>0</v>
      </c>
      <c r="J1037" s="359" t="s">
        <v>1280</v>
      </c>
      <c r="K1037" s="359" t="s">
        <v>1277</v>
      </c>
      <c r="M1037" t="str">
        <f t="shared" si="17"/>
        <v>Chromium, hexavalent (as Cr)</v>
      </c>
    </row>
    <row r="1038" spans="1:13" ht="30" x14ac:dyDescent="0.25">
      <c r="A1038" s="359" t="s">
        <v>1779</v>
      </c>
      <c r="B1038" s="359" t="s">
        <v>843</v>
      </c>
      <c r="C1038" s="359" t="s">
        <v>1282</v>
      </c>
      <c r="D1038" s="359" t="s">
        <v>1283</v>
      </c>
      <c r="E1038" s="361">
        <v>0</v>
      </c>
      <c r="F1038" s="359" t="s">
        <v>1346</v>
      </c>
      <c r="G1038" s="361">
        <v>2.1885840948412623E-6</v>
      </c>
      <c r="H1038" s="359" t="s">
        <v>490</v>
      </c>
      <c r="I1038" s="361">
        <v>0</v>
      </c>
      <c r="J1038" s="359" t="s">
        <v>1282</v>
      </c>
      <c r="K1038" s="359" t="s">
        <v>1277</v>
      </c>
      <c r="M1038" t="str">
        <f t="shared" si="17"/>
        <v>Chromium, total (as Cr)</v>
      </c>
    </row>
    <row r="1039" spans="1:13" ht="30" x14ac:dyDescent="0.25">
      <c r="A1039" s="359" t="s">
        <v>1779</v>
      </c>
      <c r="B1039" s="359" t="s">
        <v>843</v>
      </c>
      <c r="C1039" s="359" t="s">
        <v>1311</v>
      </c>
      <c r="D1039" s="359" t="s">
        <v>1312</v>
      </c>
      <c r="E1039" s="361">
        <v>47334.070416799994</v>
      </c>
      <c r="F1039" s="359" t="s">
        <v>1346</v>
      </c>
      <c r="G1039" s="361">
        <v>2.1885840948412623E-6</v>
      </c>
      <c r="H1039" s="359" t="s">
        <v>490</v>
      </c>
      <c r="I1039" s="361">
        <v>2.8382080454330074E-4</v>
      </c>
      <c r="J1039" s="359" t="s">
        <v>1313</v>
      </c>
      <c r="K1039" s="359" t="s">
        <v>1277</v>
      </c>
      <c r="M1039" t="str">
        <f t="shared" si="17"/>
        <v>AMMONIA</v>
      </c>
    </row>
    <row r="1040" spans="1:13" ht="30" x14ac:dyDescent="0.25">
      <c r="A1040" s="359" t="s">
        <v>1779</v>
      </c>
      <c r="B1040" s="359" t="s">
        <v>843</v>
      </c>
      <c r="C1040" s="359" t="s">
        <v>1341</v>
      </c>
      <c r="D1040" s="359" t="s">
        <v>490</v>
      </c>
      <c r="E1040" s="361">
        <v>169455.16937054499</v>
      </c>
      <c r="F1040" s="359" t="s">
        <v>1346</v>
      </c>
      <c r="G1040" s="361">
        <v>2.1885840948412623E-6</v>
      </c>
      <c r="H1040" s="359" t="s">
        <v>490</v>
      </c>
      <c r="I1040" s="361">
        <v>1.0160736670493341E-3</v>
      </c>
      <c r="J1040" s="359" t="s">
        <v>1341</v>
      </c>
      <c r="K1040" s="359" t="s">
        <v>1277</v>
      </c>
      <c r="M1040" t="str">
        <f t="shared" si="17"/>
        <v>Oil &amp; grease</v>
      </c>
    </row>
    <row r="1041" spans="1:13" ht="30" x14ac:dyDescent="0.25">
      <c r="A1041" s="359" t="s">
        <v>1779</v>
      </c>
      <c r="B1041" s="359" t="s">
        <v>843</v>
      </c>
      <c r="C1041" s="359" t="s">
        <v>1480</v>
      </c>
      <c r="D1041" s="359" t="s">
        <v>1481</v>
      </c>
      <c r="E1041" s="361">
        <v>74085.094322399993</v>
      </c>
      <c r="F1041" s="359" t="s">
        <v>1346</v>
      </c>
      <c r="G1041" s="361">
        <v>2.1885840948412623E-6</v>
      </c>
      <c r="H1041" s="359" t="s">
        <v>490</v>
      </c>
      <c r="I1041" s="361">
        <v>4.442231756132036E-4</v>
      </c>
      <c r="J1041" s="359" t="s">
        <v>1480</v>
      </c>
      <c r="K1041" s="359" t="s">
        <v>1277</v>
      </c>
      <c r="M1041" t="str">
        <f t="shared" si="17"/>
        <v>Oxygen, dissolved (DO)</v>
      </c>
    </row>
    <row r="1042" spans="1:13" ht="30" x14ac:dyDescent="0.25">
      <c r="A1042" s="359" t="s">
        <v>1779</v>
      </c>
      <c r="B1042" s="359" t="s">
        <v>843</v>
      </c>
      <c r="C1042" s="359" t="s">
        <v>1318</v>
      </c>
      <c r="D1042" s="359" t="s">
        <v>490</v>
      </c>
      <c r="E1042" s="361">
        <v>320.47578231299997</v>
      </c>
      <c r="F1042" s="359" t="s">
        <v>1346</v>
      </c>
      <c r="G1042" s="361">
        <v>2.1885840948412623E-6</v>
      </c>
      <c r="H1042" s="359" t="s">
        <v>490</v>
      </c>
      <c r="I1042" s="361">
        <v>1.9216115067179243E-6</v>
      </c>
      <c r="J1042" s="359" t="s">
        <v>1318</v>
      </c>
      <c r="K1042" s="359" t="s">
        <v>1277</v>
      </c>
      <c r="M1042" t="str">
        <f t="shared" si="17"/>
        <v>Phenolics, total recoverable</v>
      </c>
    </row>
    <row r="1043" spans="1:13" ht="30" x14ac:dyDescent="0.25">
      <c r="A1043" s="359" t="s">
        <v>1779</v>
      </c>
      <c r="B1043" s="359" t="s">
        <v>843</v>
      </c>
      <c r="C1043" s="359" t="s">
        <v>1432</v>
      </c>
      <c r="D1043" s="359" t="s">
        <v>1427</v>
      </c>
      <c r="E1043" s="361">
        <v>71.590204081600007</v>
      </c>
      <c r="F1043" s="359" t="s">
        <v>1346</v>
      </c>
      <c r="G1043" s="361">
        <v>2.1885840948412623E-6</v>
      </c>
      <c r="H1043" s="359" t="s">
        <v>490</v>
      </c>
      <c r="I1043" s="361">
        <v>4.2926351232720491E-7</v>
      </c>
      <c r="J1043" s="359" t="s">
        <v>1432</v>
      </c>
      <c r="K1043" s="359" t="s">
        <v>1277</v>
      </c>
      <c r="M1043" t="str">
        <f t="shared" si="17"/>
        <v>Selenium, total (as Se)</v>
      </c>
    </row>
    <row r="1044" spans="1:13" ht="30" x14ac:dyDescent="0.25">
      <c r="A1044" s="359" t="s">
        <v>1779</v>
      </c>
      <c r="B1044" s="359" t="s">
        <v>843</v>
      </c>
      <c r="C1044" s="359" t="s">
        <v>1322</v>
      </c>
      <c r="D1044" s="359" t="s">
        <v>490</v>
      </c>
      <c r="E1044" s="361">
        <v>162048.5621559</v>
      </c>
      <c r="F1044" s="359" t="s">
        <v>1346</v>
      </c>
      <c r="G1044" s="361">
        <v>2.1885840948412623E-6</v>
      </c>
      <c r="H1044" s="359" t="s">
        <v>490</v>
      </c>
      <c r="I1044" s="361">
        <v>9.7166275541451619E-4</v>
      </c>
      <c r="J1044" s="359" t="s">
        <v>1322</v>
      </c>
      <c r="K1044" s="359" t="s">
        <v>1277</v>
      </c>
      <c r="M1044" t="str">
        <f t="shared" si="17"/>
        <v>Solids, total suspended</v>
      </c>
    </row>
    <row r="1045" spans="1:13" ht="30" x14ac:dyDescent="0.25">
      <c r="A1045" s="359" t="s">
        <v>1779</v>
      </c>
      <c r="B1045" s="359" t="s">
        <v>843</v>
      </c>
      <c r="C1045" s="359" t="s">
        <v>1323</v>
      </c>
      <c r="D1045" s="359" t="s">
        <v>1324</v>
      </c>
      <c r="E1045" s="361">
        <v>201.5120181403</v>
      </c>
      <c r="F1045" s="359" t="s">
        <v>1346</v>
      </c>
      <c r="G1045" s="361">
        <v>2.1885840948412623E-6</v>
      </c>
      <c r="H1045" s="359" t="s">
        <v>490</v>
      </c>
      <c r="I1045" s="361">
        <v>1.2082904049896562E-6</v>
      </c>
      <c r="J1045" s="359" t="s">
        <v>1323</v>
      </c>
      <c r="K1045" s="359" t="s">
        <v>1277</v>
      </c>
      <c r="M1045" t="str">
        <f t="shared" si="17"/>
        <v>Sulfide, total (as S)</v>
      </c>
    </row>
    <row r="1046" spans="1:13" ht="30" x14ac:dyDescent="0.25">
      <c r="A1046" s="359" t="s">
        <v>1779</v>
      </c>
      <c r="B1046" s="359" t="s">
        <v>843</v>
      </c>
      <c r="C1046" s="359" t="s">
        <v>1611</v>
      </c>
      <c r="D1046" s="359" t="s">
        <v>1343</v>
      </c>
      <c r="E1046" s="361">
        <v>880.859282119</v>
      </c>
      <c r="F1046" s="359" t="s">
        <v>1346</v>
      </c>
      <c r="G1046" s="361">
        <v>2.1885840948412623E-6</v>
      </c>
      <c r="H1046" s="359" t="s">
        <v>490</v>
      </c>
      <c r="I1046" s="361">
        <v>5.2817386702436588E-6</v>
      </c>
      <c r="J1046" s="359" t="s">
        <v>1611</v>
      </c>
      <c r="K1046" s="359" t="s">
        <v>1277</v>
      </c>
      <c r="M1046" t="str">
        <f t="shared" si="17"/>
        <v>Zinc, total (as Zn)</v>
      </c>
    </row>
    <row r="1047" spans="1:13" ht="30" x14ac:dyDescent="0.25">
      <c r="A1047" s="359" t="s">
        <v>1780</v>
      </c>
      <c r="B1047" s="359" t="s">
        <v>871</v>
      </c>
      <c r="C1047" s="359" t="s">
        <v>1268</v>
      </c>
      <c r="D1047" s="359" t="s">
        <v>1269</v>
      </c>
      <c r="E1047" s="360"/>
      <c r="F1047" s="359" t="s">
        <v>1333</v>
      </c>
      <c r="G1047" s="361">
        <v>3.3955857385398982E-5</v>
      </c>
      <c r="H1047" s="359" t="s">
        <v>1286</v>
      </c>
      <c r="I1047" s="361">
        <v>0</v>
      </c>
      <c r="J1047" s="359" t="s">
        <v>1268</v>
      </c>
      <c r="K1047" s="359" t="s">
        <v>1272</v>
      </c>
      <c r="M1047" t="str">
        <f t="shared" si="17"/>
        <v>1,2,4-TRIMETHYLBENZENE</v>
      </c>
    </row>
    <row r="1048" spans="1:13" ht="30" x14ac:dyDescent="0.25">
      <c r="A1048" s="359" t="s">
        <v>1780</v>
      </c>
      <c r="B1048" s="359" t="s">
        <v>871</v>
      </c>
      <c r="C1048" s="359" t="s">
        <v>1347</v>
      </c>
      <c r="D1048" s="359" t="s">
        <v>1348</v>
      </c>
      <c r="E1048" s="360"/>
      <c r="F1048" s="359" t="s">
        <v>1333</v>
      </c>
      <c r="G1048" s="361">
        <v>3.3955857385398982E-5</v>
      </c>
      <c r="H1048" s="359" t="s">
        <v>1286</v>
      </c>
      <c r="I1048" s="361">
        <v>0</v>
      </c>
      <c r="J1048" s="359" t="s">
        <v>1347</v>
      </c>
      <c r="K1048" s="359" t="s">
        <v>1272</v>
      </c>
      <c r="M1048" t="str">
        <f t="shared" si="17"/>
        <v>1,3-BUTADIENE</v>
      </c>
    </row>
    <row r="1049" spans="1:13" ht="30" x14ac:dyDescent="0.25">
      <c r="A1049" s="359" t="s">
        <v>1780</v>
      </c>
      <c r="B1049" s="359" t="s">
        <v>871</v>
      </c>
      <c r="C1049" s="359" t="s">
        <v>1273</v>
      </c>
      <c r="D1049" s="359" t="s">
        <v>1274</v>
      </c>
      <c r="E1049" s="360"/>
      <c r="F1049" s="359" t="s">
        <v>1333</v>
      </c>
      <c r="G1049" s="361">
        <v>3.3955857385398982E-5</v>
      </c>
      <c r="H1049" s="359" t="s">
        <v>1286</v>
      </c>
      <c r="I1049" s="361">
        <v>0</v>
      </c>
      <c r="J1049" s="359" t="s">
        <v>1273</v>
      </c>
      <c r="K1049" s="359" t="s">
        <v>1272</v>
      </c>
      <c r="M1049" t="str">
        <f t="shared" si="17"/>
        <v>BENZENE</v>
      </c>
    </row>
    <row r="1050" spans="1:13" ht="30" x14ac:dyDescent="0.25">
      <c r="A1050" s="359" t="s">
        <v>1780</v>
      </c>
      <c r="B1050" s="359" t="s">
        <v>871</v>
      </c>
      <c r="C1050" s="359" t="s">
        <v>1352</v>
      </c>
      <c r="D1050" s="359" t="s">
        <v>1353</v>
      </c>
      <c r="E1050" s="360"/>
      <c r="F1050" s="359" t="s">
        <v>1333</v>
      </c>
      <c r="G1050" s="361">
        <v>3.3955857385398982E-5</v>
      </c>
      <c r="H1050" s="359" t="s">
        <v>1286</v>
      </c>
      <c r="I1050" s="361">
        <v>0</v>
      </c>
      <c r="J1050" s="359" t="s">
        <v>1352</v>
      </c>
      <c r="K1050" s="359" t="s">
        <v>1272</v>
      </c>
      <c r="M1050" t="str">
        <f t="shared" si="17"/>
        <v>BENZO(G,H,I)PERYLENE</v>
      </c>
    </row>
    <row r="1051" spans="1:13" ht="30" x14ac:dyDescent="0.25">
      <c r="A1051" s="359" t="s">
        <v>1780</v>
      </c>
      <c r="B1051" s="359" t="s">
        <v>871</v>
      </c>
      <c r="C1051" s="359" t="s">
        <v>1355</v>
      </c>
      <c r="D1051" s="359" t="s">
        <v>1356</v>
      </c>
      <c r="E1051" s="360"/>
      <c r="F1051" s="359" t="s">
        <v>1333</v>
      </c>
      <c r="G1051" s="361">
        <v>3.3955857385398982E-5</v>
      </c>
      <c r="H1051" s="359" t="s">
        <v>1286</v>
      </c>
      <c r="I1051" s="361">
        <v>0</v>
      </c>
      <c r="J1051" s="359" t="s">
        <v>1355</v>
      </c>
      <c r="K1051" s="359" t="s">
        <v>1272</v>
      </c>
      <c r="M1051" t="str">
        <f t="shared" si="17"/>
        <v>CARBON DISULFIDE</v>
      </c>
    </row>
    <row r="1052" spans="1:13" ht="30" x14ac:dyDescent="0.25">
      <c r="A1052" s="359" t="s">
        <v>1780</v>
      </c>
      <c r="B1052" s="359" t="s">
        <v>871</v>
      </c>
      <c r="C1052" s="359" t="s">
        <v>1357</v>
      </c>
      <c r="D1052" s="359" t="s">
        <v>1358</v>
      </c>
      <c r="E1052" s="360"/>
      <c r="F1052" s="359" t="s">
        <v>1333</v>
      </c>
      <c r="G1052" s="361">
        <v>3.3955857385398982E-5</v>
      </c>
      <c r="H1052" s="359" t="s">
        <v>1286</v>
      </c>
      <c r="I1052" s="361">
        <v>0</v>
      </c>
      <c r="J1052" s="359" t="s">
        <v>1357</v>
      </c>
      <c r="K1052" s="359" t="s">
        <v>1272</v>
      </c>
      <c r="M1052" t="str">
        <f t="shared" si="17"/>
        <v>CARBONYL SULFIDE</v>
      </c>
    </row>
    <row r="1053" spans="1:13" ht="30" x14ac:dyDescent="0.25">
      <c r="A1053" s="359" t="s">
        <v>1780</v>
      </c>
      <c r="B1053" s="359" t="s">
        <v>871</v>
      </c>
      <c r="C1053" s="359" t="s">
        <v>1284</v>
      </c>
      <c r="D1053" s="359" t="s">
        <v>1285</v>
      </c>
      <c r="E1053" s="360"/>
      <c r="F1053" s="359" t="s">
        <v>1333</v>
      </c>
      <c r="G1053" s="361">
        <v>3.3955857385398982E-5</v>
      </c>
      <c r="H1053" s="359" t="s">
        <v>1286</v>
      </c>
      <c r="I1053" s="361">
        <v>0</v>
      </c>
      <c r="J1053" s="359" t="s">
        <v>1287</v>
      </c>
      <c r="K1053" s="359" t="s">
        <v>1272</v>
      </c>
      <c r="M1053" t="str">
        <f t="shared" si="17"/>
        <v>ISOPROPYLBENZENE</v>
      </c>
    </row>
    <row r="1054" spans="1:13" ht="30" x14ac:dyDescent="0.25">
      <c r="A1054" s="359" t="s">
        <v>1780</v>
      </c>
      <c r="B1054" s="359" t="s">
        <v>871</v>
      </c>
      <c r="C1054" s="359" t="s">
        <v>1291</v>
      </c>
      <c r="D1054" s="359" t="s">
        <v>1292</v>
      </c>
      <c r="E1054" s="360"/>
      <c r="F1054" s="359" t="s">
        <v>1333</v>
      </c>
      <c r="G1054" s="361">
        <v>3.3955857385398982E-5</v>
      </c>
      <c r="H1054" s="359" t="s">
        <v>1286</v>
      </c>
      <c r="I1054" s="361">
        <v>0</v>
      </c>
      <c r="J1054" s="359" t="s">
        <v>1291</v>
      </c>
      <c r="K1054" s="359" t="s">
        <v>1272</v>
      </c>
      <c r="M1054" t="str">
        <f t="shared" si="17"/>
        <v>CYCLOHEXANE</v>
      </c>
    </row>
    <row r="1055" spans="1:13" ht="30" x14ac:dyDescent="0.25">
      <c r="A1055" s="359" t="s">
        <v>1780</v>
      </c>
      <c r="B1055" s="359" t="s">
        <v>871</v>
      </c>
      <c r="C1055" s="359" t="s">
        <v>1295</v>
      </c>
      <c r="D1055" s="359" t="s">
        <v>1296</v>
      </c>
      <c r="E1055" s="360"/>
      <c r="F1055" s="359" t="s">
        <v>1333</v>
      </c>
      <c r="G1055" s="361">
        <v>3.3955857385398982E-5</v>
      </c>
      <c r="H1055" s="359" t="s">
        <v>1286</v>
      </c>
      <c r="I1055" s="361">
        <v>0</v>
      </c>
      <c r="J1055" s="359" t="s">
        <v>1295</v>
      </c>
      <c r="K1055" s="359" t="s">
        <v>1272</v>
      </c>
      <c r="M1055" t="str">
        <f t="shared" si="17"/>
        <v>ETHYLBENZENE</v>
      </c>
    </row>
    <row r="1056" spans="1:13" ht="30" x14ac:dyDescent="0.25">
      <c r="A1056" s="359" t="s">
        <v>1780</v>
      </c>
      <c r="B1056" s="359" t="s">
        <v>871</v>
      </c>
      <c r="C1056" s="359" t="s">
        <v>1365</v>
      </c>
      <c r="D1056" s="359" t="s">
        <v>1366</v>
      </c>
      <c r="E1056" s="360"/>
      <c r="F1056" s="359" t="s">
        <v>1333</v>
      </c>
      <c r="G1056" s="361">
        <v>3.3955857385398982E-5</v>
      </c>
      <c r="H1056" s="359" t="s">
        <v>1286</v>
      </c>
      <c r="I1056" s="361">
        <v>0</v>
      </c>
      <c r="J1056" s="359" t="s">
        <v>1028</v>
      </c>
      <c r="K1056" s="359" t="s">
        <v>1272</v>
      </c>
      <c r="M1056" t="str">
        <f t="shared" si="17"/>
        <v>ETHENE</v>
      </c>
    </row>
    <row r="1057" spans="1:13" ht="30" x14ac:dyDescent="0.25">
      <c r="A1057" s="359" t="s">
        <v>1780</v>
      </c>
      <c r="B1057" s="359" t="s">
        <v>871</v>
      </c>
      <c r="C1057" s="359" t="s">
        <v>1488</v>
      </c>
      <c r="D1057" s="359" t="s">
        <v>1489</v>
      </c>
      <c r="E1057" s="360"/>
      <c r="F1057" s="359" t="s">
        <v>1333</v>
      </c>
      <c r="G1057" s="361">
        <v>3.3955857385398982E-5</v>
      </c>
      <c r="H1057" s="359" t="s">
        <v>1286</v>
      </c>
      <c r="I1057" s="361">
        <v>0</v>
      </c>
      <c r="J1057" s="359" t="s">
        <v>1490</v>
      </c>
      <c r="K1057" s="359" t="s">
        <v>1272</v>
      </c>
      <c r="M1057" t="str">
        <f t="shared" si="17"/>
        <v>HYDROFLUORIC ACID</v>
      </c>
    </row>
    <row r="1058" spans="1:13" ht="30" x14ac:dyDescent="0.25">
      <c r="A1058" s="359" t="s">
        <v>1780</v>
      </c>
      <c r="B1058" s="359" t="s">
        <v>871</v>
      </c>
      <c r="C1058" s="359" t="s">
        <v>1297</v>
      </c>
      <c r="D1058" s="359" t="s">
        <v>1298</v>
      </c>
      <c r="E1058" s="360"/>
      <c r="F1058" s="359" t="s">
        <v>1333</v>
      </c>
      <c r="G1058" s="361">
        <v>3.3955857385398982E-5</v>
      </c>
      <c r="H1058" s="359" t="s">
        <v>1286</v>
      </c>
      <c r="I1058" s="361">
        <v>0</v>
      </c>
      <c r="J1058" s="359" t="s">
        <v>1297</v>
      </c>
      <c r="K1058" s="359" t="s">
        <v>1272</v>
      </c>
      <c r="M1058" t="str">
        <f t="shared" si="17"/>
        <v>LEAD AND LEAD COMPOUNDS</v>
      </c>
    </row>
    <row r="1059" spans="1:13" ht="30" x14ac:dyDescent="0.25">
      <c r="A1059" s="359" t="s">
        <v>1780</v>
      </c>
      <c r="B1059" s="359" t="s">
        <v>871</v>
      </c>
      <c r="C1059" s="359" t="s">
        <v>1300</v>
      </c>
      <c r="D1059" s="359" t="s">
        <v>1301</v>
      </c>
      <c r="E1059" s="360"/>
      <c r="F1059" s="359" t="s">
        <v>1333</v>
      </c>
      <c r="G1059" s="361">
        <v>3.3955857385398982E-5</v>
      </c>
      <c r="H1059" s="359" t="s">
        <v>1286</v>
      </c>
      <c r="I1059" s="361">
        <v>0</v>
      </c>
      <c r="J1059" s="359" t="s">
        <v>1300</v>
      </c>
      <c r="K1059" s="359" t="s">
        <v>1272</v>
      </c>
      <c r="M1059" t="str">
        <f t="shared" si="17"/>
        <v>MERCURY AND MERCURY COMPOUNDS</v>
      </c>
    </row>
    <row r="1060" spans="1:13" ht="30" x14ac:dyDescent="0.25">
      <c r="A1060" s="359" t="s">
        <v>1780</v>
      </c>
      <c r="B1060" s="359" t="s">
        <v>871</v>
      </c>
      <c r="C1060" s="359" t="s">
        <v>1375</v>
      </c>
      <c r="D1060" s="359" t="s">
        <v>1376</v>
      </c>
      <c r="E1060" s="360"/>
      <c r="F1060" s="359" t="s">
        <v>1333</v>
      </c>
      <c r="G1060" s="361">
        <v>3.3955857385398982E-5</v>
      </c>
      <c r="H1060" s="359" t="s">
        <v>1286</v>
      </c>
      <c r="I1060" s="361">
        <v>0</v>
      </c>
      <c r="J1060" s="359" t="s">
        <v>1375</v>
      </c>
      <c r="K1060" s="359" t="s">
        <v>1272</v>
      </c>
      <c r="M1060" t="str">
        <f t="shared" si="17"/>
        <v>METHANOL</v>
      </c>
    </row>
    <row r="1061" spans="1:13" ht="30" x14ac:dyDescent="0.25">
      <c r="A1061" s="359" t="s">
        <v>1780</v>
      </c>
      <c r="B1061" s="359" t="s">
        <v>871</v>
      </c>
      <c r="C1061" s="359" t="s">
        <v>1303</v>
      </c>
      <c r="D1061" s="359" t="s">
        <v>1304</v>
      </c>
      <c r="E1061" s="360"/>
      <c r="F1061" s="359" t="s">
        <v>1333</v>
      </c>
      <c r="G1061" s="361">
        <v>3.3955857385398982E-5</v>
      </c>
      <c r="H1061" s="359" t="s">
        <v>1286</v>
      </c>
      <c r="I1061" s="361">
        <v>0</v>
      </c>
      <c r="J1061" s="359" t="s">
        <v>1303</v>
      </c>
      <c r="K1061" s="359" t="s">
        <v>1272</v>
      </c>
      <c r="M1061" t="str">
        <f t="shared" si="17"/>
        <v>NAPHTHALENE</v>
      </c>
    </row>
    <row r="1062" spans="1:13" ht="30" x14ac:dyDescent="0.25">
      <c r="A1062" s="359" t="s">
        <v>1780</v>
      </c>
      <c r="B1062" s="359" t="s">
        <v>871</v>
      </c>
      <c r="C1062" s="359" t="s">
        <v>1305</v>
      </c>
      <c r="D1062" s="359" t="s">
        <v>1306</v>
      </c>
      <c r="E1062" s="360"/>
      <c r="F1062" s="359" t="s">
        <v>1333</v>
      </c>
      <c r="G1062" s="361">
        <v>3.3955857385398982E-5</v>
      </c>
      <c r="H1062" s="359" t="s">
        <v>1286</v>
      </c>
      <c r="I1062" s="361">
        <v>0</v>
      </c>
      <c r="J1062" s="359" t="s">
        <v>1305</v>
      </c>
      <c r="K1062" s="359" t="s">
        <v>1272</v>
      </c>
      <c r="M1062" t="str">
        <f t="shared" si="17"/>
        <v>N-HEXANE</v>
      </c>
    </row>
    <row r="1063" spans="1:13" ht="30" x14ac:dyDescent="0.25">
      <c r="A1063" s="359" t="s">
        <v>1780</v>
      </c>
      <c r="B1063" s="359" t="s">
        <v>871</v>
      </c>
      <c r="C1063" s="359" t="s">
        <v>1319</v>
      </c>
      <c r="D1063" s="359" t="s">
        <v>1320</v>
      </c>
      <c r="E1063" s="360"/>
      <c r="F1063" s="359" t="s">
        <v>1333</v>
      </c>
      <c r="G1063" s="361">
        <v>3.3955857385398982E-5</v>
      </c>
      <c r="H1063" s="359" t="s">
        <v>1286</v>
      </c>
      <c r="I1063" s="361">
        <v>0</v>
      </c>
      <c r="J1063" s="359" t="s">
        <v>1319</v>
      </c>
      <c r="K1063" s="359" t="s">
        <v>1272</v>
      </c>
      <c r="M1063" t="str">
        <f t="shared" si="17"/>
        <v>POLYCYCLIC AROMATIC COMPOUNDS</v>
      </c>
    </row>
    <row r="1064" spans="1:13" ht="30" x14ac:dyDescent="0.25">
      <c r="A1064" s="359" t="s">
        <v>1780</v>
      </c>
      <c r="B1064" s="359" t="s">
        <v>871</v>
      </c>
      <c r="C1064" s="359" t="s">
        <v>1425</v>
      </c>
      <c r="D1064" s="359" t="s">
        <v>1426</v>
      </c>
      <c r="E1064" s="360"/>
      <c r="F1064" s="359" t="s">
        <v>1333</v>
      </c>
      <c r="G1064" s="361">
        <v>3.3955857385398982E-5</v>
      </c>
      <c r="H1064" s="359" t="s">
        <v>1286</v>
      </c>
      <c r="I1064" s="361">
        <v>0</v>
      </c>
      <c r="J1064" s="359" t="s">
        <v>1425</v>
      </c>
      <c r="K1064" s="359" t="s">
        <v>1272</v>
      </c>
      <c r="M1064" t="str">
        <f t="shared" si="17"/>
        <v>PROPYLENE</v>
      </c>
    </row>
    <row r="1065" spans="1:13" ht="30" x14ac:dyDescent="0.25">
      <c r="A1065" s="359" t="s">
        <v>1780</v>
      </c>
      <c r="B1065" s="359" t="s">
        <v>871</v>
      </c>
      <c r="C1065" s="359" t="s">
        <v>1322</v>
      </c>
      <c r="D1065" s="359" t="s">
        <v>490</v>
      </c>
      <c r="E1065" s="361">
        <v>0</v>
      </c>
      <c r="F1065" s="359" t="s">
        <v>1333</v>
      </c>
      <c r="G1065" s="361">
        <v>3.3955857385398982E-5</v>
      </c>
      <c r="H1065" s="359" t="s">
        <v>490</v>
      </c>
      <c r="I1065" s="361">
        <v>0</v>
      </c>
      <c r="J1065" s="359" t="s">
        <v>1322</v>
      </c>
      <c r="K1065" s="359" t="s">
        <v>1277</v>
      </c>
      <c r="M1065" t="str">
        <f t="shared" si="17"/>
        <v>Solids, total suspended</v>
      </c>
    </row>
    <row r="1066" spans="1:13" ht="30" x14ac:dyDescent="0.25">
      <c r="A1066" s="359" t="s">
        <v>1780</v>
      </c>
      <c r="B1066" s="359" t="s">
        <v>871</v>
      </c>
      <c r="C1066" s="359" t="s">
        <v>1392</v>
      </c>
      <c r="D1066" s="359" t="s">
        <v>1393</v>
      </c>
      <c r="E1066" s="360"/>
      <c r="F1066" s="359" t="s">
        <v>1333</v>
      </c>
      <c r="G1066" s="361">
        <v>3.3955857385398982E-5</v>
      </c>
      <c r="H1066" s="359" t="s">
        <v>1286</v>
      </c>
      <c r="I1066" s="361">
        <v>0</v>
      </c>
      <c r="J1066" s="359" t="s">
        <v>1392</v>
      </c>
      <c r="K1066" s="359" t="s">
        <v>1272</v>
      </c>
      <c r="M1066" t="str">
        <f t="shared" si="17"/>
        <v>STYRENE</v>
      </c>
    </row>
    <row r="1067" spans="1:13" ht="30" x14ac:dyDescent="0.25">
      <c r="A1067" s="359" t="s">
        <v>1780</v>
      </c>
      <c r="B1067" s="359" t="s">
        <v>871</v>
      </c>
      <c r="C1067" s="359" t="s">
        <v>1325</v>
      </c>
      <c r="D1067" s="359" t="s">
        <v>1326</v>
      </c>
      <c r="E1067" s="360"/>
      <c r="F1067" s="359" t="s">
        <v>1333</v>
      </c>
      <c r="G1067" s="361">
        <v>3.3955857385398982E-5</v>
      </c>
      <c r="H1067" s="359" t="s">
        <v>1286</v>
      </c>
      <c r="I1067" s="361">
        <v>0</v>
      </c>
      <c r="J1067" s="359" t="s">
        <v>1325</v>
      </c>
      <c r="K1067" s="359" t="s">
        <v>1272</v>
      </c>
      <c r="M1067" t="str">
        <f t="shared" si="17"/>
        <v>TOLUENE</v>
      </c>
    </row>
    <row r="1068" spans="1:13" ht="30" x14ac:dyDescent="0.25">
      <c r="A1068" s="359" t="s">
        <v>1780</v>
      </c>
      <c r="B1068" s="359" t="s">
        <v>871</v>
      </c>
      <c r="C1068" s="359" t="s">
        <v>1327</v>
      </c>
      <c r="D1068" s="359" t="s">
        <v>1328</v>
      </c>
      <c r="E1068" s="360"/>
      <c r="F1068" s="359" t="s">
        <v>1333</v>
      </c>
      <c r="G1068" s="361">
        <v>3.3955857385398982E-5</v>
      </c>
      <c r="H1068" s="359" t="s">
        <v>1286</v>
      </c>
      <c r="I1068" s="361">
        <v>0</v>
      </c>
      <c r="J1068" s="359" t="s">
        <v>1329</v>
      </c>
      <c r="K1068" s="359" t="s">
        <v>1272</v>
      </c>
      <c r="M1068" t="str">
        <f t="shared" si="17"/>
        <v>XYLENES</v>
      </c>
    </row>
    <row r="1069" spans="1:13" x14ac:dyDescent="0.25">
      <c r="A1069" s="359" t="s">
        <v>1781</v>
      </c>
      <c r="B1069" s="359" t="s">
        <v>840</v>
      </c>
      <c r="C1069" s="359" t="s">
        <v>1354</v>
      </c>
      <c r="D1069" s="359" t="s">
        <v>490</v>
      </c>
      <c r="E1069" s="361">
        <v>5794.5260771000003</v>
      </c>
      <c r="F1069" s="359" t="s">
        <v>1473</v>
      </c>
      <c r="G1069" s="361">
        <v>1.0973317475523551E-5</v>
      </c>
      <c r="H1069" s="359" t="s">
        <v>490</v>
      </c>
      <c r="I1069" s="361">
        <v>1.742059568882695E-4</v>
      </c>
      <c r="J1069" s="359" t="s">
        <v>1354</v>
      </c>
      <c r="K1069" s="359" t="s">
        <v>1277</v>
      </c>
      <c r="M1069" t="str">
        <f t="shared" si="17"/>
        <v>BOD, carbonaceous, 05 day, 20 C</v>
      </c>
    </row>
    <row r="1070" spans="1:13" x14ac:dyDescent="0.25">
      <c r="A1070" s="359" t="s">
        <v>1781</v>
      </c>
      <c r="B1070" s="359" t="s">
        <v>840</v>
      </c>
      <c r="C1070" s="359" t="s">
        <v>1280</v>
      </c>
      <c r="D1070" s="359" t="s">
        <v>1281</v>
      </c>
      <c r="E1070" s="361">
        <v>26.426757369600001</v>
      </c>
      <c r="F1070" s="359" t="s">
        <v>1473</v>
      </c>
      <c r="G1070" s="361">
        <v>1.0973317475523551E-5</v>
      </c>
      <c r="H1070" s="359" t="s">
        <v>490</v>
      </c>
      <c r="I1070" s="361">
        <v>7.9449095469932192E-7</v>
      </c>
      <c r="J1070" s="359" t="s">
        <v>1280</v>
      </c>
      <c r="K1070" s="359" t="s">
        <v>1277</v>
      </c>
      <c r="M1070" t="str">
        <f t="shared" si="17"/>
        <v>Chromium, hexavalent (as Cr)</v>
      </c>
    </row>
    <row r="1071" spans="1:13" x14ac:dyDescent="0.25">
      <c r="A1071" s="359" t="s">
        <v>1781</v>
      </c>
      <c r="B1071" s="359" t="s">
        <v>840</v>
      </c>
      <c r="C1071" s="359" t="s">
        <v>1282</v>
      </c>
      <c r="D1071" s="359" t="s">
        <v>1283</v>
      </c>
      <c r="E1071" s="361">
        <v>17.651700680299999</v>
      </c>
      <c r="F1071" s="359" t="s">
        <v>1473</v>
      </c>
      <c r="G1071" s="361">
        <v>1.0973317475523551E-5</v>
      </c>
      <c r="H1071" s="359" t="s">
        <v>490</v>
      </c>
      <c r="I1071" s="361">
        <v>5.306786727338273E-7</v>
      </c>
      <c r="J1071" s="359" t="s">
        <v>1282</v>
      </c>
      <c r="K1071" s="359" t="s">
        <v>1277</v>
      </c>
      <c r="M1071" t="str">
        <f t="shared" si="17"/>
        <v>Chromium, total (as Cr)</v>
      </c>
    </row>
    <row r="1072" spans="1:13" x14ac:dyDescent="0.25">
      <c r="A1072" s="359" t="s">
        <v>1781</v>
      </c>
      <c r="B1072" s="359" t="s">
        <v>840</v>
      </c>
      <c r="C1072" s="359" t="s">
        <v>1288</v>
      </c>
      <c r="D1072" s="359" t="s">
        <v>1289</v>
      </c>
      <c r="E1072" s="360"/>
      <c r="F1072" s="359" t="s">
        <v>1473</v>
      </c>
      <c r="G1072" s="361">
        <v>1.0973317475523551E-5</v>
      </c>
      <c r="H1072" s="359" t="s">
        <v>1618</v>
      </c>
      <c r="I1072" s="361">
        <v>0.11264001382159938</v>
      </c>
      <c r="J1072" s="359" t="s">
        <v>1288</v>
      </c>
      <c r="K1072" s="359" t="s">
        <v>1272</v>
      </c>
      <c r="M1072" t="str">
        <f t="shared" si="17"/>
        <v>CYANIDE COMPOUNDS</v>
      </c>
    </row>
    <row r="1073" spans="1:13" x14ac:dyDescent="0.25">
      <c r="A1073" s="359" t="s">
        <v>1781</v>
      </c>
      <c r="B1073" s="359" t="s">
        <v>840</v>
      </c>
      <c r="C1073" s="359" t="s">
        <v>1593</v>
      </c>
      <c r="D1073" s="359" t="s">
        <v>1544</v>
      </c>
      <c r="E1073" s="361">
        <v>25.2096145125</v>
      </c>
      <c r="F1073" s="359" t="s">
        <v>1473</v>
      </c>
      <c r="G1073" s="361">
        <v>1.0973317475523551E-5</v>
      </c>
      <c r="H1073" s="359" t="s">
        <v>490</v>
      </c>
      <c r="I1073" s="361">
        <v>7.578989136472011E-7</v>
      </c>
      <c r="J1073" s="359" t="s">
        <v>1593</v>
      </c>
      <c r="K1073" s="359" t="s">
        <v>1277</v>
      </c>
      <c r="M1073" t="str">
        <f t="shared" si="17"/>
        <v>Cyanide, free (amen. to chlorination)</v>
      </c>
    </row>
    <row r="1074" spans="1:13" ht="30" x14ac:dyDescent="0.25">
      <c r="A1074" s="359" t="s">
        <v>1781</v>
      </c>
      <c r="B1074" s="359" t="s">
        <v>840</v>
      </c>
      <c r="C1074" s="359" t="s">
        <v>1447</v>
      </c>
      <c r="D1074" s="359" t="s">
        <v>1448</v>
      </c>
      <c r="E1074" s="360"/>
      <c r="F1074" s="359" t="s">
        <v>1473</v>
      </c>
      <c r="G1074" s="361">
        <v>1.0973317475523551E-5</v>
      </c>
      <c r="H1074" s="359" t="s">
        <v>1613</v>
      </c>
      <c r="I1074" s="361">
        <v>7.4487751075573788E-2</v>
      </c>
      <c r="J1074" s="359" t="s">
        <v>1447</v>
      </c>
      <c r="K1074" s="359" t="s">
        <v>1272</v>
      </c>
      <c r="M1074" t="str">
        <f t="shared" si="17"/>
        <v>MANGANESE AND MANGANESE COMPOUNDS</v>
      </c>
    </row>
    <row r="1075" spans="1:13" x14ac:dyDescent="0.25">
      <c r="A1075" s="359" t="s">
        <v>1781</v>
      </c>
      <c r="B1075" s="359" t="s">
        <v>840</v>
      </c>
      <c r="C1075" s="359" t="s">
        <v>1384</v>
      </c>
      <c r="D1075" s="359" t="s">
        <v>1385</v>
      </c>
      <c r="E1075" s="360"/>
      <c r="F1075" s="359" t="s">
        <v>1473</v>
      </c>
      <c r="G1075" s="361">
        <v>1.0973317475523551E-5</v>
      </c>
      <c r="H1075" s="359" t="s">
        <v>1473</v>
      </c>
      <c r="I1075" s="361">
        <v>5.4503232494322283E-3</v>
      </c>
      <c r="J1075" s="359" t="s">
        <v>1384</v>
      </c>
      <c r="K1075" s="359" t="s">
        <v>1272</v>
      </c>
      <c r="M1075" t="str">
        <f t="shared" si="17"/>
        <v>NICKEL AND NICKEL COMPOUNDS</v>
      </c>
    </row>
    <row r="1076" spans="1:13" x14ac:dyDescent="0.25">
      <c r="A1076" s="359" t="s">
        <v>1781</v>
      </c>
      <c r="B1076" s="359" t="s">
        <v>840</v>
      </c>
      <c r="C1076" s="359" t="s">
        <v>1307</v>
      </c>
      <c r="D1076" s="359" t="s">
        <v>1308</v>
      </c>
      <c r="E1076" s="360"/>
      <c r="F1076" s="359" t="s">
        <v>1473</v>
      </c>
      <c r="G1076" s="361">
        <v>1.0973317475523551E-5</v>
      </c>
      <c r="H1076" s="359" t="s">
        <v>1782</v>
      </c>
      <c r="I1076" s="361">
        <v>473.18798064362363</v>
      </c>
      <c r="J1076" s="359" t="s">
        <v>1310</v>
      </c>
      <c r="K1076" s="359" t="s">
        <v>1272</v>
      </c>
      <c r="M1076" t="str">
        <f t="shared" si="17"/>
        <v>NITRATE</v>
      </c>
    </row>
    <row r="1077" spans="1:13" x14ac:dyDescent="0.25">
      <c r="A1077" s="359" t="s">
        <v>1781</v>
      </c>
      <c r="B1077" s="359" t="s">
        <v>840</v>
      </c>
      <c r="C1077" s="359" t="s">
        <v>1311</v>
      </c>
      <c r="D1077" s="359" t="s">
        <v>1312</v>
      </c>
      <c r="E1077" s="361">
        <v>1825.8049886599999</v>
      </c>
      <c r="F1077" s="359" t="s">
        <v>1473</v>
      </c>
      <c r="G1077" s="361">
        <v>1.0973317475523551E-5</v>
      </c>
      <c r="H1077" s="359" t="s">
        <v>490</v>
      </c>
      <c r="I1077" s="361">
        <v>5.489078846290646E-5</v>
      </c>
      <c r="J1077" s="359" t="s">
        <v>1313</v>
      </c>
      <c r="K1077" s="359" t="s">
        <v>1277</v>
      </c>
      <c r="M1077" t="str">
        <f t="shared" si="17"/>
        <v>AMMONIA</v>
      </c>
    </row>
    <row r="1078" spans="1:13" x14ac:dyDescent="0.25">
      <c r="A1078" s="359" t="s">
        <v>1781</v>
      </c>
      <c r="B1078" s="359" t="s">
        <v>840</v>
      </c>
      <c r="C1078" s="359" t="s">
        <v>1341</v>
      </c>
      <c r="D1078" s="359" t="s">
        <v>490</v>
      </c>
      <c r="E1078" s="361">
        <v>8910.2418773999998</v>
      </c>
      <c r="F1078" s="359" t="s">
        <v>1473</v>
      </c>
      <c r="G1078" s="361">
        <v>1.0973317475523551E-5</v>
      </c>
      <c r="H1078" s="359" t="s">
        <v>490</v>
      </c>
      <c r="I1078" s="361">
        <v>2.6787647371072658E-4</v>
      </c>
      <c r="J1078" s="359" t="s">
        <v>1341</v>
      </c>
      <c r="K1078" s="359" t="s">
        <v>1277</v>
      </c>
      <c r="M1078" t="str">
        <f t="shared" si="17"/>
        <v>Oil &amp; grease</v>
      </c>
    </row>
    <row r="1079" spans="1:13" x14ac:dyDescent="0.25">
      <c r="A1079" s="359" t="s">
        <v>1781</v>
      </c>
      <c r="B1079" s="359" t="s">
        <v>840</v>
      </c>
      <c r="C1079" s="359" t="s">
        <v>1457</v>
      </c>
      <c r="D1079" s="359" t="s">
        <v>490</v>
      </c>
      <c r="E1079" s="361">
        <v>201648.59777150003</v>
      </c>
      <c r="F1079" s="359" t="s">
        <v>1473</v>
      </c>
      <c r="G1079" s="361">
        <v>1.0973317475523551E-5</v>
      </c>
      <c r="H1079" s="359" t="s">
        <v>490</v>
      </c>
      <c r="I1079" s="361">
        <v>6.0623399502488249E-3</v>
      </c>
      <c r="J1079" s="359" t="s">
        <v>1457</v>
      </c>
      <c r="K1079" s="359" t="s">
        <v>1277</v>
      </c>
      <c r="M1079" t="str">
        <f t="shared" si="17"/>
        <v>Chemical Oxygen Demand (COD)</v>
      </c>
    </row>
    <row r="1080" spans="1:13" x14ac:dyDescent="0.25">
      <c r="A1080" s="359" t="s">
        <v>1781</v>
      </c>
      <c r="B1080" s="359" t="s">
        <v>840</v>
      </c>
      <c r="C1080" s="359" t="s">
        <v>1315</v>
      </c>
      <c r="D1080" s="359" t="s">
        <v>1316</v>
      </c>
      <c r="E1080" s="360"/>
      <c r="F1080" s="359" t="s">
        <v>1473</v>
      </c>
      <c r="G1080" s="361">
        <v>1.0973317475523551E-5</v>
      </c>
      <c r="H1080" s="359" t="s">
        <v>1783</v>
      </c>
      <c r="I1080" s="361">
        <v>0.45964392736878457</v>
      </c>
      <c r="J1080" s="359" t="s">
        <v>1315</v>
      </c>
      <c r="K1080" s="359" t="s">
        <v>1272</v>
      </c>
      <c r="M1080" t="str">
        <f t="shared" si="17"/>
        <v>PHENOL</v>
      </c>
    </row>
    <row r="1081" spans="1:13" x14ac:dyDescent="0.25">
      <c r="A1081" s="359" t="s">
        <v>1781</v>
      </c>
      <c r="B1081" s="359" t="s">
        <v>840</v>
      </c>
      <c r="C1081" s="359" t="s">
        <v>1482</v>
      </c>
      <c r="D1081" s="359" t="s">
        <v>490</v>
      </c>
      <c r="E1081" s="361">
        <v>121.507936508</v>
      </c>
      <c r="F1081" s="359" t="s">
        <v>1473</v>
      </c>
      <c r="G1081" s="361">
        <v>1.0973317475523551E-5</v>
      </c>
      <c r="H1081" s="359" t="s">
        <v>490</v>
      </c>
      <c r="I1081" s="361">
        <v>3.6530004468439524E-6</v>
      </c>
      <c r="J1081" s="359" t="s">
        <v>1482</v>
      </c>
      <c r="K1081" s="359" t="s">
        <v>1277</v>
      </c>
      <c r="M1081" t="str">
        <f t="shared" si="17"/>
        <v>Phenols</v>
      </c>
    </row>
    <row r="1082" spans="1:13" x14ac:dyDescent="0.25">
      <c r="A1082" s="359" t="s">
        <v>1781</v>
      </c>
      <c r="B1082" s="359" t="s">
        <v>840</v>
      </c>
      <c r="C1082" s="359" t="s">
        <v>1322</v>
      </c>
      <c r="D1082" s="359" t="s">
        <v>490</v>
      </c>
      <c r="E1082" s="361">
        <v>29097.505668900001</v>
      </c>
      <c r="F1082" s="359" t="s">
        <v>1473</v>
      </c>
      <c r="G1082" s="361">
        <v>1.0973317475523551E-5</v>
      </c>
      <c r="H1082" s="359" t="s">
        <v>490</v>
      </c>
      <c r="I1082" s="361">
        <v>8.7478402041283839E-4</v>
      </c>
      <c r="J1082" s="359" t="s">
        <v>1322</v>
      </c>
      <c r="K1082" s="359" t="s">
        <v>1277</v>
      </c>
      <c r="M1082" t="str">
        <f t="shared" si="17"/>
        <v>Solids, total suspended</v>
      </c>
    </row>
    <row r="1083" spans="1:13" x14ac:dyDescent="0.25">
      <c r="A1083" s="359" t="s">
        <v>1781</v>
      </c>
      <c r="B1083" s="359" t="s">
        <v>840</v>
      </c>
      <c r="C1083" s="359" t="s">
        <v>1323</v>
      </c>
      <c r="D1083" s="359" t="s">
        <v>1324</v>
      </c>
      <c r="E1083" s="361">
        <v>474.88435374099998</v>
      </c>
      <c r="F1083" s="359" t="s">
        <v>1473</v>
      </c>
      <c r="G1083" s="361">
        <v>1.0973317475523551E-5</v>
      </c>
      <c r="H1083" s="359" t="s">
        <v>490</v>
      </c>
      <c r="I1083" s="361">
        <v>1.427686788427075E-5</v>
      </c>
      <c r="J1083" s="359" t="s">
        <v>1323</v>
      </c>
      <c r="K1083" s="359" t="s">
        <v>1277</v>
      </c>
      <c r="M1083" t="str">
        <f t="shared" si="17"/>
        <v>Sulfide, total (as S)</v>
      </c>
    </row>
    <row r="1084" spans="1:13" x14ac:dyDescent="0.25">
      <c r="A1084" s="359" t="s">
        <v>1781</v>
      </c>
      <c r="B1084" s="359" t="s">
        <v>840</v>
      </c>
      <c r="C1084" s="359" t="s">
        <v>1611</v>
      </c>
      <c r="D1084" s="359" t="s">
        <v>1343</v>
      </c>
      <c r="E1084" s="361">
        <v>353.68253968300002</v>
      </c>
      <c r="F1084" s="359" t="s">
        <v>1473</v>
      </c>
      <c r="G1084" s="361">
        <v>1.0973317475523551E-5</v>
      </c>
      <c r="H1084" s="359" t="s">
        <v>490</v>
      </c>
      <c r="I1084" s="361">
        <v>1.0633070667098675E-5</v>
      </c>
      <c r="J1084" s="359" t="s">
        <v>1611</v>
      </c>
      <c r="K1084" s="359" t="s">
        <v>1277</v>
      </c>
      <c r="M1084" t="str">
        <f t="shared" si="17"/>
        <v>Zinc, total (as Zn)</v>
      </c>
    </row>
    <row r="1085" spans="1:13" ht="30" x14ac:dyDescent="0.25">
      <c r="A1085" s="359" t="s">
        <v>1784</v>
      </c>
      <c r="B1085" s="359" t="s">
        <v>842</v>
      </c>
      <c r="C1085" s="359" t="s">
        <v>260</v>
      </c>
      <c r="D1085" s="359" t="s">
        <v>1274</v>
      </c>
      <c r="E1085" s="361">
        <v>0</v>
      </c>
      <c r="F1085" s="359" t="s">
        <v>1412</v>
      </c>
      <c r="G1085" s="361">
        <v>3.6850693014817894E-6</v>
      </c>
      <c r="H1085" s="359" t="s">
        <v>490</v>
      </c>
      <c r="I1085" s="361">
        <v>0</v>
      </c>
      <c r="J1085" s="359" t="s">
        <v>1273</v>
      </c>
      <c r="K1085" s="359" t="s">
        <v>1277</v>
      </c>
      <c r="M1085" t="str">
        <f t="shared" si="17"/>
        <v>BENZENE</v>
      </c>
    </row>
    <row r="1086" spans="1:13" ht="30" x14ac:dyDescent="0.25">
      <c r="A1086" s="359" t="s">
        <v>1784</v>
      </c>
      <c r="B1086" s="359" t="s">
        <v>842</v>
      </c>
      <c r="C1086" s="359" t="s">
        <v>1661</v>
      </c>
      <c r="D1086" s="359" t="s">
        <v>1662</v>
      </c>
      <c r="E1086" s="361">
        <v>0</v>
      </c>
      <c r="F1086" s="359" t="s">
        <v>1412</v>
      </c>
      <c r="G1086" s="361">
        <v>3.6850693014817894E-6</v>
      </c>
      <c r="H1086" s="359" t="s">
        <v>490</v>
      </c>
      <c r="I1086" s="361">
        <v>0</v>
      </c>
      <c r="J1086" s="359" t="s">
        <v>1663</v>
      </c>
      <c r="K1086" s="359" t="s">
        <v>1277</v>
      </c>
      <c r="M1086" t="str">
        <f t="shared" si="17"/>
        <v>BENZ[A]ANTHRACENE</v>
      </c>
    </row>
    <row r="1087" spans="1:13" ht="30" x14ac:dyDescent="0.25">
      <c r="A1087" s="359" t="s">
        <v>1784</v>
      </c>
      <c r="B1087" s="359" t="s">
        <v>842</v>
      </c>
      <c r="C1087" s="359" t="s">
        <v>1352</v>
      </c>
      <c r="D1087" s="359" t="s">
        <v>1353</v>
      </c>
      <c r="E1087" s="360"/>
      <c r="F1087" s="359" t="s">
        <v>1412</v>
      </c>
      <c r="G1087" s="361">
        <v>3.6850693014817894E-6</v>
      </c>
      <c r="H1087" s="359" t="s">
        <v>1785</v>
      </c>
      <c r="I1087" s="361">
        <v>3.5996537878712841E-4</v>
      </c>
      <c r="J1087" s="359" t="s">
        <v>1352</v>
      </c>
      <c r="K1087" s="359" t="s">
        <v>1272</v>
      </c>
      <c r="M1087" t="str">
        <f t="shared" si="17"/>
        <v>BENZO(G,H,I)PERYLENE</v>
      </c>
    </row>
    <row r="1088" spans="1:13" ht="30" x14ac:dyDescent="0.25">
      <c r="A1088" s="359" t="s">
        <v>1784</v>
      </c>
      <c r="B1088" s="359" t="s">
        <v>842</v>
      </c>
      <c r="C1088" s="359" t="s">
        <v>1276</v>
      </c>
      <c r="D1088" s="359" t="s">
        <v>490</v>
      </c>
      <c r="E1088" s="361">
        <v>6079.4783549999993</v>
      </c>
      <c r="F1088" s="359" t="s">
        <v>1412</v>
      </c>
      <c r="G1088" s="361">
        <v>3.6850693014817894E-6</v>
      </c>
      <c r="H1088" s="359" t="s">
        <v>490</v>
      </c>
      <c r="I1088" s="361">
        <v>6.137890152063975E-5</v>
      </c>
      <c r="J1088" s="359" t="s">
        <v>1276</v>
      </c>
      <c r="K1088" s="359" t="s">
        <v>1277</v>
      </c>
      <c r="M1088" t="str">
        <f t="shared" si="17"/>
        <v>BOD, 5-day, 20 deg. C</v>
      </c>
    </row>
    <row r="1089" spans="1:13" ht="30" x14ac:dyDescent="0.25">
      <c r="A1089" s="359" t="s">
        <v>1784</v>
      </c>
      <c r="B1089" s="359" t="s">
        <v>842</v>
      </c>
      <c r="C1089" s="359" t="s">
        <v>1786</v>
      </c>
      <c r="D1089" s="359" t="s">
        <v>1787</v>
      </c>
      <c r="E1089" s="361">
        <v>0</v>
      </c>
      <c r="F1089" s="359" t="s">
        <v>1412</v>
      </c>
      <c r="G1089" s="361">
        <v>3.6850693014817894E-6</v>
      </c>
      <c r="H1089" s="359" t="s">
        <v>490</v>
      </c>
      <c r="I1089" s="361">
        <v>0</v>
      </c>
      <c r="J1089" s="359" t="s">
        <v>1786</v>
      </c>
      <c r="K1089" s="359" t="s">
        <v>1277</v>
      </c>
      <c r="M1089" t="str">
        <f t="shared" si="17"/>
        <v>Cadmium, total (as Cd)</v>
      </c>
    </row>
    <row r="1090" spans="1:13" ht="30" x14ac:dyDescent="0.25">
      <c r="A1090" s="359" t="s">
        <v>1784</v>
      </c>
      <c r="B1090" s="359" t="s">
        <v>842</v>
      </c>
      <c r="C1090" s="359" t="s">
        <v>1278</v>
      </c>
      <c r="D1090" s="359" t="s">
        <v>1279</v>
      </c>
      <c r="E1090" s="361">
        <v>8858.2058250000009</v>
      </c>
      <c r="F1090" s="359" t="s">
        <v>1412</v>
      </c>
      <c r="G1090" s="361">
        <v>3.6850693014817894E-6</v>
      </c>
      <c r="H1090" s="359" t="s">
        <v>490</v>
      </c>
      <c r="I1090" s="361">
        <v>8.9433157128533352E-5</v>
      </c>
      <c r="J1090" s="359" t="s">
        <v>1278</v>
      </c>
      <c r="K1090" s="359" t="s">
        <v>1277</v>
      </c>
      <c r="M1090" t="str">
        <f t="shared" si="17"/>
        <v>Carbon, tot organic (TOC)</v>
      </c>
    </row>
    <row r="1091" spans="1:13" ht="30" x14ac:dyDescent="0.25">
      <c r="A1091" s="359" t="s">
        <v>1784</v>
      </c>
      <c r="B1091" s="359" t="s">
        <v>842</v>
      </c>
      <c r="C1091" s="359" t="s">
        <v>1280</v>
      </c>
      <c r="D1091" s="359" t="s">
        <v>1281</v>
      </c>
      <c r="E1091" s="361">
        <v>0</v>
      </c>
      <c r="F1091" s="359" t="s">
        <v>1412</v>
      </c>
      <c r="G1091" s="361">
        <v>3.6850693014817894E-6</v>
      </c>
      <c r="H1091" s="359" t="s">
        <v>490</v>
      </c>
      <c r="I1091" s="361">
        <v>0</v>
      </c>
      <c r="J1091" s="359" t="s">
        <v>1280</v>
      </c>
      <c r="K1091" s="359" t="s">
        <v>1277</v>
      </c>
      <c r="M1091" t="str">
        <f t="shared" si="17"/>
        <v>Chromium, hexavalent (as Cr)</v>
      </c>
    </row>
    <row r="1092" spans="1:13" ht="30" x14ac:dyDescent="0.25">
      <c r="A1092" s="359" t="s">
        <v>1784</v>
      </c>
      <c r="B1092" s="359" t="s">
        <v>842</v>
      </c>
      <c r="C1092" s="359" t="s">
        <v>1282</v>
      </c>
      <c r="D1092" s="359" t="s">
        <v>1283</v>
      </c>
      <c r="E1092" s="361">
        <v>0</v>
      </c>
      <c r="F1092" s="359" t="s">
        <v>1412</v>
      </c>
      <c r="G1092" s="361">
        <v>3.6850693014817894E-6</v>
      </c>
      <c r="H1092" s="359" t="s">
        <v>490</v>
      </c>
      <c r="I1092" s="361">
        <v>0</v>
      </c>
      <c r="J1092" s="359" t="s">
        <v>1282</v>
      </c>
      <c r="K1092" s="359" t="s">
        <v>1277</v>
      </c>
      <c r="M1092" t="str">
        <f t="shared" si="17"/>
        <v>Chromium, total (as Cr)</v>
      </c>
    </row>
    <row r="1093" spans="1:13" ht="30" x14ac:dyDescent="0.25">
      <c r="A1093" s="359" t="s">
        <v>1784</v>
      </c>
      <c r="B1093" s="359" t="s">
        <v>842</v>
      </c>
      <c r="C1093" s="359" t="s">
        <v>1788</v>
      </c>
      <c r="D1093" s="359" t="s">
        <v>1444</v>
      </c>
      <c r="E1093" s="361">
        <v>0</v>
      </c>
      <c r="F1093" s="359" t="s">
        <v>1412</v>
      </c>
      <c r="G1093" s="361">
        <v>3.6850693014817894E-6</v>
      </c>
      <c r="H1093" s="359" t="s">
        <v>490</v>
      </c>
      <c r="I1093" s="361">
        <v>0</v>
      </c>
      <c r="J1093" s="359" t="s">
        <v>1445</v>
      </c>
      <c r="K1093" s="359" t="s">
        <v>1277</v>
      </c>
      <c r="M1093" t="str">
        <f t="shared" si="17"/>
        <v>CRESOL(S)</v>
      </c>
    </row>
    <row r="1094" spans="1:13" ht="30" x14ac:dyDescent="0.25">
      <c r="A1094" s="359" t="s">
        <v>1784</v>
      </c>
      <c r="B1094" s="359" t="s">
        <v>842</v>
      </c>
      <c r="C1094" s="359" t="s">
        <v>1673</v>
      </c>
      <c r="D1094" s="359" t="s">
        <v>1674</v>
      </c>
      <c r="E1094" s="361">
        <v>0</v>
      </c>
      <c r="F1094" s="359" t="s">
        <v>1412</v>
      </c>
      <c r="G1094" s="361">
        <v>3.6850693014817894E-6</v>
      </c>
      <c r="H1094" s="359" t="s">
        <v>490</v>
      </c>
      <c r="I1094" s="361">
        <v>0</v>
      </c>
      <c r="J1094" s="359" t="s">
        <v>1675</v>
      </c>
      <c r="K1094" s="359" t="s">
        <v>1277</v>
      </c>
      <c r="M1094" t="str">
        <f t="shared" ref="M1094:M1157" si="18">IF(J1094="",C1094,J1094)</f>
        <v>DIBENZ(A,H)ANTHRACENE</v>
      </c>
    </row>
    <row r="1095" spans="1:13" ht="30" x14ac:dyDescent="0.25">
      <c r="A1095" s="359" t="s">
        <v>1784</v>
      </c>
      <c r="B1095" s="359" t="s">
        <v>842</v>
      </c>
      <c r="C1095" s="359" t="s">
        <v>331</v>
      </c>
      <c r="D1095" s="359" t="s">
        <v>1296</v>
      </c>
      <c r="E1095" s="361">
        <v>0</v>
      </c>
      <c r="F1095" s="359" t="s">
        <v>1412</v>
      </c>
      <c r="G1095" s="361">
        <v>3.6850693014817894E-6</v>
      </c>
      <c r="H1095" s="359" t="s">
        <v>490</v>
      </c>
      <c r="I1095" s="361">
        <v>0</v>
      </c>
      <c r="J1095" s="359" t="s">
        <v>1295</v>
      </c>
      <c r="K1095" s="359" t="s">
        <v>1277</v>
      </c>
      <c r="M1095" t="str">
        <f t="shared" si="18"/>
        <v>ETHYLBENZENE</v>
      </c>
    </row>
    <row r="1096" spans="1:13" ht="30" x14ac:dyDescent="0.25">
      <c r="A1096" s="359" t="s">
        <v>1784</v>
      </c>
      <c r="B1096" s="359" t="s">
        <v>842</v>
      </c>
      <c r="C1096" s="359" t="s">
        <v>1789</v>
      </c>
      <c r="D1096" s="359" t="s">
        <v>1790</v>
      </c>
      <c r="E1096" s="361">
        <v>0</v>
      </c>
      <c r="F1096" s="359" t="s">
        <v>1412</v>
      </c>
      <c r="G1096" s="361">
        <v>3.6850693014817894E-6</v>
      </c>
      <c r="H1096" s="359" t="s">
        <v>490</v>
      </c>
      <c r="I1096" s="361">
        <v>0</v>
      </c>
      <c r="J1096" s="359" t="s">
        <v>1789</v>
      </c>
      <c r="K1096" s="359" t="s">
        <v>1277</v>
      </c>
      <c r="M1096" t="str">
        <f t="shared" si="18"/>
        <v>Indeno(1,2,3-cd)pyrene</v>
      </c>
    </row>
    <row r="1097" spans="1:13" ht="30" x14ac:dyDescent="0.25">
      <c r="A1097" s="359" t="s">
        <v>1784</v>
      </c>
      <c r="B1097" s="359" t="s">
        <v>842</v>
      </c>
      <c r="C1097" s="359" t="s">
        <v>1791</v>
      </c>
      <c r="D1097" s="359" t="s">
        <v>1304</v>
      </c>
      <c r="E1097" s="361">
        <v>0</v>
      </c>
      <c r="F1097" s="359" t="s">
        <v>1412</v>
      </c>
      <c r="G1097" s="361">
        <v>3.6850693014817894E-6</v>
      </c>
      <c r="H1097" s="359" t="s">
        <v>490</v>
      </c>
      <c r="I1097" s="361">
        <v>0</v>
      </c>
      <c r="J1097" s="359" t="s">
        <v>1303</v>
      </c>
      <c r="K1097" s="359" t="s">
        <v>1277</v>
      </c>
      <c r="M1097" t="str">
        <f t="shared" si="18"/>
        <v>NAPHTHALENE</v>
      </c>
    </row>
    <row r="1098" spans="1:13" ht="30" x14ac:dyDescent="0.25">
      <c r="A1098" s="359" t="s">
        <v>1784</v>
      </c>
      <c r="B1098" s="359" t="s">
        <v>842</v>
      </c>
      <c r="C1098" s="359" t="s">
        <v>1510</v>
      </c>
      <c r="D1098" s="359" t="s">
        <v>1505</v>
      </c>
      <c r="E1098" s="361">
        <v>3531.8972971725198</v>
      </c>
      <c r="F1098" s="359" t="s">
        <v>1412</v>
      </c>
      <c r="G1098" s="361">
        <v>3.6850693014817894E-6</v>
      </c>
      <c r="H1098" s="359" t="s">
        <v>490</v>
      </c>
      <c r="I1098" s="361">
        <v>3.5658318646019066E-5</v>
      </c>
      <c r="J1098" s="359" t="s">
        <v>1506</v>
      </c>
      <c r="K1098" s="359" t="s">
        <v>1277</v>
      </c>
      <c r="M1098" t="str">
        <f t="shared" si="18"/>
        <v>NITROGEN</v>
      </c>
    </row>
    <row r="1099" spans="1:13" ht="30" x14ac:dyDescent="0.25">
      <c r="A1099" s="359" t="s">
        <v>1784</v>
      </c>
      <c r="B1099" s="359" t="s">
        <v>842</v>
      </c>
      <c r="C1099" s="359" t="s">
        <v>1341</v>
      </c>
      <c r="D1099" s="359" t="s">
        <v>490</v>
      </c>
      <c r="E1099" s="361">
        <v>1769.8811400000002</v>
      </c>
      <c r="F1099" s="359" t="s">
        <v>1412</v>
      </c>
      <c r="G1099" s="361">
        <v>3.6850693014817894E-6</v>
      </c>
      <c r="H1099" s="359" t="s">
        <v>490</v>
      </c>
      <c r="I1099" s="361">
        <v>1.7868862072015328E-5</v>
      </c>
      <c r="J1099" s="359" t="s">
        <v>1341</v>
      </c>
      <c r="K1099" s="359" t="s">
        <v>1277</v>
      </c>
      <c r="M1099" t="str">
        <f t="shared" si="18"/>
        <v>Oil &amp; grease</v>
      </c>
    </row>
    <row r="1100" spans="1:13" ht="30" x14ac:dyDescent="0.25">
      <c r="A1100" s="359" t="s">
        <v>1784</v>
      </c>
      <c r="B1100" s="359" t="s">
        <v>842</v>
      </c>
      <c r="C1100" s="359" t="s">
        <v>1457</v>
      </c>
      <c r="D1100" s="359" t="s">
        <v>490</v>
      </c>
      <c r="E1100" s="361">
        <v>55316.177730000003</v>
      </c>
      <c r="F1100" s="359" t="s">
        <v>1412</v>
      </c>
      <c r="G1100" s="361">
        <v>3.6850693014817894E-6</v>
      </c>
      <c r="H1100" s="359" t="s">
        <v>490</v>
      </c>
      <c r="I1100" s="361">
        <v>5.5847657103598263E-4</v>
      </c>
      <c r="J1100" s="359" t="s">
        <v>1457</v>
      </c>
      <c r="K1100" s="359" t="s">
        <v>1277</v>
      </c>
      <c r="M1100" t="str">
        <f t="shared" si="18"/>
        <v>Chemical Oxygen Demand (COD)</v>
      </c>
    </row>
    <row r="1101" spans="1:13" ht="30" x14ac:dyDescent="0.25">
      <c r="A1101" s="359" t="s">
        <v>1784</v>
      </c>
      <c r="B1101" s="359" t="s">
        <v>842</v>
      </c>
      <c r="C1101" s="359" t="s">
        <v>1315</v>
      </c>
      <c r="D1101" s="359" t="s">
        <v>1316</v>
      </c>
      <c r="E1101" s="360"/>
      <c r="F1101" s="359" t="s">
        <v>1412</v>
      </c>
      <c r="G1101" s="361">
        <v>3.6850693014817894E-6</v>
      </c>
      <c r="H1101" s="359" t="s">
        <v>1286</v>
      </c>
      <c r="I1101" s="361">
        <v>0</v>
      </c>
      <c r="J1101" s="359" t="s">
        <v>1315</v>
      </c>
      <c r="K1101" s="359" t="s">
        <v>1272</v>
      </c>
      <c r="M1101" t="str">
        <f t="shared" si="18"/>
        <v>PHENOL</v>
      </c>
    </row>
    <row r="1102" spans="1:13" ht="30" x14ac:dyDescent="0.25">
      <c r="A1102" s="359" t="s">
        <v>1784</v>
      </c>
      <c r="B1102" s="359" t="s">
        <v>842</v>
      </c>
      <c r="C1102" s="359" t="s">
        <v>1482</v>
      </c>
      <c r="D1102" s="359" t="s">
        <v>490</v>
      </c>
      <c r="E1102" s="361">
        <v>0</v>
      </c>
      <c r="F1102" s="359" t="s">
        <v>1412</v>
      </c>
      <c r="G1102" s="361">
        <v>3.6850693014817894E-6</v>
      </c>
      <c r="H1102" s="359" t="s">
        <v>490</v>
      </c>
      <c r="I1102" s="361">
        <v>0</v>
      </c>
      <c r="J1102" s="359" t="s">
        <v>1482</v>
      </c>
      <c r="K1102" s="359" t="s">
        <v>1277</v>
      </c>
      <c r="M1102" t="str">
        <f t="shared" si="18"/>
        <v>Phenols</v>
      </c>
    </row>
    <row r="1103" spans="1:13" ht="30" x14ac:dyDescent="0.25">
      <c r="A1103" s="359" t="s">
        <v>1784</v>
      </c>
      <c r="B1103" s="359" t="s">
        <v>842</v>
      </c>
      <c r="C1103" s="359" t="s">
        <v>1319</v>
      </c>
      <c r="D1103" s="359" t="s">
        <v>1320</v>
      </c>
      <c r="E1103" s="360"/>
      <c r="F1103" s="359" t="s">
        <v>1412</v>
      </c>
      <c r="G1103" s="361">
        <v>3.6850693014817894E-6</v>
      </c>
      <c r="H1103" s="359" t="s">
        <v>1792</v>
      </c>
      <c r="I1103" s="361">
        <v>1.7388158127852812E-3</v>
      </c>
      <c r="J1103" s="359" t="s">
        <v>1319</v>
      </c>
      <c r="K1103" s="359" t="s">
        <v>1272</v>
      </c>
      <c r="M1103" t="str">
        <f t="shared" si="18"/>
        <v>POLYCYCLIC AROMATIC COMPOUNDS</v>
      </c>
    </row>
    <row r="1104" spans="1:13" ht="30" x14ac:dyDescent="0.25">
      <c r="A1104" s="359" t="s">
        <v>1784</v>
      </c>
      <c r="B1104" s="359" t="s">
        <v>842</v>
      </c>
      <c r="C1104" s="359" t="s">
        <v>1793</v>
      </c>
      <c r="D1104" s="359" t="s">
        <v>1794</v>
      </c>
      <c r="E1104" s="361">
        <v>12.601779000000001</v>
      </c>
      <c r="F1104" s="359" t="s">
        <v>1412</v>
      </c>
      <c r="G1104" s="361">
        <v>3.6850693014817894E-6</v>
      </c>
      <c r="H1104" s="359" t="s">
        <v>490</v>
      </c>
      <c r="I1104" s="361">
        <v>1.272285724300216E-7</v>
      </c>
      <c r="J1104" s="359" t="s">
        <v>1793</v>
      </c>
      <c r="K1104" s="359" t="s">
        <v>1277</v>
      </c>
      <c r="M1104" t="str">
        <f t="shared" si="18"/>
        <v>Polynuc aromatic HC per Method 610</v>
      </c>
    </row>
    <row r="1105" spans="1:13" ht="30" x14ac:dyDescent="0.25">
      <c r="A1105" s="359" t="s">
        <v>1784</v>
      </c>
      <c r="B1105" s="359" t="s">
        <v>842</v>
      </c>
      <c r="C1105" s="359" t="s">
        <v>1322</v>
      </c>
      <c r="D1105" s="359" t="s">
        <v>490</v>
      </c>
      <c r="E1105" s="361">
        <v>97269.541649999999</v>
      </c>
      <c r="F1105" s="359" t="s">
        <v>1412</v>
      </c>
      <c r="G1105" s="361">
        <v>3.6850693014817894E-6</v>
      </c>
      <c r="H1105" s="359" t="s">
        <v>490</v>
      </c>
      <c r="I1105" s="361">
        <v>9.8204110110580636E-4</v>
      </c>
      <c r="J1105" s="359" t="s">
        <v>1322</v>
      </c>
      <c r="K1105" s="359" t="s">
        <v>1277</v>
      </c>
      <c r="M1105" t="str">
        <f t="shared" si="18"/>
        <v>Solids, total suspended</v>
      </c>
    </row>
    <row r="1106" spans="1:13" ht="30" x14ac:dyDescent="0.25">
      <c r="A1106" s="359" t="s">
        <v>1784</v>
      </c>
      <c r="B1106" s="359" t="s">
        <v>842</v>
      </c>
      <c r="C1106" s="359" t="s">
        <v>291</v>
      </c>
      <c r="D1106" s="359" t="s">
        <v>1326</v>
      </c>
      <c r="E1106" s="361">
        <v>12.8481825</v>
      </c>
      <c r="F1106" s="359" t="s">
        <v>1412</v>
      </c>
      <c r="G1106" s="361">
        <v>3.6850693014817894E-6</v>
      </c>
      <c r="H1106" s="359" t="s">
        <v>490</v>
      </c>
      <c r="I1106" s="361">
        <v>1.2971628194680973E-7</v>
      </c>
      <c r="J1106" s="359" t="s">
        <v>1325</v>
      </c>
      <c r="K1106" s="359" t="s">
        <v>1277</v>
      </c>
      <c r="M1106" t="str">
        <f t="shared" si="18"/>
        <v>TOLUENE</v>
      </c>
    </row>
    <row r="1107" spans="1:13" ht="30" x14ac:dyDescent="0.25">
      <c r="A1107" s="359" t="s">
        <v>1784</v>
      </c>
      <c r="B1107" s="359" t="s">
        <v>842</v>
      </c>
      <c r="C1107" s="359" t="s">
        <v>1795</v>
      </c>
      <c r="D1107" s="359" t="s">
        <v>1328</v>
      </c>
      <c r="E1107" s="361">
        <v>25.449961500000001</v>
      </c>
      <c r="F1107" s="359" t="s">
        <v>1412</v>
      </c>
      <c r="G1107" s="361">
        <v>3.6850693014817894E-6</v>
      </c>
      <c r="H1107" s="359" t="s">
        <v>490</v>
      </c>
      <c r="I1107" s="361">
        <v>2.5694485437683135E-7</v>
      </c>
      <c r="J1107" s="359" t="s">
        <v>1329</v>
      </c>
      <c r="K1107" s="359" t="s">
        <v>1277</v>
      </c>
      <c r="M1107" t="str">
        <f t="shared" si="18"/>
        <v>XYLENES</v>
      </c>
    </row>
    <row r="1108" spans="1:13" ht="30" x14ac:dyDescent="0.25">
      <c r="A1108" s="359" t="s">
        <v>1784</v>
      </c>
      <c r="B1108" s="359" t="s">
        <v>842</v>
      </c>
      <c r="C1108" s="359" t="s">
        <v>1611</v>
      </c>
      <c r="D1108" s="359" t="s">
        <v>1343</v>
      </c>
      <c r="E1108" s="361">
        <v>380.83420949999999</v>
      </c>
      <c r="F1108" s="359" t="s">
        <v>1412</v>
      </c>
      <c r="G1108" s="361">
        <v>3.6850693014817894E-6</v>
      </c>
      <c r="H1108" s="359" t="s">
        <v>490</v>
      </c>
      <c r="I1108" s="361">
        <v>3.8449327517329716E-6</v>
      </c>
      <c r="J1108" s="359" t="s">
        <v>1611</v>
      </c>
      <c r="K1108" s="359" t="s">
        <v>1277</v>
      </c>
      <c r="M1108" t="str">
        <f t="shared" si="18"/>
        <v>Zinc, total (as Zn)</v>
      </c>
    </row>
    <row r="1109" spans="1:13" x14ac:dyDescent="0.25">
      <c r="A1109" s="359" t="s">
        <v>1796</v>
      </c>
      <c r="B1109" s="359" t="s">
        <v>629</v>
      </c>
      <c r="C1109" s="359" t="s">
        <v>1313</v>
      </c>
      <c r="D1109" s="359" t="s">
        <v>1312</v>
      </c>
      <c r="E1109" s="360"/>
      <c r="F1109" s="359" t="s">
        <v>1346</v>
      </c>
      <c r="G1109" s="361">
        <v>2.8571428571428571E-5</v>
      </c>
      <c r="H1109" s="359" t="s">
        <v>1797</v>
      </c>
      <c r="I1109" s="361">
        <v>50.520340586565744</v>
      </c>
      <c r="J1109" s="359" t="s">
        <v>1313</v>
      </c>
      <c r="K1109" s="359" t="s">
        <v>1272</v>
      </c>
      <c r="M1109" t="str">
        <f t="shared" si="18"/>
        <v>AMMONIA</v>
      </c>
    </row>
    <row r="1110" spans="1:13" x14ac:dyDescent="0.25">
      <c r="A1110" s="359" t="s">
        <v>1796</v>
      </c>
      <c r="B1110" s="359" t="s">
        <v>629</v>
      </c>
      <c r="C1110" s="359" t="s">
        <v>1300</v>
      </c>
      <c r="D1110" s="359" t="s">
        <v>1301</v>
      </c>
      <c r="E1110" s="360"/>
      <c r="F1110" s="359" t="s">
        <v>1346</v>
      </c>
      <c r="G1110" s="361">
        <v>2.8571428571428571E-5</v>
      </c>
      <c r="H1110" s="359" t="s">
        <v>1798</v>
      </c>
      <c r="I1110" s="361">
        <v>4.7303689687795641E-5</v>
      </c>
      <c r="J1110" s="359" t="s">
        <v>1300</v>
      </c>
      <c r="K1110" s="359" t="s">
        <v>1272</v>
      </c>
      <c r="M1110" t="str">
        <f t="shared" si="18"/>
        <v>MERCURY AND MERCURY COMPOUNDS</v>
      </c>
    </row>
    <row r="1111" spans="1:13" x14ac:dyDescent="0.25">
      <c r="A1111" s="359" t="s">
        <v>1799</v>
      </c>
      <c r="B1111" s="359" t="s">
        <v>623</v>
      </c>
      <c r="C1111" s="359" t="s">
        <v>1268</v>
      </c>
      <c r="D1111" s="359" t="s">
        <v>1269</v>
      </c>
      <c r="E1111" s="360"/>
      <c r="F1111" s="359" t="s">
        <v>1473</v>
      </c>
      <c r="G1111" s="361">
        <v>1.0507447675379363E-5</v>
      </c>
      <c r="H1111" s="359" t="s">
        <v>1286</v>
      </c>
      <c r="I1111" s="361">
        <v>0</v>
      </c>
      <c r="J1111" s="359" t="s">
        <v>1268</v>
      </c>
      <c r="K1111" s="359" t="s">
        <v>1272</v>
      </c>
      <c r="M1111" t="str">
        <f t="shared" si="18"/>
        <v>1,2,4-TRIMETHYLBENZENE</v>
      </c>
    </row>
    <row r="1112" spans="1:13" x14ac:dyDescent="0.25">
      <c r="A1112" s="359" t="s">
        <v>1799</v>
      </c>
      <c r="B1112" s="359" t="s">
        <v>623</v>
      </c>
      <c r="C1112" s="359" t="s">
        <v>1800</v>
      </c>
      <c r="D1112" s="359" t="s">
        <v>1801</v>
      </c>
      <c r="E1112" s="361">
        <v>0</v>
      </c>
      <c r="F1112" s="359" t="s">
        <v>1473</v>
      </c>
      <c r="G1112" s="361">
        <v>1.0507447675379363E-5</v>
      </c>
      <c r="H1112" s="359" t="s">
        <v>490</v>
      </c>
      <c r="I1112" s="361">
        <v>0</v>
      </c>
      <c r="J1112" s="359" t="s">
        <v>1802</v>
      </c>
      <c r="K1112" s="359" t="s">
        <v>1277</v>
      </c>
      <c r="M1112" t="str">
        <f t="shared" si="18"/>
        <v>2,3,7,8-TETRACDD</v>
      </c>
    </row>
    <row r="1113" spans="1:13" x14ac:dyDescent="0.25">
      <c r="A1113" s="359" t="s">
        <v>1799</v>
      </c>
      <c r="B1113" s="359" t="s">
        <v>623</v>
      </c>
      <c r="C1113" s="359" t="s">
        <v>1273</v>
      </c>
      <c r="D1113" s="359" t="s">
        <v>1274</v>
      </c>
      <c r="E1113" s="360"/>
      <c r="F1113" s="359" t="s">
        <v>1473</v>
      </c>
      <c r="G1113" s="361">
        <v>1.0507447675379363E-5</v>
      </c>
      <c r="H1113" s="359" t="s">
        <v>1696</v>
      </c>
      <c r="I1113" s="361">
        <v>5.3928953300788118E-2</v>
      </c>
      <c r="J1113" s="359" t="s">
        <v>1273</v>
      </c>
      <c r="K1113" s="359" t="s">
        <v>1272</v>
      </c>
      <c r="M1113" t="str">
        <f t="shared" si="18"/>
        <v>BENZENE</v>
      </c>
    </row>
    <row r="1114" spans="1:13" x14ac:dyDescent="0.25">
      <c r="A1114" s="359" t="s">
        <v>1799</v>
      </c>
      <c r="B1114" s="359" t="s">
        <v>623</v>
      </c>
      <c r="C1114" s="359" t="s">
        <v>1352</v>
      </c>
      <c r="D1114" s="359" t="s">
        <v>1353</v>
      </c>
      <c r="E1114" s="360"/>
      <c r="F1114" s="359" t="s">
        <v>1473</v>
      </c>
      <c r="G1114" s="361">
        <v>1.0507447675379363E-5</v>
      </c>
      <c r="H1114" s="359" t="s">
        <v>1286</v>
      </c>
      <c r="I1114" s="361">
        <v>0</v>
      </c>
      <c r="J1114" s="359" t="s">
        <v>1352</v>
      </c>
      <c r="K1114" s="359" t="s">
        <v>1272</v>
      </c>
      <c r="M1114" t="str">
        <f t="shared" si="18"/>
        <v>BENZO(G,H,I)PERYLENE</v>
      </c>
    </row>
    <row r="1115" spans="1:13" x14ac:dyDescent="0.25">
      <c r="A1115" s="359" t="s">
        <v>1799</v>
      </c>
      <c r="B1115" s="359" t="s">
        <v>623</v>
      </c>
      <c r="C1115" s="359" t="s">
        <v>1276</v>
      </c>
      <c r="D1115" s="359" t="s">
        <v>490</v>
      </c>
      <c r="E1115" s="361">
        <v>7534.6938775500003</v>
      </c>
      <c r="F1115" s="359" t="s">
        <v>1473</v>
      </c>
      <c r="G1115" s="361">
        <v>1.0507447675379363E-5</v>
      </c>
      <c r="H1115" s="359" t="s">
        <v>490</v>
      </c>
      <c r="I1115" s="361">
        <v>2.1690521005029553E-4</v>
      </c>
      <c r="J1115" s="359" t="s">
        <v>1276</v>
      </c>
      <c r="K1115" s="359" t="s">
        <v>1277</v>
      </c>
      <c r="M1115" t="str">
        <f t="shared" si="18"/>
        <v>BOD, 5-day, 20 deg. C</v>
      </c>
    </row>
    <row r="1116" spans="1:13" x14ac:dyDescent="0.25">
      <c r="A1116" s="359" t="s">
        <v>1799</v>
      </c>
      <c r="B1116" s="359" t="s">
        <v>623</v>
      </c>
      <c r="C1116" s="359" t="s">
        <v>1457</v>
      </c>
      <c r="D1116" s="359" t="s">
        <v>490</v>
      </c>
      <c r="E1116" s="361">
        <v>37665.306122399998</v>
      </c>
      <c r="F1116" s="359" t="s">
        <v>1473</v>
      </c>
      <c r="G1116" s="361">
        <v>1.0507447675379363E-5</v>
      </c>
      <c r="H1116" s="359" t="s">
        <v>490</v>
      </c>
      <c r="I1116" s="361">
        <v>1.084291050022641E-3</v>
      </c>
      <c r="J1116" s="359" t="s">
        <v>1457</v>
      </c>
      <c r="K1116" s="359" t="s">
        <v>1277</v>
      </c>
      <c r="M1116" t="str">
        <f t="shared" si="18"/>
        <v>Chemical Oxygen Demand (COD)</v>
      </c>
    </row>
    <row r="1117" spans="1:13" x14ac:dyDescent="0.25">
      <c r="A1117" s="359" t="s">
        <v>1799</v>
      </c>
      <c r="B1117" s="359" t="s">
        <v>623</v>
      </c>
      <c r="C1117" s="359" t="s">
        <v>1280</v>
      </c>
      <c r="D1117" s="359" t="s">
        <v>1281</v>
      </c>
      <c r="E1117" s="361">
        <v>1.23129251701</v>
      </c>
      <c r="F1117" s="359" t="s">
        <v>1473</v>
      </c>
      <c r="G1117" s="361">
        <v>1.0507447675379363E-5</v>
      </c>
      <c r="H1117" s="359" t="s">
        <v>490</v>
      </c>
      <c r="I1117" s="361">
        <v>3.5445867659092409E-8</v>
      </c>
      <c r="J1117" s="359" t="s">
        <v>1280</v>
      </c>
      <c r="K1117" s="359" t="s">
        <v>1277</v>
      </c>
      <c r="M1117" t="str">
        <f t="shared" si="18"/>
        <v>Chromium, hexavalent (as Cr)</v>
      </c>
    </row>
    <row r="1118" spans="1:13" x14ac:dyDescent="0.25">
      <c r="A1118" s="359" t="s">
        <v>1799</v>
      </c>
      <c r="B1118" s="359" t="s">
        <v>623</v>
      </c>
      <c r="C1118" s="359" t="s">
        <v>1282</v>
      </c>
      <c r="D1118" s="359" t="s">
        <v>1283</v>
      </c>
      <c r="E1118" s="361">
        <v>0.30612244898000002</v>
      </c>
      <c r="F1118" s="359" t="s">
        <v>1473</v>
      </c>
      <c r="G1118" s="361">
        <v>1.0507447675379363E-5</v>
      </c>
      <c r="H1118" s="359" t="s">
        <v>490</v>
      </c>
      <c r="I1118" s="361">
        <v>8.8125085340173673E-9</v>
      </c>
      <c r="J1118" s="359" t="s">
        <v>1282</v>
      </c>
      <c r="K1118" s="359" t="s">
        <v>1277</v>
      </c>
      <c r="M1118" t="str">
        <f t="shared" si="18"/>
        <v>Chromium, total (as Cr)</v>
      </c>
    </row>
    <row r="1119" spans="1:13" x14ac:dyDescent="0.25">
      <c r="A1119" s="359" t="s">
        <v>1799</v>
      </c>
      <c r="B1119" s="359" t="s">
        <v>623</v>
      </c>
      <c r="C1119" s="359" t="s">
        <v>1284</v>
      </c>
      <c r="D1119" s="359" t="s">
        <v>1285</v>
      </c>
      <c r="E1119" s="360"/>
      <c r="F1119" s="359" t="s">
        <v>1473</v>
      </c>
      <c r="G1119" s="361">
        <v>1.0507447675379363E-5</v>
      </c>
      <c r="H1119" s="359" t="s">
        <v>1286</v>
      </c>
      <c r="I1119" s="361">
        <v>0</v>
      </c>
      <c r="J1119" s="359" t="s">
        <v>1287</v>
      </c>
      <c r="K1119" s="359" t="s">
        <v>1272</v>
      </c>
      <c r="M1119" t="str">
        <f t="shared" si="18"/>
        <v>ISOPROPYLBENZENE</v>
      </c>
    </row>
    <row r="1120" spans="1:13" x14ac:dyDescent="0.25">
      <c r="A1120" s="359" t="s">
        <v>1799</v>
      </c>
      <c r="B1120" s="359" t="s">
        <v>623</v>
      </c>
      <c r="C1120" s="359" t="s">
        <v>1291</v>
      </c>
      <c r="D1120" s="359" t="s">
        <v>1292</v>
      </c>
      <c r="E1120" s="360"/>
      <c r="F1120" s="359" t="s">
        <v>1473</v>
      </c>
      <c r="G1120" s="361">
        <v>1.0507447675379363E-5</v>
      </c>
      <c r="H1120" s="359" t="s">
        <v>1270</v>
      </c>
      <c r="I1120" s="361">
        <v>3.4792873097282658E-3</v>
      </c>
      <c r="J1120" s="359" t="s">
        <v>1291</v>
      </c>
      <c r="K1120" s="359" t="s">
        <v>1272</v>
      </c>
      <c r="M1120" t="str">
        <f t="shared" si="18"/>
        <v>CYCLOHEXANE</v>
      </c>
    </row>
    <row r="1121" spans="1:13" x14ac:dyDescent="0.25">
      <c r="A1121" s="359" t="s">
        <v>1799</v>
      </c>
      <c r="B1121" s="359" t="s">
        <v>623</v>
      </c>
      <c r="C1121" s="359" t="s">
        <v>1362</v>
      </c>
      <c r="D1121" s="359" t="s">
        <v>1363</v>
      </c>
      <c r="E1121" s="360"/>
      <c r="F1121" s="359" t="s">
        <v>1473</v>
      </c>
      <c r="G1121" s="361">
        <v>1.0507447675379363E-5</v>
      </c>
      <c r="H1121" s="359" t="s">
        <v>1286</v>
      </c>
      <c r="I1121" s="361">
        <v>0</v>
      </c>
      <c r="J1121" s="359" t="s">
        <v>1362</v>
      </c>
      <c r="K1121" s="359" t="s">
        <v>1272</v>
      </c>
      <c r="M1121" t="str">
        <f t="shared" si="18"/>
        <v>DIOXIN AND DIOXIN-LIKE COMPOUNDS</v>
      </c>
    </row>
    <row r="1122" spans="1:13" x14ac:dyDescent="0.25">
      <c r="A1122" s="359" t="s">
        <v>1799</v>
      </c>
      <c r="B1122" s="359" t="s">
        <v>623</v>
      </c>
      <c r="C1122" s="359" t="s">
        <v>1295</v>
      </c>
      <c r="D1122" s="359" t="s">
        <v>1296</v>
      </c>
      <c r="E1122" s="360"/>
      <c r="F1122" s="359" t="s">
        <v>1473</v>
      </c>
      <c r="G1122" s="361">
        <v>1.0507447675379363E-5</v>
      </c>
      <c r="H1122" s="359" t="s">
        <v>1270</v>
      </c>
      <c r="I1122" s="361">
        <v>3.4792873097282658E-3</v>
      </c>
      <c r="J1122" s="359" t="s">
        <v>1295</v>
      </c>
      <c r="K1122" s="359" t="s">
        <v>1272</v>
      </c>
      <c r="M1122" t="str">
        <f t="shared" si="18"/>
        <v>ETHYLBENZENE</v>
      </c>
    </row>
    <row r="1123" spans="1:13" x14ac:dyDescent="0.25">
      <c r="A1123" s="359" t="s">
        <v>1799</v>
      </c>
      <c r="B1123" s="359" t="s">
        <v>623</v>
      </c>
      <c r="C1123" s="359" t="s">
        <v>1803</v>
      </c>
      <c r="D1123" s="359" t="s">
        <v>1804</v>
      </c>
      <c r="E1123" s="361">
        <v>83.438243249999999</v>
      </c>
      <c r="F1123" s="359" t="s">
        <v>1473</v>
      </c>
      <c r="G1123" s="361">
        <v>1.0507447675379363E-5</v>
      </c>
      <c r="H1123" s="359" t="s">
        <v>490</v>
      </c>
      <c r="I1123" s="361">
        <v>2.4019807536300011E-6</v>
      </c>
      <c r="J1123" s="359" t="s">
        <v>1803</v>
      </c>
      <c r="K1123" s="359" t="s">
        <v>1277</v>
      </c>
      <c r="M1123" t="str">
        <f t="shared" si="18"/>
        <v>Hydrocarbon, aqueous</v>
      </c>
    </row>
    <row r="1124" spans="1:13" x14ac:dyDescent="0.25">
      <c r="A1124" s="359" t="s">
        <v>1799</v>
      </c>
      <c r="B1124" s="359" t="s">
        <v>623</v>
      </c>
      <c r="C1124" s="359" t="s">
        <v>1297</v>
      </c>
      <c r="D1124" s="359" t="s">
        <v>1298</v>
      </c>
      <c r="E1124" s="360"/>
      <c r="F1124" s="359" t="s">
        <v>1473</v>
      </c>
      <c r="G1124" s="361">
        <v>1.0507447675379363E-5</v>
      </c>
      <c r="H1124" s="359" t="s">
        <v>1317</v>
      </c>
      <c r="I1124" s="361">
        <v>1.5656792893777194E-2</v>
      </c>
      <c r="J1124" s="359" t="s">
        <v>1297</v>
      </c>
      <c r="K1124" s="359" t="s">
        <v>1272</v>
      </c>
      <c r="M1124" t="str">
        <f t="shared" si="18"/>
        <v>LEAD AND LEAD COMPOUNDS</v>
      </c>
    </row>
    <row r="1125" spans="1:13" x14ac:dyDescent="0.25">
      <c r="A1125" s="359" t="s">
        <v>1799</v>
      </c>
      <c r="B1125" s="359" t="s">
        <v>623</v>
      </c>
      <c r="C1125" s="359" t="s">
        <v>1300</v>
      </c>
      <c r="D1125" s="359" t="s">
        <v>1301</v>
      </c>
      <c r="E1125" s="360"/>
      <c r="F1125" s="359" t="s">
        <v>1473</v>
      </c>
      <c r="G1125" s="361">
        <v>1.0507447675379363E-5</v>
      </c>
      <c r="H1125" s="359" t="s">
        <v>1333</v>
      </c>
      <c r="I1125" s="361">
        <v>1.7396436548641329E-3</v>
      </c>
      <c r="J1125" s="359" t="s">
        <v>1300</v>
      </c>
      <c r="K1125" s="359" t="s">
        <v>1272</v>
      </c>
      <c r="M1125" t="str">
        <f t="shared" si="18"/>
        <v>MERCURY AND MERCURY COMPOUNDS</v>
      </c>
    </row>
    <row r="1126" spans="1:13" x14ac:dyDescent="0.25">
      <c r="A1126" s="359" t="s">
        <v>1799</v>
      </c>
      <c r="B1126" s="359" t="s">
        <v>623</v>
      </c>
      <c r="C1126" s="359" t="s">
        <v>1468</v>
      </c>
      <c r="D1126" s="359" t="s">
        <v>1459</v>
      </c>
      <c r="E1126" s="361">
        <v>3.1024547349999998E-3</v>
      </c>
      <c r="F1126" s="359" t="s">
        <v>1473</v>
      </c>
      <c r="G1126" s="361">
        <v>1.0507447675379363E-5</v>
      </c>
      <c r="H1126" s="359" t="s">
        <v>490</v>
      </c>
      <c r="I1126" s="361">
        <v>8.9312002173275189E-11</v>
      </c>
      <c r="J1126" s="359" t="s">
        <v>1468</v>
      </c>
      <c r="K1126" s="359" t="s">
        <v>1277</v>
      </c>
      <c r="M1126" t="str">
        <f t="shared" si="18"/>
        <v>Mercury, total (as Hg)</v>
      </c>
    </row>
    <row r="1127" spans="1:13" x14ac:dyDescent="0.25">
      <c r="A1127" s="359" t="s">
        <v>1799</v>
      </c>
      <c r="B1127" s="359" t="s">
        <v>623</v>
      </c>
      <c r="C1127" s="359" t="s">
        <v>1303</v>
      </c>
      <c r="D1127" s="359" t="s">
        <v>1304</v>
      </c>
      <c r="E1127" s="360"/>
      <c r="F1127" s="359" t="s">
        <v>1473</v>
      </c>
      <c r="G1127" s="361">
        <v>1.0507447675379363E-5</v>
      </c>
      <c r="H1127" s="359" t="s">
        <v>1270</v>
      </c>
      <c r="I1127" s="361">
        <v>3.4792873097282658E-3</v>
      </c>
      <c r="J1127" s="359" t="s">
        <v>1303</v>
      </c>
      <c r="K1127" s="359" t="s">
        <v>1272</v>
      </c>
      <c r="M1127" t="str">
        <f t="shared" si="18"/>
        <v>NAPHTHALENE</v>
      </c>
    </row>
    <row r="1128" spans="1:13" x14ac:dyDescent="0.25">
      <c r="A1128" s="359" t="s">
        <v>1799</v>
      </c>
      <c r="B1128" s="359" t="s">
        <v>623</v>
      </c>
      <c r="C1128" s="359" t="s">
        <v>1305</v>
      </c>
      <c r="D1128" s="359" t="s">
        <v>1306</v>
      </c>
      <c r="E1128" s="360"/>
      <c r="F1128" s="359" t="s">
        <v>1473</v>
      </c>
      <c r="G1128" s="361">
        <v>1.0507447675379363E-5</v>
      </c>
      <c r="H1128" s="359" t="s">
        <v>1270</v>
      </c>
      <c r="I1128" s="361">
        <v>3.4792873097282658E-3</v>
      </c>
      <c r="J1128" s="359" t="s">
        <v>1305</v>
      </c>
      <c r="K1128" s="359" t="s">
        <v>1272</v>
      </c>
      <c r="M1128" t="str">
        <f t="shared" si="18"/>
        <v>N-HEXANE</v>
      </c>
    </row>
    <row r="1129" spans="1:13" x14ac:dyDescent="0.25">
      <c r="A1129" s="359" t="s">
        <v>1799</v>
      </c>
      <c r="B1129" s="359" t="s">
        <v>623</v>
      </c>
      <c r="C1129" s="359" t="s">
        <v>1311</v>
      </c>
      <c r="D1129" s="359" t="s">
        <v>1312</v>
      </c>
      <c r="E1129" s="361">
        <v>3822.67573696</v>
      </c>
      <c r="F1129" s="359" t="s">
        <v>1473</v>
      </c>
      <c r="G1129" s="361">
        <v>1.0507447675379363E-5</v>
      </c>
      <c r="H1129" s="359" t="s">
        <v>490</v>
      </c>
      <c r="I1129" s="361">
        <v>1.1004538434534095E-4</v>
      </c>
      <c r="J1129" s="359" t="s">
        <v>1313</v>
      </c>
      <c r="K1129" s="359" t="s">
        <v>1277</v>
      </c>
      <c r="M1129" t="str">
        <f t="shared" si="18"/>
        <v>AMMONIA</v>
      </c>
    </row>
    <row r="1130" spans="1:13" x14ac:dyDescent="0.25">
      <c r="A1130" s="359" t="s">
        <v>1799</v>
      </c>
      <c r="B1130" s="359" t="s">
        <v>623</v>
      </c>
      <c r="C1130" s="359" t="s">
        <v>1805</v>
      </c>
      <c r="D1130" s="359" t="s">
        <v>1312</v>
      </c>
      <c r="E1130" s="361">
        <v>4678.8353200000001</v>
      </c>
      <c r="F1130" s="359" t="s">
        <v>1473</v>
      </c>
      <c r="G1130" s="361">
        <v>1.0507447675379363E-5</v>
      </c>
      <c r="H1130" s="359" t="s">
        <v>490</v>
      </c>
      <c r="I1130" s="361">
        <v>1.3469210220990921E-4</v>
      </c>
      <c r="J1130" s="359" t="s">
        <v>1313</v>
      </c>
      <c r="K1130" s="359" t="s">
        <v>1277</v>
      </c>
      <c r="M1130" t="str">
        <f t="shared" si="18"/>
        <v>AMMONIA</v>
      </c>
    </row>
    <row r="1131" spans="1:13" x14ac:dyDescent="0.25">
      <c r="A1131" s="359" t="s">
        <v>1799</v>
      </c>
      <c r="B1131" s="359" t="s">
        <v>623</v>
      </c>
      <c r="C1131" s="359" t="s">
        <v>1314</v>
      </c>
      <c r="D1131" s="359" t="s">
        <v>490</v>
      </c>
      <c r="E1131" s="361">
        <v>2000.9070294799999</v>
      </c>
      <c r="F1131" s="359" t="s">
        <v>1473</v>
      </c>
      <c r="G1131" s="361">
        <v>1.0507447675379363E-5</v>
      </c>
      <c r="H1131" s="359" t="s">
        <v>490</v>
      </c>
      <c r="I1131" s="361">
        <v>5.7601166891944796E-5</v>
      </c>
      <c r="J1131" s="359" t="s">
        <v>1314</v>
      </c>
      <c r="K1131" s="359" t="s">
        <v>1277</v>
      </c>
      <c r="M1131" t="str">
        <f t="shared" si="18"/>
        <v>Oil and grease</v>
      </c>
    </row>
    <row r="1132" spans="1:13" x14ac:dyDescent="0.25">
      <c r="A1132" s="359" t="s">
        <v>1799</v>
      </c>
      <c r="B1132" s="359" t="s">
        <v>623</v>
      </c>
      <c r="C1132" s="359" t="s">
        <v>1318</v>
      </c>
      <c r="D1132" s="359" t="s">
        <v>490</v>
      </c>
      <c r="E1132" s="361">
        <v>0.834467120181</v>
      </c>
      <c r="F1132" s="359" t="s">
        <v>1473</v>
      </c>
      <c r="G1132" s="361">
        <v>1.0507447675379363E-5</v>
      </c>
      <c r="H1132" s="359" t="s">
        <v>490</v>
      </c>
      <c r="I1132" s="361">
        <v>2.4022245485277699E-8</v>
      </c>
      <c r="J1132" s="359" t="s">
        <v>1318</v>
      </c>
      <c r="K1132" s="359" t="s">
        <v>1277</v>
      </c>
      <c r="M1132" t="str">
        <f t="shared" si="18"/>
        <v>Phenolics, total recoverable</v>
      </c>
    </row>
    <row r="1133" spans="1:13" x14ac:dyDescent="0.25">
      <c r="A1133" s="359" t="s">
        <v>1799</v>
      </c>
      <c r="B1133" s="359" t="s">
        <v>623</v>
      </c>
      <c r="C1133" s="359" t="s">
        <v>1319</v>
      </c>
      <c r="D1133" s="359" t="s">
        <v>1320</v>
      </c>
      <c r="E1133" s="360"/>
      <c r="F1133" s="359" t="s">
        <v>1473</v>
      </c>
      <c r="G1133" s="361">
        <v>1.0507447675379363E-5</v>
      </c>
      <c r="H1133" s="359" t="s">
        <v>1346</v>
      </c>
      <c r="I1133" s="361">
        <v>8.698218274320664E-3</v>
      </c>
      <c r="J1133" s="359" t="s">
        <v>1319</v>
      </c>
      <c r="K1133" s="359" t="s">
        <v>1272</v>
      </c>
      <c r="M1133" t="str">
        <f t="shared" si="18"/>
        <v>POLYCYCLIC AROMATIC COMPOUNDS</v>
      </c>
    </row>
    <row r="1134" spans="1:13" x14ac:dyDescent="0.25">
      <c r="A1134" s="359" t="s">
        <v>1799</v>
      </c>
      <c r="B1134" s="359" t="s">
        <v>623</v>
      </c>
      <c r="C1134" s="359" t="s">
        <v>1425</v>
      </c>
      <c r="D1134" s="359" t="s">
        <v>1426</v>
      </c>
      <c r="E1134" s="360"/>
      <c r="F1134" s="359" t="s">
        <v>1473</v>
      </c>
      <c r="G1134" s="361">
        <v>1.0507447675379363E-5</v>
      </c>
      <c r="H1134" s="359" t="s">
        <v>1286</v>
      </c>
      <c r="I1134" s="361">
        <v>0</v>
      </c>
      <c r="J1134" s="359" t="s">
        <v>1425</v>
      </c>
      <c r="K1134" s="359" t="s">
        <v>1272</v>
      </c>
      <c r="M1134" t="str">
        <f t="shared" si="18"/>
        <v>PROPYLENE</v>
      </c>
    </row>
    <row r="1135" spans="1:13" x14ac:dyDescent="0.25">
      <c r="A1135" s="359" t="s">
        <v>1799</v>
      </c>
      <c r="B1135" s="359" t="s">
        <v>623</v>
      </c>
      <c r="C1135" s="359" t="s">
        <v>1322</v>
      </c>
      <c r="D1135" s="359" t="s">
        <v>490</v>
      </c>
      <c r="E1135" s="361">
        <v>8017.6870748299998</v>
      </c>
      <c r="F1135" s="359" t="s">
        <v>1473</v>
      </c>
      <c r="G1135" s="361">
        <v>1.0507447675379363E-5</v>
      </c>
      <c r="H1135" s="359" t="s">
        <v>490</v>
      </c>
      <c r="I1135" s="361">
        <v>2.3080939018175795E-4</v>
      </c>
      <c r="J1135" s="359" t="s">
        <v>1322</v>
      </c>
      <c r="K1135" s="359" t="s">
        <v>1277</v>
      </c>
      <c r="M1135" t="str">
        <f t="shared" si="18"/>
        <v>Solids, total suspended</v>
      </c>
    </row>
    <row r="1136" spans="1:13" x14ac:dyDescent="0.25">
      <c r="A1136" s="359" t="s">
        <v>1799</v>
      </c>
      <c r="B1136" s="359" t="s">
        <v>623</v>
      </c>
      <c r="C1136" s="359" t="s">
        <v>1323</v>
      </c>
      <c r="D1136" s="359" t="s">
        <v>1324</v>
      </c>
      <c r="E1136" s="361">
        <v>0.24852607709800001</v>
      </c>
      <c r="F1136" s="359" t="s">
        <v>1473</v>
      </c>
      <c r="G1136" s="361">
        <v>1.0507447675379363E-5</v>
      </c>
      <c r="H1136" s="359" t="s">
        <v>490</v>
      </c>
      <c r="I1136" s="361">
        <v>7.1544513728069385E-9</v>
      </c>
      <c r="J1136" s="359" t="s">
        <v>1323</v>
      </c>
      <c r="K1136" s="359" t="s">
        <v>1277</v>
      </c>
      <c r="M1136" t="str">
        <f t="shared" si="18"/>
        <v>Sulfide, total (as S)</v>
      </c>
    </row>
    <row r="1137" spans="1:13" x14ac:dyDescent="0.25">
      <c r="A1137" s="359" t="s">
        <v>1799</v>
      </c>
      <c r="B1137" s="359" t="s">
        <v>623</v>
      </c>
      <c r="C1137" s="359" t="s">
        <v>1325</v>
      </c>
      <c r="D1137" s="359" t="s">
        <v>1326</v>
      </c>
      <c r="E1137" s="360"/>
      <c r="F1137" s="359" t="s">
        <v>1473</v>
      </c>
      <c r="G1137" s="361">
        <v>1.0507447675379363E-5</v>
      </c>
      <c r="H1137" s="359" t="s">
        <v>1412</v>
      </c>
      <c r="I1137" s="361">
        <v>6.9585746194565316E-3</v>
      </c>
      <c r="J1137" s="359" t="s">
        <v>1325</v>
      </c>
      <c r="K1137" s="359" t="s">
        <v>1272</v>
      </c>
      <c r="M1137" t="str">
        <f t="shared" si="18"/>
        <v>TOLUENE</v>
      </c>
    </row>
    <row r="1138" spans="1:13" x14ac:dyDescent="0.25">
      <c r="A1138" s="359" t="s">
        <v>1799</v>
      </c>
      <c r="B1138" s="359" t="s">
        <v>623</v>
      </c>
      <c r="C1138" s="359" t="s">
        <v>1327</v>
      </c>
      <c r="D1138" s="359" t="s">
        <v>1328</v>
      </c>
      <c r="E1138" s="360"/>
      <c r="F1138" s="359" t="s">
        <v>1473</v>
      </c>
      <c r="G1138" s="361">
        <v>1.0507447675379363E-5</v>
      </c>
      <c r="H1138" s="359" t="s">
        <v>1806</v>
      </c>
      <c r="I1138" s="361">
        <v>0.12873363045994582</v>
      </c>
      <c r="J1138" s="359" t="s">
        <v>1329</v>
      </c>
      <c r="K1138" s="359" t="s">
        <v>1272</v>
      </c>
      <c r="M1138" t="str">
        <f t="shared" si="18"/>
        <v>XYLENES</v>
      </c>
    </row>
    <row r="1139" spans="1:13" ht="30" x14ac:dyDescent="0.25">
      <c r="A1139" s="359" t="s">
        <v>1807</v>
      </c>
      <c r="B1139" s="359" t="s">
        <v>800</v>
      </c>
      <c r="C1139" s="359" t="s">
        <v>1313</v>
      </c>
      <c r="D1139" s="359" t="s">
        <v>1312</v>
      </c>
      <c r="E1139" s="360"/>
      <c r="F1139" s="359" t="s">
        <v>1346</v>
      </c>
      <c r="G1139" s="361">
        <v>6.1919504643962844E-6</v>
      </c>
      <c r="H1139" s="359" t="s">
        <v>1808</v>
      </c>
      <c r="I1139" s="361">
        <v>0.66102146679515295</v>
      </c>
      <c r="J1139" s="359" t="s">
        <v>1313</v>
      </c>
      <c r="K1139" s="359" t="s">
        <v>1272</v>
      </c>
      <c r="M1139" t="str">
        <f t="shared" si="18"/>
        <v>AMMONIA</v>
      </c>
    </row>
    <row r="1140" spans="1:13" ht="30" x14ac:dyDescent="0.25">
      <c r="A1140" s="359" t="s">
        <v>1807</v>
      </c>
      <c r="B1140" s="359" t="s">
        <v>800</v>
      </c>
      <c r="C1140" s="359" t="s">
        <v>1702</v>
      </c>
      <c r="D1140" s="359" t="s">
        <v>1430</v>
      </c>
      <c r="E1140" s="360"/>
      <c r="F1140" s="359" t="s">
        <v>1346</v>
      </c>
      <c r="G1140" s="361">
        <v>6.1919504643962844E-6</v>
      </c>
      <c r="H1140" s="359" t="s">
        <v>1809</v>
      </c>
      <c r="I1140" s="361">
        <v>0.62529473274147573</v>
      </c>
      <c r="J1140" s="359" t="s">
        <v>1702</v>
      </c>
      <c r="K1140" s="359" t="s">
        <v>1272</v>
      </c>
      <c r="M1140" t="str">
        <f t="shared" si="18"/>
        <v>BARIUM AND BARIUM COMPOUNDS</v>
      </c>
    </row>
    <row r="1141" spans="1:13" ht="30" x14ac:dyDescent="0.25">
      <c r="A1141" s="359" t="s">
        <v>1807</v>
      </c>
      <c r="B1141" s="359" t="s">
        <v>800</v>
      </c>
      <c r="C1141" s="359" t="s">
        <v>1440</v>
      </c>
      <c r="D1141" s="359" t="s">
        <v>1441</v>
      </c>
      <c r="E1141" s="360"/>
      <c r="F1141" s="359" t="s">
        <v>1346</v>
      </c>
      <c r="G1141" s="361">
        <v>6.1919504643962844E-6</v>
      </c>
      <c r="H1141" s="359" t="s">
        <v>1810</v>
      </c>
      <c r="I1141" s="361">
        <v>3.7582268878272804E-2</v>
      </c>
      <c r="J1141" s="359" t="s">
        <v>1440</v>
      </c>
      <c r="K1141" s="359" t="s">
        <v>1272</v>
      </c>
      <c r="M1141" t="str">
        <f t="shared" si="18"/>
        <v>COPPER AND COPPER COMPOUNDS</v>
      </c>
    </row>
    <row r="1142" spans="1:13" ht="30" x14ac:dyDescent="0.25">
      <c r="A1142" s="359" t="s">
        <v>1807</v>
      </c>
      <c r="B1142" s="359" t="s">
        <v>800</v>
      </c>
      <c r="C1142" s="359" t="s">
        <v>1288</v>
      </c>
      <c r="D1142" s="359" t="s">
        <v>1289</v>
      </c>
      <c r="E1142" s="360"/>
      <c r="F1142" s="359" t="s">
        <v>1346</v>
      </c>
      <c r="G1142" s="361">
        <v>6.1919504643962844E-6</v>
      </c>
      <c r="H1142" s="359" t="s">
        <v>1811</v>
      </c>
      <c r="I1142" s="361">
        <v>2.0759436573514031E-2</v>
      </c>
      <c r="J1142" s="359" t="s">
        <v>1288</v>
      </c>
      <c r="K1142" s="359" t="s">
        <v>1272</v>
      </c>
      <c r="M1142" t="str">
        <f t="shared" si="18"/>
        <v>CYANIDE COMPOUNDS</v>
      </c>
    </row>
    <row r="1143" spans="1:13" ht="30" x14ac:dyDescent="0.25">
      <c r="A1143" s="359" t="s">
        <v>1807</v>
      </c>
      <c r="B1143" s="359" t="s">
        <v>800</v>
      </c>
      <c r="C1143" s="359" t="s">
        <v>1297</v>
      </c>
      <c r="D1143" s="359" t="s">
        <v>1298</v>
      </c>
      <c r="E1143" s="360"/>
      <c r="F1143" s="359" t="s">
        <v>1346</v>
      </c>
      <c r="G1143" s="361">
        <v>6.1919504643962844E-6</v>
      </c>
      <c r="H1143" s="359" t="s">
        <v>1812</v>
      </c>
      <c r="I1143" s="361">
        <v>4.8900006150944158E-3</v>
      </c>
      <c r="J1143" s="359" t="s">
        <v>1297</v>
      </c>
      <c r="K1143" s="359" t="s">
        <v>1272</v>
      </c>
      <c r="M1143" t="str">
        <f t="shared" si="18"/>
        <v>LEAD AND LEAD COMPOUNDS</v>
      </c>
    </row>
    <row r="1144" spans="1:13" ht="30" x14ac:dyDescent="0.25">
      <c r="A1144" s="359" t="s">
        <v>1807</v>
      </c>
      <c r="B1144" s="359" t="s">
        <v>800</v>
      </c>
      <c r="C1144" s="359" t="s">
        <v>1300</v>
      </c>
      <c r="D1144" s="359" t="s">
        <v>1301</v>
      </c>
      <c r="E1144" s="360"/>
      <c r="F1144" s="359" t="s">
        <v>1346</v>
      </c>
      <c r="G1144" s="361">
        <v>6.1919504643962844E-6</v>
      </c>
      <c r="H1144" s="359" t="s">
        <v>1813</v>
      </c>
      <c r="I1144" s="361">
        <v>3.0754720849650415E-5</v>
      </c>
      <c r="J1144" s="359" t="s">
        <v>1300</v>
      </c>
      <c r="K1144" s="359" t="s">
        <v>1272</v>
      </c>
      <c r="M1144" t="str">
        <f t="shared" si="18"/>
        <v>MERCURY AND MERCURY COMPOUNDS</v>
      </c>
    </row>
    <row r="1145" spans="1:13" ht="30" x14ac:dyDescent="0.25">
      <c r="A1145" s="359" t="s">
        <v>1807</v>
      </c>
      <c r="B1145" s="359" t="s">
        <v>800</v>
      </c>
      <c r="C1145" s="359" t="s">
        <v>1307</v>
      </c>
      <c r="D1145" s="359" t="s">
        <v>1308</v>
      </c>
      <c r="E1145" s="360"/>
      <c r="F1145" s="359" t="s">
        <v>1346</v>
      </c>
      <c r="G1145" s="361">
        <v>6.1919504643962844E-6</v>
      </c>
      <c r="H1145" s="359" t="s">
        <v>1814</v>
      </c>
      <c r="I1145" s="361">
        <v>93.464170750210144</v>
      </c>
      <c r="J1145" s="359" t="s">
        <v>1310</v>
      </c>
      <c r="K1145" s="359" t="s">
        <v>1272</v>
      </c>
      <c r="M1145" t="str">
        <f t="shared" si="18"/>
        <v>NITRATE</v>
      </c>
    </row>
    <row r="1146" spans="1:13" ht="30" x14ac:dyDescent="0.25">
      <c r="A1146" s="359" t="s">
        <v>1807</v>
      </c>
      <c r="B1146" s="359" t="s">
        <v>800</v>
      </c>
      <c r="C1146" s="359" t="s">
        <v>1603</v>
      </c>
      <c r="D1146" s="359" t="s">
        <v>1427</v>
      </c>
      <c r="E1146" s="360"/>
      <c r="F1146" s="359" t="s">
        <v>1346</v>
      </c>
      <c r="G1146" s="361">
        <v>6.1919504643962844E-6</v>
      </c>
      <c r="H1146" s="359" t="s">
        <v>1815</v>
      </c>
      <c r="I1146" s="361">
        <v>8.3345293502552625E-2</v>
      </c>
      <c r="J1146" s="359" t="s">
        <v>1603</v>
      </c>
      <c r="K1146" s="359" t="s">
        <v>1272</v>
      </c>
      <c r="M1146" t="str">
        <f t="shared" si="18"/>
        <v>SELENIUM AND SELENIUM COMPOUNDS</v>
      </c>
    </row>
    <row r="1147" spans="1:13" x14ac:dyDescent="0.25">
      <c r="A1147" s="359" t="s">
        <v>1816</v>
      </c>
      <c r="B1147" s="359" t="s">
        <v>632</v>
      </c>
      <c r="C1147" s="359" t="s">
        <v>1268</v>
      </c>
      <c r="D1147" s="359" t="s">
        <v>1269</v>
      </c>
      <c r="E1147" s="360"/>
      <c r="F1147" s="359" t="s">
        <v>1270</v>
      </c>
      <c r="G1147" s="361">
        <v>1.4285714285714285E-5</v>
      </c>
      <c r="H1147" s="359" t="s">
        <v>1346</v>
      </c>
      <c r="I1147" s="361">
        <v>1.1825922421948911E-2</v>
      </c>
      <c r="J1147" s="359" t="s">
        <v>1268</v>
      </c>
      <c r="K1147" s="359" t="s">
        <v>1272</v>
      </c>
      <c r="M1147" t="str">
        <f t="shared" si="18"/>
        <v>1,2,4-TRIMETHYLBENZENE</v>
      </c>
    </row>
    <row r="1148" spans="1:13" x14ac:dyDescent="0.25">
      <c r="A1148" s="359" t="s">
        <v>1816</v>
      </c>
      <c r="B1148" s="359" t="s">
        <v>632</v>
      </c>
      <c r="C1148" s="359" t="s">
        <v>1313</v>
      </c>
      <c r="D1148" s="359" t="s">
        <v>1312</v>
      </c>
      <c r="E1148" s="360"/>
      <c r="F1148" s="359" t="s">
        <v>1270</v>
      </c>
      <c r="G1148" s="361">
        <v>1.4285714285714285E-5</v>
      </c>
      <c r="H1148" s="359" t="s">
        <v>1817</v>
      </c>
      <c r="I1148" s="361">
        <v>1.0903500473036896</v>
      </c>
      <c r="J1148" s="359" t="s">
        <v>1313</v>
      </c>
      <c r="K1148" s="359" t="s">
        <v>1272</v>
      </c>
      <c r="M1148" t="str">
        <f t="shared" si="18"/>
        <v>AMMONIA</v>
      </c>
    </row>
    <row r="1149" spans="1:13" x14ac:dyDescent="0.25">
      <c r="A1149" s="359" t="s">
        <v>1816</v>
      </c>
      <c r="B1149" s="359" t="s">
        <v>632</v>
      </c>
      <c r="C1149" s="359" t="s">
        <v>1273</v>
      </c>
      <c r="D1149" s="359" t="s">
        <v>1274</v>
      </c>
      <c r="E1149" s="360"/>
      <c r="F1149" s="359" t="s">
        <v>1270</v>
      </c>
      <c r="G1149" s="361">
        <v>1.4285714285714285E-5</v>
      </c>
      <c r="H1149" s="359" t="s">
        <v>1692</v>
      </c>
      <c r="I1149" s="361">
        <v>3.7842951750236511E-2</v>
      </c>
      <c r="J1149" s="359" t="s">
        <v>1273</v>
      </c>
      <c r="K1149" s="359" t="s">
        <v>1272</v>
      </c>
      <c r="M1149" t="str">
        <f t="shared" si="18"/>
        <v>BENZENE</v>
      </c>
    </row>
    <row r="1150" spans="1:13" x14ac:dyDescent="0.25">
      <c r="A1150" s="359" t="s">
        <v>1816</v>
      </c>
      <c r="B1150" s="359" t="s">
        <v>632</v>
      </c>
      <c r="C1150" s="359" t="s">
        <v>1443</v>
      </c>
      <c r="D1150" s="359" t="s">
        <v>1444</v>
      </c>
      <c r="E1150" s="360"/>
      <c r="F1150" s="359" t="s">
        <v>1270</v>
      </c>
      <c r="G1150" s="361">
        <v>1.4285714285714285E-5</v>
      </c>
      <c r="H1150" s="359" t="s">
        <v>1455</v>
      </c>
      <c r="I1150" s="361">
        <v>3.3112582781456949E-2</v>
      </c>
      <c r="J1150" s="359" t="s">
        <v>1445</v>
      </c>
      <c r="K1150" s="359" t="s">
        <v>1272</v>
      </c>
      <c r="M1150" t="str">
        <f t="shared" si="18"/>
        <v>CRESOL(S)</v>
      </c>
    </row>
    <row r="1151" spans="1:13" x14ac:dyDescent="0.25">
      <c r="A1151" s="359" t="s">
        <v>1816</v>
      </c>
      <c r="B1151" s="359" t="s">
        <v>632</v>
      </c>
      <c r="C1151" s="359" t="s">
        <v>1284</v>
      </c>
      <c r="D1151" s="359" t="s">
        <v>1285</v>
      </c>
      <c r="E1151" s="360"/>
      <c r="F1151" s="359" t="s">
        <v>1270</v>
      </c>
      <c r="G1151" s="361">
        <v>1.4285714285714285E-5</v>
      </c>
      <c r="H1151" s="359" t="s">
        <v>1346</v>
      </c>
      <c r="I1151" s="361">
        <v>1.1825922421948911E-2</v>
      </c>
      <c r="J1151" s="359" t="s">
        <v>1287</v>
      </c>
      <c r="K1151" s="359" t="s">
        <v>1272</v>
      </c>
      <c r="M1151" t="str">
        <f t="shared" si="18"/>
        <v>ISOPROPYLBENZENE</v>
      </c>
    </row>
    <row r="1152" spans="1:13" x14ac:dyDescent="0.25">
      <c r="A1152" s="359" t="s">
        <v>1816</v>
      </c>
      <c r="B1152" s="359" t="s">
        <v>632</v>
      </c>
      <c r="C1152" s="359" t="s">
        <v>1291</v>
      </c>
      <c r="D1152" s="359" t="s">
        <v>1292</v>
      </c>
      <c r="E1152" s="360"/>
      <c r="F1152" s="359" t="s">
        <v>1270</v>
      </c>
      <c r="G1152" s="361">
        <v>1.4285714285714285E-5</v>
      </c>
      <c r="H1152" s="359" t="s">
        <v>1346</v>
      </c>
      <c r="I1152" s="361">
        <v>1.1825922421948911E-2</v>
      </c>
      <c r="J1152" s="359" t="s">
        <v>1291</v>
      </c>
      <c r="K1152" s="359" t="s">
        <v>1272</v>
      </c>
      <c r="M1152" t="str">
        <f t="shared" si="18"/>
        <v>CYCLOHEXANE</v>
      </c>
    </row>
    <row r="1153" spans="1:13" x14ac:dyDescent="0.25">
      <c r="A1153" s="359" t="s">
        <v>1816</v>
      </c>
      <c r="B1153" s="359" t="s">
        <v>632</v>
      </c>
      <c r="C1153" s="359" t="s">
        <v>1295</v>
      </c>
      <c r="D1153" s="359" t="s">
        <v>1296</v>
      </c>
      <c r="E1153" s="360"/>
      <c r="F1153" s="359" t="s">
        <v>1270</v>
      </c>
      <c r="G1153" s="361">
        <v>1.4285714285714285E-5</v>
      </c>
      <c r="H1153" s="359" t="s">
        <v>1346</v>
      </c>
      <c r="I1153" s="361">
        <v>1.1825922421948911E-2</v>
      </c>
      <c r="J1153" s="359" t="s">
        <v>1295</v>
      </c>
      <c r="K1153" s="359" t="s">
        <v>1272</v>
      </c>
      <c r="M1153" t="str">
        <f t="shared" si="18"/>
        <v>ETHYLBENZENE</v>
      </c>
    </row>
    <row r="1154" spans="1:13" x14ac:dyDescent="0.25">
      <c r="A1154" s="359" t="s">
        <v>1816</v>
      </c>
      <c r="B1154" s="359" t="s">
        <v>632</v>
      </c>
      <c r="C1154" s="359" t="s">
        <v>1297</v>
      </c>
      <c r="D1154" s="359" t="s">
        <v>1298</v>
      </c>
      <c r="E1154" s="360"/>
      <c r="F1154" s="359" t="s">
        <v>1270</v>
      </c>
      <c r="G1154" s="361">
        <v>1.4285714285714285E-5</v>
      </c>
      <c r="H1154" s="359" t="s">
        <v>1818</v>
      </c>
      <c r="I1154" s="361">
        <v>0.15610217596972562</v>
      </c>
      <c r="J1154" s="359" t="s">
        <v>1297</v>
      </c>
      <c r="K1154" s="359" t="s">
        <v>1272</v>
      </c>
      <c r="M1154" t="str">
        <f t="shared" si="18"/>
        <v>LEAD AND LEAD COMPOUNDS</v>
      </c>
    </row>
    <row r="1155" spans="1:13" x14ac:dyDescent="0.25">
      <c r="A1155" s="359" t="s">
        <v>1816</v>
      </c>
      <c r="B1155" s="359" t="s">
        <v>632</v>
      </c>
      <c r="C1155" s="359" t="s">
        <v>1303</v>
      </c>
      <c r="D1155" s="359" t="s">
        <v>1304</v>
      </c>
      <c r="E1155" s="360"/>
      <c r="F1155" s="359" t="s">
        <v>1270</v>
      </c>
      <c r="G1155" s="361">
        <v>1.4285714285714285E-5</v>
      </c>
      <c r="H1155" s="359" t="s">
        <v>1346</v>
      </c>
      <c r="I1155" s="361">
        <v>1.1825922421948911E-2</v>
      </c>
      <c r="J1155" s="359" t="s">
        <v>1303</v>
      </c>
      <c r="K1155" s="359" t="s">
        <v>1272</v>
      </c>
      <c r="M1155" t="str">
        <f t="shared" si="18"/>
        <v>NAPHTHALENE</v>
      </c>
    </row>
    <row r="1156" spans="1:13" x14ac:dyDescent="0.25">
      <c r="A1156" s="359" t="s">
        <v>1816</v>
      </c>
      <c r="B1156" s="359" t="s">
        <v>632</v>
      </c>
      <c r="C1156" s="359" t="s">
        <v>1305</v>
      </c>
      <c r="D1156" s="359" t="s">
        <v>1306</v>
      </c>
      <c r="E1156" s="360"/>
      <c r="F1156" s="359" t="s">
        <v>1270</v>
      </c>
      <c r="G1156" s="361">
        <v>1.4285714285714285E-5</v>
      </c>
      <c r="H1156" s="359" t="s">
        <v>1346</v>
      </c>
      <c r="I1156" s="361">
        <v>1.1825922421948911E-2</v>
      </c>
      <c r="J1156" s="359" t="s">
        <v>1305</v>
      </c>
      <c r="K1156" s="359" t="s">
        <v>1272</v>
      </c>
      <c r="M1156" t="str">
        <f t="shared" si="18"/>
        <v>N-HEXANE</v>
      </c>
    </row>
    <row r="1157" spans="1:13" x14ac:dyDescent="0.25">
      <c r="A1157" s="359" t="s">
        <v>1816</v>
      </c>
      <c r="B1157" s="359" t="s">
        <v>632</v>
      </c>
      <c r="C1157" s="359" t="s">
        <v>1307</v>
      </c>
      <c r="D1157" s="359" t="s">
        <v>1308</v>
      </c>
      <c r="E1157" s="360"/>
      <c r="F1157" s="359" t="s">
        <v>1270</v>
      </c>
      <c r="G1157" s="361">
        <v>1.4285714285714285E-5</v>
      </c>
      <c r="H1157" s="359" t="s">
        <v>1819</v>
      </c>
      <c r="I1157" s="361">
        <v>141.48770104068115</v>
      </c>
      <c r="J1157" s="359" t="s">
        <v>1310</v>
      </c>
      <c r="K1157" s="359" t="s">
        <v>1272</v>
      </c>
      <c r="M1157" t="str">
        <f t="shared" si="18"/>
        <v>NITRATE</v>
      </c>
    </row>
    <row r="1158" spans="1:13" x14ac:dyDescent="0.25">
      <c r="A1158" s="359" t="s">
        <v>1816</v>
      </c>
      <c r="B1158" s="359" t="s">
        <v>632</v>
      </c>
      <c r="C1158" s="359" t="s">
        <v>1388</v>
      </c>
      <c r="D1158" s="359" t="s">
        <v>1389</v>
      </c>
      <c r="E1158" s="360"/>
      <c r="F1158" s="359" t="s">
        <v>1270</v>
      </c>
      <c r="G1158" s="361">
        <v>1.4285714285714285E-5</v>
      </c>
      <c r="H1158" s="359" t="s">
        <v>1346</v>
      </c>
      <c r="I1158" s="361">
        <v>1.1825922421948911E-2</v>
      </c>
      <c r="J1158" s="359" t="s">
        <v>1388</v>
      </c>
      <c r="K1158" s="359" t="s">
        <v>1272</v>
      </c>
      <c r="M1158" t="str">
        <f t="shared" ref="M1158:M1221" si="19">IF(J1158="",C1158,J1158)</f>
        <v>PHENANTHRENE</v>
      </c>
    </row>
    <row r="1159" spans="1:13" x14ac:dyDescent="0.25">
      <c r="A1159" s="359" t="s">
        <v>1816</v>
      </c>
      <c r="B1159" s="359" t="s">
        <v>632</v>
      </c>
      <c r="C1159" s="359" t="s">
        <v>1315</v>
      </c>
      <c r="D1159" s="359" t="s">
        <v>1316</v>
      </c>
      <c r="E1159" s="360"/>
      <c r="F1159" s="359" t="s">
        <v>1270</v>
      </c>
      <c r="G1159" s="361">
        <v>1.4285714285714285E-5</v>
      </c>
      <c r="H1159" s="359" t="s">
        <v>1820</v>
      </c>
      <c r="I1159" s="361">
        <v>0.24834437086092712</v>
      </c>
      <c r="J1159" s="359" t="s">
        <v>1315</v>
      </c>
      <c r="K1159" s="359" t="s">
        <v>1272</v>
      </c>
      <c r="M1159" t="str">
        <f t="shared" si="19"/>
        <v>PHENOL</v>
      </c>
    </row>
    <row r="1160" spans="1:13" x14ac:dyDescent="0.25">
      <c r="A1160" s="359" t="s">
        <v>1816</v>
      </c>
      <c r="B1160" s="359" t="s">
        <v>632</v>
      </c>
      <c r="C1160" s="359" t="s">
        <v>1325</v>
      </c>
      <c r="D1160" s="359" t="s">
        <v>1326</v>
      </c>
      <c r="E1160" s="360"/>
      <c r="F1160" s="359" t="s">
        <v>1270</v>
      </c>
      <c r="G1160" s="361">
        <v>1.4285714285714285E-5</v>
      </c>
      <c r="H1160" s="359" t="s">
        <v>1451</v>
      </c>
      <c r="I1160" s="361">
        <v>3.5477767265846727E-2</v>
      </c>
      <c r="J1160" s="359" t="s">
        <v>1325</v>
      </c>
      <c r="K1160" s="359" t="s">
        <v>1272</v>
      </c>
      <c r="M1160" t="str">
        <f t="shared" si="19"/>
        <v>TOLUENE</v>
      </c>
    </row>
    <row r="1161" spans="1:13" x14ac:dyDescent="0.25">
      <c r="A1161" s="359" t="s">
        <v>1816</v>
      </c>
      <c r="B1161" s="359" t="s">
        <v>632</v>
      </c>
      <c r="C1161" s="359" t="s">
        <v>1327</v>
      </c>
      <c r="D1161" s="359" t="s">
        <v>1328</v>
      </c>
      <c r="E1161" s="360"/>
      <c r="F1161" s="359" t="s">
        <v>1270</v>
      </c>
      <c r="G1161" s="361">
        <v>1.4285714285714285E-5</v>
      </c>
      <c r="H1161" s="359" t="s">
        <v>1539</v>
      </c>
      <c r="I1161" s="361">
        <v>2.6017029328287603E-2</v>
      </c>
      <c r="J1161" s="359" t="s">
        <v>1329</v>
      </c>
      <c r="K1161" s="359" t="s">
        <v>1272</v>
      </c>
      <c r="M1161" t="str">
        <f t="shared" si="19"/>
        <v>XYLENES</v>
      </c>
    </row>
    <row r="1162" spans="1:13" x14ac:dyDescent="0.25">
      <c r="A1162" s="359" t="s">
        <v>1816</v>
      </c>
      <c r="B1162" s="359" t="s">
        <v>632</v>
      </c>
      <c r="C1162" s="359" t="s">
        <v>1342</v>
      </c>
      <c r="D1162" s="359" t="s">
        <v>1343</v>
      </c>
      <c r="E1162" s="360"/>
      <c r="F1162" s="359" t="s">
        <v>1270</v>
      </c>
      <c r="G1162" s="361">
        <v>1.4285714285714285E-5</v>
      </c>
      <c r="H1162" s="359" t="s">
        <v>1821</v>
      </c>
      <c r="I1162" s="361">
        <v>0.58656575212866602</v>
      </c>
      <c r="J1162" s="359" t="s">
        <v>1342</v>
      </c>
      <c r="K1162" s="359" t="s">
        <v>1272</v>
      </c>
      <c r="M1162" t="str">
        <f t="shared" si="19"/>
        <v>ZINC AND ZINC COMPOUNDS</v>
      </c>
    </row>
    <row r="1163" spans="1:13" x14ac:dyDescent="0.25">
      <c r="A1163" s="359" t="s">
        <v>1822</v>
      </c>
      <c r="B1163" s="359" t="s">
        <v>769</v>
      </c>
      <c r="C1163" s="359" t="s">
        <v>1268</v>
      </c>
      <c r="D1163" s="359" t="s">
        <v>1269</v>
      </c>
      <c r="E1163" s="360"/>
      <c r="F1163" s="359" t="s">
        <v>1333</v>
      </c>
      <c r="G1163" s="361">
        <v>1.7241379310344828E-5</v>
      </c>
      <c r="H1163" s="359" t="s">
        <v>1286</v>
      </c>
      <c r="I1163" s="361">
        <v>0</v>
      </c>
      <c r="J1163" s="359" t="s">
        <v>1268</v>
      </c>
      <c r="K1163" s="359" t="s">
        <v>1272</v>
      </c>
      <c r="M1163" t="str">
        <f t="shared" si="19"/>
        <v>1,2,4-TRIMETHYLBENZENE</v>
      </c>
    </row>
    <row r="1164" spans="1:13" x14ac:dyDescent="0.25">
      <c r="A1164" s="359" t="s">
        <v>1822</v>
      </c>
      <c r="B1164" s="359" t="s">
        <v>769</v>
      </c>
      <c r="C1164" s="359" t="s">
        <v>1349</v>
      </c>
      <c r="D1164" s="359" t="s">
        <v>1350</v>
      </c>
      <c r="E1164" s="360"/>
      <c r="F1164" s="359" t="s">
        <v>1333</v>
      </c>
      <c r="G1164" s="361">
        <v>1.7241379310344828E-5</v>
      </c>
      <c r="H1164" s="359" t="s">
        <v>1286</v>
      </c>
      <c r="I1164" s="361">
        <v>0</v>
      </c>
      <c r="J1164" s="359" t="s">
        <v>1349</v>
      </c>
      <c r="K1164" s="359" t="s">
        <v>1272</v>
      </c>
      <c r="M1164" t="str">
        <f t="shared" si="19"/>
        <v>ANTHRACENE</v>
      </c>
    </row>
    <row r="1165" spans="1:13" x14ac:dyDescent="0.25">
      <c r="A1165" s="359" t="s">
        <v>1822</v>
      </c>
      <c r="B1165" s="359" t="s">
        <v>769</v>
      </c>
      <c r="C1165" s="359" t="s">
        <v>1273</v>
      </c>
      <c r="D1165" s="359" t="s">
        <v>1274</v>
      </c>
      <c r="E1165" s="360"/>
      <c r="F1165" s="359" t="s">
        <v>1333</v>
      </c>
      <c r="G1165" s="361">
        <v>1.7241379310344828E-5</v>
      </c>
      <c r="H1165" s="359" t="s">
        <v>1333</v>
      </c>
      <c r="I1165" s="361">
        <v>2.8545329984014617E-3</v>
      </c>
      <c r="J1165" s="359" t="s">
        <v>1273</v>
      </c>
      <c r="K1165" s="359" t="s">
        <v>1272</v>
      </c>
      <c r="M1165" t="str">
        <f t="shared" si="19"/>
        <v>BENZENE</v>
      </c>
    </row>
    <row r="1166" spans="1:13" x14ac:dyDescent="0.25">
      <c r="A1166" s="359" t="s">
        <v>1822</v>
      </c>
      <c r="B1166" s="359" t="s">
        <v>769</v>
      </c>
      <c r="C1166" s="359" t="s">
        <v>1352</v>
      </c>
      <c r="D1166" s="359" t="s">
        <v>1353</v>
      </c>
      <c r="E1166" s="360"/>
      <c r="F1166" s="359" t="s">
        <v>1333</v>
      </c>
      <c r="G1166" s="361">
        <v>1.7241379310344828E-5</v>
      </c>
      <c r="H1166" s="359" t="s">
        <v>1286</v>
      </c>
      <c r="I1166" s="361">
        <v>0</v>
      </c>
      <c r="J1166" s="359" t="s">
        <v>1352</v>
      </c>
      <c r="K1166" s="359" t="s">
        <v>1272</v>
      </c>
      <c r="M1166" t="str">
        <f t="shared" si="19"/>
        <v>BENZO(G,H,I)PERYLENE</v>
      </c>
    </row>
    <row r="1167" spans="1:13" x14ac:dyDescent="0.25">
      <c r="A1167" s="359" t="s">
        <v>1822</v>
      </c>
      <c r="B1167" s="359" t="s">
        <v>769</v>
      </c>
      <c r="C1167" s="359" t="s">
        <v>1414</v>
      </c>
      <c r="D1167" s="359" t="s">
        <v>1415</v>
      </c>
      <c r="E1167" s="360"/>
      <c r="F1167" s="359" t="s">
        <v>1333</v>
      </c>
      <c r="G1167" s="361">
        <v>1.7241379310344828E-5</v>
      </c>
      <c r="H1167" s="359" t="s">
        <v>1286</v>
      </c>
      <c r="I1167" s="361">
        <v>0</v>
      </c>
      <c r="J1167" s="359" t="s">
        <v>1414</v>
      </c>
      <c r="K1167" s="359" t="s">
        <v>1272</v>
      </c>
      <c r="M1167" t="str">
        <f t="shared" si="19"/>
        <v>BIPHENYL</v>
      </c>
    </row>
    <row r="1168" spans="1:13" x14ac:dyDescent="0.25">
      <c r="A1168" s="359" t="s">
        <v>1822</v>
      </c>
      <c r="B1168" s="359" t="s">
        <v>769</v>
      </c>
      <c r="C1168" s="359" t="s">
        <v>1276</v>
      </c>
      <c r="D1168" s="359" t="s">
        <v>490</v>
      </c>
      <c r="E1168" s="361">
        <v>8377.6343536364002</v>
      </c>
      <c r="F1168" s="359" t="s">
        <v>1333</v>
      </c>
      <c r="G1168" s="361">
        <v>1.7241379310344828E-5</v>
      </c>
      <c r="H1168" s="359" t="s">
        <v>490</v>
      </c>
      <c r="I1168" s="361">
        <v>3.9573142908060467E-4</v>
      </c>
      <c r="J1168" s="359" t="s">
        <v>1276</v>
      </c>
      <c r="K1168" s="359" t="s">
        <v>1277</v>
      </c>
      <c r="M1168" t="str">
        <f t="shared" si="19"/>
        <v>BOD, 5-day, 20 deg. C</v>
      </c>
    </row>
    <row r="1169" spans="1:13" x14ac:dyDescent="0.25">
      <c r="A1169" s="359" t="s">
        <v>1822</v>
      </c>
      <c r="B1169" s="359" t="s">
        <v>769</v>
      </c>
      <c r="C1169" s="359" t="s">
        <v>1355</v>
      </c>
      <c r="D1169" s="359" t="s">
        <v>1356</v>
      </c>
      <c r="E1169" s="360"/>
      <c r="F1169" s="359" t="s">
        <v>1333</v>
      </c>
      <c r="G1169" s="361">
        <v>1.7241379310344828E-5</v>
      </c>
      <c r="H1169" s="359" t="s">
        <v>1473</v>
      </c>
      <c r="I1169" s="361">
        <v>8.5635989952043846E-3</v>
      </c>
      <c r="J1169" s="359" t="s">
        <v>1355</v>
      </c>
      <c r="K1169" s="359" t="s">
        <v>1272</v>
      </c>
      <c r="M1169" t="str">
        <f t="shared" si="19"/>
        <v>CARBON DISULFIDE</v>
      </c>
    </row>
    <row r="1170" spans="1:13" x14ac:dyDescent="0.25">
      <c r="A1170" s="359" t="s">
        <v>1822</v>
      </c>
      <c r="B1170" s="359" t="s">
        <v>769</v>
      </c>
      <c r="C1170" s="359" t="s">
        <v>1282</v>
      </c>
      <c r="D1170" s="359" t="s">
        <v>1283</v>
      </c>
      <c r="E1170" s="361">
        <v>0</v>
      </c>
      <c r="F1170" s="359" t="s">
        <v>1333</v>
      </c>
      <c r="G1170" s="361">
        <v>1.7241379310344828E-5</v>
      </c>
      <c r="H1170" s="359" t="s">
        <v>490</v>
      </c>
      <c r="I1170" s="361">
        <v>0</v>
      </c>
      <c r="J1170" s="359" t="s">
        <v>1282</v>
      </c>
      <c r="K1170" s="359" t="s">
        <v>1277</v>
      </c>
      <c r="M1170" t="str">
        <f t="shared" si="19"/>
        <v>Chromium, total (as Cr)</v>
      </c>
    </row>
    <row r="1171" spans="1:13" x14ac:dyDescent="0.25">
      <c r="A1171" s="359" t="s">
        <v>1822</v>
      </c>
      <c r="B1171" s="359" t="s">
        <v>769</v>
      </c>
      <c r="C1171" s="359" t="s">
        <v>1440</v>
      </c>
      <c r="D1171" s="359" t="s">
        <v>1441</v>
      </c>
      <c r="E1171" s="360"/>
      <c r="F1171" s="359" t="s">
        <v>1333</v>
      </c>
      <c r="G1171" s="361">
        <v>1.7241379310344828E-5</v>
      </c>
      <c r="H1171" s="359" t="s">
        <v>1286</v>
      </c>
      <c r="I1171" s="361">
        <v>0</v>
      </c>
      <c r="J1171" s="359" t="s">
        <v>1440</v>
      </c>
      <c r="K1171" s="359" t="s">
        <v>1272</v>
      </c>
      <c r="M1171" t="str">
        <f t="shared" si="19"/>
        <v>COPPER AND COPPER COMPOUNDS</v>
      </c>
    </row>
    <row r="1172" spans="1:13" x14ac:dyDescent="0.25">
      <c r="A1172" s="359" t="s">
        <v>1822</v>
      </c>
      <c r="B1172" s="359" t="s">
        <v>769</v>
      </c>
      <c r="C1172" s="359" t="s">
        <v>1284</v>
      </c>
      <c r="D1172" s="359" t="s">
        <v>1285</v>
      </c>
      <c r="E1172" s="360"/>
      <c r="F1172" s="359" t="s">
        <v>1333</v>
      </c>
      <c r="G1172" s="361">
        <v>1.7241379310344828E-5</v>
      </c>
      <c r="H1172" s="359" t="s">
        <v>1286</v>
      </c>
      <c r="I1172" s="361">
        <v>0</v>
      </c>
      <c r="J1172" s="359" t="s">
        <v>1287</v>
      </c>
      <c r="K1172" s="359" t="s">
        <v>1272</v>
      </c>
      <c r="M1172" t="str">
        <f t="shared" si="19"/>
        <v>ISOPROPYLBENZENE</v>
      </c>
    </row>
    <row r="1173" spans="1:13" x14ac:dyDescent="0.25">
      <c r="A1173" s="359" t="s">
        <v>1822</v>
      </c>
      <c r="B1173" s="359" t="s">
        <v>769</v>
      </c>
      <c r="C1173" s="359" t="s">
        <v>1291</v>
      </c>
      <c r="D1173" s="359" t="s">
        <v>1292</v>
      </c>
      <c r="E1173" s="360"/>
      <c r="F1173" s="359" t="s">
        <v>1333</v>
      </c>
      <c r="G1173" s="361">
        <v>1.7241379310344828E-5</v>
      </c>
      <c r="H1173" s="359" t="s">
        <v>1286</v>
      </c>
      <c r="I1173" s="361">
        <v>0</v>
      </c>
      <c r="J1173" s="359" t="s">
        <v>1291</v>
      </c>
      <c r="K1173" s="359" t="s">
        <v>1272</v>
      </c>
      <c r="M1173" t="str">
        <f t="shared" si="19"/>
        <v>CYCLOHEXANE</v>
      </c>
    </row>
    <row r="1174" spans="1:13" x14ac:dyDescent="0.25">
      <c r="A1174" s="359" t="s">
        <v>1822</v>
      </c>
      <c r="B1174" s="359" t="s">
        <v>769</v>
      </c>
      <c r="C1174" s="359" t="s">
        <v>1362</v>
      </c>
      <c r="D1174" s="359" t="s">
        <v>1363</v>
      </c>
      <c r="E1174" s="360"/>
      <c r="F1174" s="359" t="s">
        <v>1333</v>
      </c>
      <c r="G1174" s="361">
        <v>1.7241379310344828E-5</v>
      </c>
      <c r="H1174" s="359" t="s">
        <v>1286</v>
      </c>
      <c r="I1174" s="361">
        <v>0</v>
      </c>
      <c r="J1174" s="359" t="s">
        <v>1362</v>
      </c>
      <c r="K1174" s="359" t="s">
        <v>1272</v>
      </c>
      <c r="M1174" t="str">
        <f t="shared" si="19"/>
        <v>DIOXIN AND DIOXIN-LIKE COMPOUNDS</v>
      </c>
    </row>
    <row r="1175" spans="1:13" x14ac:dyDescent="0.25">
      <c r="A1175" s="359" t="s">
        <v>1822</v>
      </c>
      <c r="B1175" s="359" t="s">
        <v>769</v>
      </c>
      <c r="C1175" s="359" t="s">
        <v>1295</v>
      </c>
      <c r="D1175" s="359" t="s">
        <v>1296</v>
      </c>
      <c r="E1175" s="360"/>
      <c r="F1175" s="359" t="s">
        <v>1333</v>
      </c>
      <c r="G1175" s="361">
        <v>1.7241379310344828E-5</v>
      </c>
      <c r="H1175" s="359" t="s">
        <v>1333</v>
      </c>
      <c r="I1175" s="361">
        <v>2.8545329984014617E-3</v>
      </c>
      <c r="J1175" s="359" t="s">
        <v>1295</v>
      </c>
      <c r="K1175" s="359" t="s">
        <v>1272</v>
      </c>
      <c r="M1175" t="str">
        <f t="shared" si="19"/>
        <v>ETHYLBENZENE</v>
      </c>
    </row>
    <row r="1176" spans="1:13" x14ac:dyDescent="0.25">
      <c r="A1176" s="359" t="s">
        <v>1822</v>
      </c>
      <c r="B1176" s="359" t="s">
        <v>769</v>
      </c>
      <c r="C1176" s="359" t="s">
        <v>1488</v>
      </c>
      <c r="D1176" s="359" t="s">
        <v>1489</v>
      </c>
      <c r="E1176" s="360"/>
      <c r="F1176" s="359" t="s">
        <v>1333</v>
      </c>
      <c r="G1176" s="361">
        <v>1.7241379310344828E-5</v>
      </c>
      <c r="H1176" s="359" t="s">
        <v>1286</v>
      </c>
      <c r="I1176" s="361">
        <v>0</v>
      </c>
      <c r="J1176" s="359" t="s">
        <v>1490</v>
      </c>
      <c r="K1176" s="359" t="s">
        <v>1272</v>
      </c>
      <c r="M1176" t="str">
        <f t="shared" si="19"/>
        <v>HYDROFLUORIC ACID</v>
      </c>
    </row>
    <row r="1177" spans="1:13" x14ac:dyDescent="0.25">
      <c r="A1177" s="359" t="s">
        <v>1822</v>
      </c>
      <c r="B1177" s="359" t="s">
        <v>769</v>
      </c>
      <c r="C1177" s="359" t="s">
        <v>1297</v>
      </c>
      <c r="D1177" s="359" t="s">
        <v>1298</v>
      </c>
      <c r="E1177" s="360"/>
      <c r="F1177" s="359" t="s">
        <v>1333</v>
      </c>
      <c r="G1177" s="361">
        <v>1.7241379310344828E-5</v>
      </c>
      <c r="H1177" s="359" t="s">
        <v>1351</v>
      </c>
      <c r="I1177" s="361">
        <v>3.7108928979218997E-2</v>
      </c>
      <c r="J1177" s="359" t="s">
        <v>1297</v>
      </c>
      <c r="K1177" s="359" t="s">
        <v>1272</v>
      </c>
      <c r="M1177" t="str">
        <f t="shared" si="19"/>
        <v>LEAD AND LEAD COMPOUNDS</v>
      </c>
    </row>
    <row r="1178" spans="1:13" ht="30" x14ac:dyDescent="0.25">
      <c r="A1178" s="359" t="s">
        <v>1822</v>
      </c>
      <c r="B1178" s="359" t="s">
        <v>769</v>
      </c>
      <c r="C1178" s="359" t="s">
        <v>1447</v>
      </c>
      <c r="D1178" s="359" t="s">
        <v>1448</v>
      </c>
      <c r="E1178" s="360"/>
      <c r="F1178" s="359" t="s">
        <v>1333</v>
      </c>
      <c r="G1178" s="361">
        <v>1.7241379310344828E-5</v>
      </c>
      <c r="H1178" s="359" t="s">
        <v>1286</v>
      </c>
      <c r="I1178" s="361">
        <v>0</v>
      </c>
      <c r="J1178" s="359" t="s">
        <v>1447</v>
      </c>
      <c r="K1178" s="359" t="s">
        <v>1272</v>
      </c>
      <c r="M1178" t="str">
        <f t="shared" si="19"/>
        <v>MANGANESE AND MANGANESE COMPOUNDS</v>
      </c>
    </row>
    <row r="1179" spans="1:13" x14ac:dyDescent="0.25">
      <c r="A1179" s="359" t="s">
        <v>1822</v>
      </c>
      <c r="B1179" s="359" t="s">
        <v>769</v>
      </c>
      <c r="C1179" s="359" t="s">
        <v>1300</v>
      </c>
      <c r="D1179" s="359" t="s">
        <v>1301</v>
      </c>
      <c r="E1179" s="360"/>
      <c r="F1179" s="359" t="s">
        <v>1333</v>
      </c>
      <c r="G1179" s="361">
        <v>1.7241379310344828E-5</v>
      </c>
      <c r="H1179" s="359" t="s">
        <v>1499</v>
      </c>
      <c r="I1179" s="361">
        <v>8.5635989952043839E-4</v>
      </c>
      <c r="J1179" s="359" t="s">
        <v>1300</v>
      </c>
      <c r="K1179" s="359" t="s">
        <v>1272</v>
      </c>
      <c r="M1179" t="str">
        <f t="shared" si="19"/>
        <v>MERCURY AND MERCURY COMPOUNDS</v>
      </c>
    </row>
    <row r="1180" spans="1:13" x14ac:dyDescent="0.25">
      <c r="A1180" s="359" t="s">
        <v>1822</v>
      </c>
      <c r="B1180" s="359" t="s">
        <v>769</v>
      </c>
      <c r="C1180" s="359" t="s">
        <v>1303</v>
      </c>
      <c r="D1180" s="359" t="s">
        <v>1304</v>
      </c>
      <c r="E1180" s="360"/>
      <c r="F1180" s="359" t="s">
        <v>1333</v>
      </c>
      <c r="G1180" s="361">
        <v>1.7241379310344828E-5</v>
      </c>
      <c r="H1180" s="359" t="s">
        <v>1473</v>
      </c>
      <c r="I1180" s="361">
        <v>8.5635989952043846E-3</v>
      </c>
      <c r="J1180" s="359" t="s">
        <v>1303</v>
      </c>
      <c r="K1180" s="359" t="s">
        <v>1272</v>
      </c>
      <c r="M1180" t="str">
        <f t="shared" si="19"/>
        <v>NAPHTHALENE</v>
      </c>
    </row>
    <row r="1181" spans="1:13" x14ac:dyDescent="0.25">
      <c r="A1181" s="359" t="s">
        <v>1822</v>
      </c>
      <c r="B1181" s="359" t="s">
        <v>769</v>
      </c>
      <c r="C1181" s="359" t="s">
        <v>1305</v>
      </c>
      <c r="D1181" s="359" t="s">
        <v>1306</v>
      </c>
      <c r="E1181" s="360"/>
      <c r="F1181" s="359" t="s">
        <v>1333</v>
      </c>
      <c r="G1181" s="361">
        <v>1.7241379310344828E-5</v>
      </c>
      <c r="H1181" s="359" t="s">
        <v>1286</v>
      </c>
      <c r="I1181" s="361">
        <v>0</v>
      </c>
      <c r="J1181" s="359" t="s">
        <v>1305</v>
      </c>
      <c r="K1181" s="359" t="s">
        <v>1272</v>
      </c>
      <c r="M1181" t="str">
        <f t="shared" si="19"/>
        <v>N-HEXANE</v>
      </c>
    </row>
    <row r="1182" spans="1:13" x14ac:dyDescent="0.25">
      <c r="A1182" s="359" t="s">
        <v>1822</v>
      </c>
      <c r="B1182" s="359" t="s">
        <v>769</v>
      </c>
      <c r="C1182" s="359" t="s">
        <v>1307</v>
      </c>
      <c r="D1182" s="359" t="s">
        <v>1308</v>
      </c>
      <c r="E1182" s="360"/>
      <c r="F1182" s="359" t="s">
        <v>1333</v>
      </c>
      <c r="G1182" s="361">
        <v>1.7241379310344828E-5</v>
      </c>
      <c r="H1182" s="359" t="s">
        <v>1576</v>
      </c>
      <c r="I1182" s="361">
        <v>62.799725964832156</v>
      </c>
      <c r="J1182" s="359" t="s">
        <v>1310</v>
      </c>
      <c r="K1182" s="359" t="s">
        <v>1272</v>
      </c>
      <c r="M1182" t="str">
        <f t="shared" si="19"/>
        <v>NITRATE</v>
      </c>
    </row>
    <row r="1183" spans="1:13" x14ac:dyDescent="0.25">
      <c r="A1183" s="359" t="s">
        <v>1822</v>
      </c>
      <c r="B1183" s="359" t="s">
        <v>769</v>
      </c>
      <c r="C1183" s="359" t="s">
        <v>1311</v>
      </c>
      <c r="D1183" s="359" t="s">
        <v>1312</v>
      </c>
      <c r="E1183" s="361">
        <v>3975.1020408150998</v>
      </c>
      <c r="F1183" s="359" t="s">
        <v>1333</v>
      </c>
      <c r="G1183" s="361">
        <v>1.7241379310344828E-5</v>
      </c>
      <c r="H1183" s="359" t="s">
        <v>490</v>
      </c>
      <c r="I1183" s="361">
        <v>1.8777052625484648E-4</v>
      </c>
      <c r="J1183" s="359" t="s">
        <v>1313</v>
      </c>
      <c r="K1183" s="359" t="s">
        <v>1277</v>
      </c>
      <c r="M1183" t="str">
        <f t="shared" si="19"/>
        <v>AMMONIA</v>
      </c>
    </row>
    <row r="1184" spans="1:13" x14ac:dyDescent="0.25">
      <c r="A1184" s="359" t="s">
        <v>1822</v>
      </c>
      <c r="B1184" s="359" t="s">
        <v>769</v>
      </c>
      <c r="C1184" s="359" t="s">
        <v>1460</v>
      </c>
      <c r="D1184" s="359" t="s">
        <v>490</v>
      </c>
      <c r="E1184" s="361">
        <v>1898.0677349999999</v>
      </c>
      <c r="F1184" s="359" t="s">
        <v>1333</v>
      </c>
      <c r="G1184" s="361">
        <v>1.7241379310344828E-5</v>
      </c>
      <c r="H1184" s="359" t="s">
        <v>490</v>
      </c>
      <c r="I1184" s="361">
        <v>8.9658371988663208E-5</v>
      </c>
      <c r="J1184" s="359" t="s">
        <v>1460</v>
      </c>
      <c r="K1184" s="359" t="s">
        <v>1277</v>
      </c>
      <c r="M1184" t="str">
        <f t="shared" si="19"/>
        <v>Oil and grease, hexane extr method</v>
      </c>
    </row>
    <row r="1185" spans="1:13" x14ac:dyDescent="0.25">
      <c r="A1185" s="359" t="s">
        <v>1822</v>
      </c>
      <c r="B1185" s="359" t="s">
        <v>769</v>
      </c>
      <c r="C1185" s="359" t="s">
        <v>1457</v>
      </c>
      <c r="D1185" s="359" t="s">
        <v>490</v>
      </c>
      <c r="E1185" s="361">
        <v>74208.70748302</v>
      </c>
      <c r="F1185" s="359" t="s">
        <v>1333</v>
      </c>
      <c r="G1185" s="361">
        <v>1.7241379310344828E-5</v>
      </c>
      <c r="H1185" s="359" t="s">
        <v>490</v>
      </c>
      <c r="I1185" s="361">
        <v>3.5053711612196507E-3</v>
      </c>
      <c r="J1185" s="359" t="s">
        <v>1457</v>
      </c>
      <c r="K1185" s="359" t="s">
        <v>1277</v>
      </c>
      <c r="M1185" t="str">
        <f t="shared" si="19"/>
        <v>Chemical Oxygen Demand (COD)</v>
      </c>
    </row>
    <row r="1186" spans="1:13" x14ac:dyDescent="0.25">
      <c r="A1186" s="359" t="s">
        <v>1822</v>
      </c>
      <c r="B1186" s="359" t="s">
        <v>769</v>
      </c>
      <c r="C1186" s="359" t="s">
        <v>1388</v>
      </c>
      <c r="D1186" s="359" t="s">
        <v>1389</v>
      </c>
      <c r="E1186" s="360"/>
      <c r="F1186" s="359" t="s">
        <v>1333</v>
      </c>
      <c r="G1186" s="361">
        <v>1.7241379310344828E-5</v>
      </c>
      <c r="H1186" s="359" t="s">
        <v>1473</v>
      </c>
      <c r="I1186" s="361">
        <v>8.5635989952043846E-3</v>
      </c>
      <c r="J1186" s="359" t="s">
        <v>1388</v>
      </c>
      <c r="K1186" s="359" t="s">
        <v>1272</v>
      </c>
      <c r="M1186" t="str">
        <f t="shared" si="19"/>
        <v>PHENANTHRENE</v>
      </c>
    </row>
    <row r="1187" spans="1:13" x14ac:dyDescent="0.25">
      <c r="A1187" s="359" t="s">
        <v>1822</v>
      </c>
      <c r="B1187" s="359" t="s">
        <v>769</v>
      </c>
      <c r="C1187" s="359" t="s">
        <v>1315</v>
      </c>
      <c r="D1187" s="359" t="s">
        <v>1316</v>
      </c>
      <c r="E1187" s="360"/>
      <c r="F1187" s="359" t="s">
        <v>1333</v>
      </c>
      <c r="G1187" s="361">
        <v>1.7241379310344828E-5</v>
      </c>
      <c r="H1187" s="359" t="s">
        <v>1563</v>
      </c>
      <c r="I1187" s="361">
        <v>6.5654258963233611E-2</v>
      </c>
      <c r="J1187" s="359" t="s">
        <v>1315</v>
      </c>
      <c r="K1187" s="359" t="s">
        <v>1272</v>
      </c>
      <c r="M1187" t="str">
        <f t="shared" si="19"/>
        <v>PHENOL</v>
      </c>
    </row>
    <row r="1188" spans="1:13" x14ac:dyDescent="0.25">
      <c r="A1188" s="359" t="s">
        <v>1822</v>
      </c>
      <c r="B1188" s="359" t="s">
        <v>769</v>
      </c>
      <c r="C1188" s="359" t="s">
        <v>1823</v>
      </c>
      <c r="D1188" s="359" t="s">
        <v>490</v>
      </c>
      <c r="E1188" s="361">
        <v>14.721000500000001</v>
      </c>
      <c r="F1188" s="359" t="s">
        <v>1333</v>
      </c>
      <c r="G1188" s="361">
        <v>1.7241379310344828E-5</v>
      </c>
      <c r="H1188" s="359" t="s">
        <v>490</v>
      </c>
      <c r="I1188" s="361">
        <v>6.953708313651394E-7</v>
      </c>
      <c r="J1188" s="359" t="s">
        <v>1823</v>
      </c>
      <c r="K1188" s="359" t="s">
        <v>1277</v>
      </c>
      <c r="M1188" t="str">
        <f t="shared" si="19"/>
        <v>Phenolic compounds, unchlorinated</v>
      </c>
    </row>
    <row r="1189" spans="1:13" x14ac:dyDescent="0.25">
      <c r="A1189" s="359" t="s">
        <v>1822</v>
      </c>
      <c r="B1189" s="359" t="s">
        <v>769</v>
      </c>
      <c r="C1189" s="359" t="s">
        <v>1319</v>
      </c>
      <c r="D1189" s="359" t="s">
        <v>1320</v>
      </c>
      <c r="E1189" s="360"/>
      <c r="F1189" s="359" t="s">
        <v>1333</v>
      </c>
      <c r="G1189" s="361">
        <v>1.7241379310344828E-5</v>
      </c>
      <c r="H1189" s="359" t="s">
        <v>1286</v>
      </c>
      <c r="I1189" s="361">
        <v>0</v>
      </c>
      <c r="J1189" s="359" t="s">
        <v>1319</v>
      </c>
      <c r="K1189" s="359" t="s">
        <v>1272</v>
      </c>
      <c r="M1189" t="str">
        <f t="shared" si="19"/>
        <v>POLYCYCLIC AROMATIC COMPOUNDS</v>
      </c>
    </row>
    <row r="1190" spans="1:13" x14ac:dyDescent="0.25">
      <c r="A1190" s="359" t="s">
        <v>1822</v>
      </c>
      <c r="B1190" s="359" t="s">
        <v>769</v>
      </c>
      <c r="C1190" s="359" t="s">
        <v>1322</v>
      </c>
      <c r="D1190" s="359" t="s">
        <v>490</v>
      </c>
      <c r="E1190" s="361">
        <v>17583.656559999999</v>
      </c>
      <c r="F1190" s="359" t="s">
        <v>1333</v>
      </c>
      <c r="G1190" s="361">
        <v>1.7241379310344828E-5</v>
      </c>
      <c r="H1190" s="359" t="s">
        <v>490</v>
      </c>
      <c r="I1190" s="361">
        <v>8.3059312990080303E-4</v>
      </c>
      <c r="J1190" s="359" t="s">
        <v>1322</v>
      </c>
      <c r="K1190" s="359" t="s">
        <v>1277</v>
      </c>
      <c r="M1190" t="str">
        <f t="shared" si="19"/>
        <v>Solids, total suspended</v>
      </c>
    </row>
    <row r="1191" spans="1:13" x14ac:dyDescent="0.25">
      <c r="A1191" s="359" t="s">
        <v>1822</v>
      </c>
      <c r="B1191" s="359" t="s">
        <v>769</v>
      </c>
      <c r="C1191" s="359" t="s">
        <v>1323</v>
      </c>
      <c r="D1191" s="359" t="s">
        <v>1324</v>
      </c>
      <c r="E1191" s="361">
        <v>25.986394557804001</v>
      </c>
      <c r="F1191" s="359" t="s">
        <v>1333</v>
      </c>
      <c r="G1191" s="361">
        <v>1.7241379310344828E-5</v>
      </c>
      <c r="H1191" s="359" t="s">
        <v>490</v>
      </c>
      <c r="I1191" s="361">
        <v>1.2275103711763818E-6</v>
      </c>
      <c r="J1191" s="359" t="s">
        <v>1323</v>
      </c>
      <c r="K1191" s="359" t="s">
        <v>1277</v>
      </c>
      <c r="M1191" t="str">
        <f t="shared" si="19"/>
        <v>Sulfide, total (as S)</v>
      </c>
    </row>
    <row r="1192" spans="1:13" x14ac:dyDescent="0.25">
      <c r="A1192" s="359" t="s">
        <v>1822</v>
      </c>
      <c r="B1192" s="359" t="s">
        <v>769</v>
      </c>
      <c r="C1192" s="359" t="s">
        <v>1325</v>
      </c>
      <c r="D1192" s="359" t="s">
        <v>1326</v>
      </c>
      <c r="E1192" s="360"/>
      <c r="F1192" s="359" t="s">
        <v>1333</v>
      </c>
      <c r="G1192" s="361">
        <v>1.7241379310344828E-5</v>
      </c>
      <c r="H1192" s="359" t="s">
        <v>1333</v>
      </c>
      <c r="I1192" s="361">
        <v>2.8545329984014617E-3</v>
      </c>
      <c r="J1192" s="359" t="s">
        <v>1325</v>
      </c>
      <c r="K1192" s="359" t="s">
        <v>1272</v>
      </c>
      <c r="M1192" t="str">
        <f t="shared" si="19"/>
        <v>TOLUENE</v>
      </c>
    </row>
    <row r="1193" spans="1:13" x14ac:dyDescent="0.25">
      <c r="A1193" s="359" t="s">
        <v>1822</v>
      </c>
      <c r="B1193" s="359" t="s">
        <v>769</v>
      </c>
      <c r="C1193" s="359" t="s">
        <v>1327</v>
      </c>
      <c r="D1193" s="359" t="s">
        <v>1328</v>
      </c>
      <c r="E1193" s="360"/>
      <c r="F1193" s="359" t="s">
        <v>1333</v>
      </c>
      <c r="G1193" s="361">
        <v>1.7241379310344828E-5</v>
      </c>
      <c r="H1193" s="359" t="s">
        <v>1270</v>
      </c>
      <c r="I1193" s="361">
        <v>5.7090659968029233E-3</v>
      </c>
      <c r="J1193" s="359" t="s">
        <v>1329</v>
      </c>
      <c r="K1193" s="359" t="s">
        <v>1272</v>
      </c>
      <c r="M1193" t="str">
        <f t="shared" si="19"/>
        <v>XYLENES</v>
      </c>
    </row>
    <row r="1194" spans="1:13" ht="30" x14ac:dyDescent="0.25">
      <c r="A1194" s="359" t="s">
        <v>1824</v>
      </c>
      <c r="B1194" s="359" t="s">
        <v>691</v>
      </c>
      <c r="C1194" s="359" t="s">
        <v>1268</v>
      </c>
      <c r="D1194" s="359" t="s">
        <v>1269</v>
      </c>
      <c r="E1194" s="360"/>
      <c r="F1194" s="359" t="s">
        <v>1346</v>
      </c>
      <c r="G1194" s="361">
        <v>4.5751529704589514E-6</v>
      </c>
      <c r="H1194" s="359" t="s">
        <v>1825</v>
      </c>
      <c r="I1194" s="361">
        <v>2.1209318406101099E-2</v>
      </c>
      <c r="J1194" s="359" t="s">
        <v>1268</v>
      </c>
      <c r="K1194" s="359" t="s">
        <v>1272</v>
      </c>
      <c r="M1194" t="str">
        <f t="shared" si="19"/>
        <v>1,2,4-TRIMETHYLBENZENE</v>
      </c>
    </row>
    <row r="1195" spans="1:13" ht="30" x14ac:dyDescent="0.25">
      <c r="A1195" s="359" t="s">
        <v>1824</v>
      </c>
      <c r="B1195" s="359" t="s">
        <v>691</v>
      </c>
      <c r="C1195" s="359" t="s">
        <v>1655</v>
      </c>
      <c r="D1195" s="359" t="s">
        <v>1654</v>
      </c>
      <c r="E1195" s="360"/>
      <c r="F1195" s="359" t="s">
        <v>1346</v>
      </c>
      <c r="G1195" s="361">
        <v>4.5751529704589514E-6</v>
      </c>
      <c r="H1195" s="359" t="s">
        <v>1286</v>
      </c>
      <c r="I1195" s="361">
        <v>0</v>
      </c>
      <c r="J1195" s="359" t="s">
        <v>1655</v>
      </c>
      <c r="K1195" s="359" t="s">
        <v>1272</v>
      </c>
      <c r="M1195" t="str">
        <f t="shared" si="19"/>
        <v>1,2-DICHLOROETHANE</v>
      </c>
    </row>
    <row r="1196" spans="1:13" ht="30" x14ac:dyDescent="0.25">
      <c r="A1196" s="359" t="s">
        <v>1824</v>
      </c>
      <c r="B1196" s="359" t="s">
        <v>691</v>
      </c>
      <c r="C1196" s="359" t="s">
        <v>1347</v>
      </c>
      <c r="D1196" s="359" t="s">
        <v>1348</v>
      </c>
      <c r="E1196" s="360"/>
      <c r="F1196" s="359" t="s">
        <v>1346</v>
      </c>
      <c r="G1196" s="361">
        <v>4.5751529704589514E-6</v>
      </c>
      <c r="H1196" s="359" t="s">
        <v>1500</v>
      </c>
      <c r="I1196" s="361">
        <v>7.5747565736075358E-3</v>
      </c>
      <c r="J1196" s="359" t="s">
        <v>1347</v>
      </c>
      <c r="K1196" s="359" t="s">
        <v>1272</v>
      </c>
      <c r="M1196" t="str">
        <f t="shared" si="19"/>
        <v>1,3-BUTADIENE</v>
      </c>
    </row>
    <row r="1197" spans="1:13" ht="30" x14ac:dyDescent="0.25">
      <c r="A1197" s="359" t="s">
        <v>1824</v>
      </c>
      <c r="B1197" s="359" t="s">
        <v>691</v>
      </c>
      <c r="C1197" s="359" t="s">
        <v>1273</v>
      </c>
      <c r="D1197" s="359" t="s">
        <v>1274</v>
      </c>
      <c r="E1197" s="360"/>
      <c r="F1197" s="359" t="s">
        <v>1346</v>
      </c>
      <c r="G1197" s="361">
        <v>4.5751529704589514E-6</v>
      </c>
      <c r="H1197" s="359" t="s">
        <v>1825</v>
      </c>
      <c r="I1197" s="361">
        <v>2.1209318406101099E-2</v>
      </c>
      <c r="J1197" s="359" t="s">
        <v>1273</v>
      </c>
      <c r="K1197" s="359" t="s">
        <v>1272</v>
      </c>
      <c r="M1197" t="str">
        <f t="shared" si="19"/>
        <v>BENZENE</v>
      </c>
    </row>
    <row r="1198" spans="1:13" ht="30" x14ac:dyDescent="0.25">
      <c r="A1198" s="359" t="s">
        <v>1824</v>
      </c>
      <c r="B1198" s="359" t="s">
        <v>691</v>
      </c>
      <c r="C1198" s="359" t="s">
        <v>1826</v>
      </c>
      <c r="D1198" s="359" t="s">
        <v>490</v>
      </c>
      <c r="E1198" s="361">
        <v>29.1428346</v>
      </c>
      <c r="F1198" s="359" t="s">
        <v>1346</v>
      </c>
      <c r="G1198" s="361">
        <v>4.5751529704589514E-6</v>
      </c>
      <c r="H1198" s="359" t="s">
        <v>490</v>
      </c>
      <c r="I1198" s="361">
        <v>3.6529568845968192E-7</v>
      </c>
      <c r="J1198" s="359" t="s">
        <v>1826</v>
      </c>
      <c r="K1198" s="359" t="s">
        <v>1277</v>
      </c>
      <c r="M1198" t="str">
        <f t="shared" si="19"/>
        <v>Benzene, ethylbenzene, toluene, xylene combination</v>
      </c>
    </row>
    <row r="1199" spans="1:13" ht="30" x14ac:dyDescent="0.25">
      <c r="A1199" s="359" t="s">
        <v>1824</v>
      </c>
      <c r="B1199" s="359" t="s">
        <v>691</v>
      </c>
      <c r="C1199" s="359" t="s">
        <v>1352</v>
      </c>
      <c r="D1199" s="359" t="s">
        <v>1353</v>
      </c>
      <c r="E1199" s="360"/>
      <c r="F1199" s="359" t="s">
        <v>1346</v>
      </c>
      <c r="G1199" s="361">
        <v>4.5751529704589514E-6</v>
      </c>
      <c r="H1199" s="359" t="s">
        <v>1827</v>
      </c>
      <c r="I1199" s="361">
        <v>1.7043202290616954E-2</v>
      </c>
      <c r="J1199" s="359" t="s">
        <v>1352</v>
      </c>
      <c r="K1199" s="359" t="s">
        <v>1272</v>
      </c>
      <c r="M1199" t="str">
        <f t="shared" si="19"/>
        <v>BENZO(G,H,I)PERYLENE</v>
      </c>
    </row>
    <row r="1200" spans="1:13" ht="30" x14ac:dyDescent="0.25">
      <c r="A1200" s="359" t="s">
        <v>1824</v>
      </c>
      <c r="B1200" s="359" t="s">
        <v>691</v>
      </c>
      <c r="C1200" s="359" t="s">
        <v>1276</v>
      </c>
      <c r="D1200" s="359" t="s">
        <v>490</v>
      </c>
      <c r="E1200" s="361">
        <v>19502.374047900001</v>
      </c>
      <c r="F1200" s="359" t="s">
        <v>1346</v>
      </c>
      <c r="G1200" s="361">
        <v>4.5751529704589514E-6</v>
      </c>
      <c r="H1200" s="359" t="s">
        <v>490</v>
      </c>
      <c r="I1200" s="361">
        <v>2.4445573851027738E-4</v>
      </c>
      <c r="J1200" s="359" t="s">
        <v>1276</v>
      </c>
      <c r="K1200" s="359" t="s">
        <v>1277</v>
      </c>
      <c r="M1200" t="str">
        <f t="shared" si="19"/>
        <v>BOD, 5-day, 20 deg. C</v>
      </c>
    </row>
    <row r="1201" spans="1:13" ht="30" x14ac:dyDescent="0.25">
      <c r="A1201" s="359" t="s">
        <v>1824</v>
      </c>
      <c r="B1201" s="359" t="s">
        <v>691</v>
      </c>
      <c r="C1201" s="359" t="s">
        <v>1476</v>
      </c>
      <c r="D1201" s="359" t="s">
        <v>1477</v>
      </c>
      <c r="E1201" s="361">
        <v>2062954.3921700001</v>
      </c>
      <c r="F1201" s="359" t="s">
        <v>1346</v>
      </c>
      <c r="G1201" s="361">
        <v>4.5751529704589514E-6</v>
      </c>
      <c r="H1201" s="359" t="s">
        <v>490</v>
      </c>
      <c r="I1201" s="361">
        <v>2.5858443603446347E-2</v>
      </c>
      <c r="J1201" s="359" t="s">
        <v>1476</v>
      </c>
      <c r="K1201" s="359" t="s">
        <v>1277</v>
      </c>
      <c r="M1201" t="str">
        <f t="shared" si="19"/>
        <v>Chloride (as Cl)</v>
      </c>
    </row>
    <row r="1202" spans="1:13" ht="30" x14ac:dyDescent="0.25">
      <c r="A1202" s="359" t="s">
        <v>1824</v>
      </c>
      <c r="B1202" s="359" t="s">
        <v>691</v>
      </c>
      <c r="C1202" s="359" t="s">
        <v>1280</v>
      </c>
      <c r="D1202" s="359" t="s">
        <v>1281</v>
      </c>
      <c r="E1202" s="361">
        <v>26.0247320442</v>
      </c>
      <c r="F1202" s="359" t="s">
        <v>1346</v>
      </c>
      <c r="G1202" s="361">
        <v>4.5751529704589514E-6</v>
      </c>
      <c r="H1202" s="359" t="s">
        <v>490</v>
      </c>
      <c r="I1202" s="361">
        <v>3.2621131539019146E-7</v>
      </c>
      <c r="J1202" s="359" t="s">
        <v>1280</v>
      </c>
      <c r="K1202" s="359" t="s">
        <v>1277</v>
      </c>
      <c r="M1202" t="str">
        <f t="shared" si="19"/>
        <v>Chromium, hexavalent (as Cr)</v>
      </c>
    </row>
    <row r="1203" spans="1:13" ht="30" x14ac:dyDescent="0.25">
      <c r="A1203" s="359" t="s">
        <v>1824</v>
      </c>
      <c r="B1203" s="359" t="s">
        <v>691</v>
      </c>
      <c r="C1203" s="359" t="s">
        <v>1282</v>
      </c>
      <c r="D1203" s="359" t="s">
        <v>1283</v>
      </c>
      <c r="E1203" s="361">
        <v>18.865761944180001</v>
      </c>
      <c r="F1203" s="359" t="s">
        <v>1346</v>
      </c>
      <c r="G1203" s="361">
        <v>4.5751529704589514E-6</v>
      </c>
      <c r="H1203" s="359" t="s">
        <v>490</v>
      </c>
      <c r="I1203" s="361">
        <v>2.3647601862708649E-7</v>
      </c>
      <c r="J1203" s="359" t="s">
        <v>1282</v>
      </c>
      <c r="K1203" s="359" t="s">
        <v>1277</v>
      </c>
      <c r="M1203" t="str">
        <f t="shared" si="19"/>
        <v>Chromium, total (as Cr)</v>
      </c>
    </row>
    <row r="1204" spans="1:13" ht="30" x14ac:dyDescent="0.25">
      <c r="A1204" s="359" t="s">
        <v>1824</v>
      </c>
      <c r="B1204" s="359" t="s">
        <v>691</v>
      </c>
      <c r="C1204" s="359" t="s">
        <v>1485</v>
      </c>
      <c r="D1204" s="359" t="s">
        <v>1486</v>
      </c>
      <c r="E1204" s="360"/>
      <c r="F1204" s="359" t="s">
        <v>1346</v>
      </c>
      <c r="G1204" s="361">
        <v>4.5751529704589514E-6</v>
      </c>
      <c r="H1204" s="359" t="s">
        <v>1517</v>
      </c>
      <c r="I1204" s="361">
        <v>1.287708617513281E-2</v>
      </c>
      <c r="J1204" s="359" t="s">
        <v>1485</v>
      </c>
      <c r="K1204" s="359" t="s">
        <v>1272</v>
      </c>
      <c r="M1204" t="str">
        <f t="shared" si="19"/>
        <v>COBALT AND COBALT COMPOUNDS</v>
      </c>
    </row>
    <row r="1205" spans="1:13" ht="30" x14ac:dyDescent="0.25">
      <c r="A1205" s="359" t="s">
        <v>1824</v>
      </c>
      <c r="B1205" s="359" t="s">
        <v>691</v>
      </c>
      <c r="C1205" s="359" t="s">
        <v>1291</v>
      </c>
      <c r="D1205" s="359" t="s">
        <v>1292</v>
      </c>
      <c r="E1205" s="360"/>
      <c r="F1205" s="359" t="s">
        <v>1346</v>
      </c>
      <c r="G1205" s="361">
        <v>4.5751529704589514E-6</v>
      </c>
      <c r="H1205" s="359" t="s">
        <v>1825</v>
      </c>
      <c r="I1205" s="361">
        <v>2.1209318406101099E-2</v>
      </c>
      <c r="J1205" s="359" t="s">
        <v>1291</v>
      </c>
      <c r="K1205" s="359" t="s">
        <v>1272</v>
      </c>
      <c r="M1205" t="str">
        <f t="shared" si="19"/>
        <v>CYCLOHEXANE</v>
      </c>
    </row>
    <row r="1206" spans="1:13" ht="30" x14ac:dyDescent="0.25">
      <c r="A1206" s="359" t="s">
        <v>1824</v>
      </c>
      <c r="B1206" s="359" t="s">
        <v>691</v>
      </c>
      <c r="C1206" s="359" t="s">
        <v>1362</v>
      </c>
      <c r="D1206" s="359" t="s">
        <v>1363</v>
      </c>
      <c r="E1206" s="360"/>
      <c r="F1206" s="359" t="s">
        <v>1346</v>
      </c>
      <c r="G1206" s="361">
        <v>4.5751529704589514E-6</v>
      </c>
      <c r="H1206" s="359" t="s">
        <v>1828</v>
      </c>
      <c r="I1206" s="361">
        <v>6.749108107084313E-8</v>
      </c>
      <c r="J1206" s="359" t="s">
        <v>1362</v>
      </c>
      <c r="K1206" s="359" t="s">
        <v>1272</v>
      </c>
      <c r="M1206" t="str">
        <f t="shared" si="19"/>
        <v>DIOXIN AND DIOXIN-LIKE COMPOUNDS</v>
      </c>
    </row>
    <row r="1207" spans="1:13" ht="30" x14ac:dyDescent="0.25">
      <c r="A1207" s="359" t="s">
        <v>1824</v>
      </c>
      <c r="B1207" s="359" t="s">
        <v>691</v>
      </c>
      <c r="C1207" s="359" t="s">
        <v>1295</v>
      </c>
      <c r="D1207" s="359" t="s">
        <v>1296</v>
      </c>
      <c r="E1207" s="360"/>
      <c r="F1207" s="359" t="s">
        <v>1346</v>
      </c>
      <c r="G1207" s="361">
        <v>4.5751529704589514E-6</v>
      </c>
      <c r="H1207" s="359" t="s">
        <v>1825</v>
      </c>
      <c r="I1207" s="361">
        <v>2.1209318406101099E-2</v>
      </c>
      <c r="J1207" s="359" t="s">
        <v>1295</v>
      </c>
      <c r="K1207" s="359" t="s">
        <v>1272</v>
      </c>
      <c r="M1207" t="str">
        <f t="shared" si="19"/>
        <v>ETHYLBENZENE</v>
      </c>
    </row>
    <row r="1208" spans="1:13" ht="30" x14ac:dyDescent="0.25">
      <c r="A1208" s="359" t="s">
        <v>1824</v>
      </c>
      <c r="B1208" s="359" t="s">
        <v>691</v>
      </c>
      <c r="C1208" s="359" t="s">
        <v>1596</v>
      </c>
      <c r="D1208" s="359" t="s">
        <v>1597</v>
      </c>
      <c r="E1208" s="361">
        <v>4029.9319727900001</v>
      </c>
      <c r="F1208" s="359" t="s">
        <v>1346</v>
      </c>
      <c r="G1208" s="361">
        <v>4.5751529704589514E-6</v>
      </c>
      <c r="H1208" s="359" t="s">
        <v>490</v>
      </c>
      <c r="I1208" s="361">
        <v>5.0513849961801837E-5</v>
      </c>
      <c r="J1208" s="359" t="s">
        <v>1596</v>
      </c>
      <c r="K1208" s="359" t="s">
        <v>1277</v>
      </c>
      <c r="M1208" t="str">
        <f t="shared" si="19"/>
        <v>Fluoride, total (as F)</v>
      </c>
    </row>
    <row r="1209" spans="1:13" ht="30" x14ac:dyDescent="0.25">
      <c r="A1209" s="359" t="s">
        <v>1824</v>
      </c>
      <c r="B1209" s="359" t="s">
        <v>691</v>
      </c>
      <c r="C1209" s="359" t="s">
        <v>1297</v>
      </c>
      <c r="D1209" s="359" t="s">
        <v>1298</v>
      </c>
      <c r="E1209" s="360"/>
      <c r="F1209" s="359" t="s">
        <v>1346</v>
      </c>
      <c r="G1209" s="361">
        <v>4.5751529704589514E-6</v>
      </c>
      <c r="H1209" s="359" t="s">
        <v>1829</v>
      </c>
      <c r="I1209" s="361">
        <v>2.5602677218793467E-2</v>
      </c>
      <c r="J1209" s="359" t="s">
        <v>1297</v>
      </c>
      <c r="K1209" s="359" t="s">
        <v>1272</v>
      </c>
      <c r="M1209" t="str">
        <f t="shared" si="19"/>
        <v>LEAD AND LEAD COMPOUNDS</v>
      </c>
    </row>
    <row r="1210" spans="1:13" ht="30" x14ac:dyDescent="0.25">
      <c r="A1210" s="359" t="s">
        <v>1824</v>
      </c>
      <c r="B1210" s="359" t="s">
        <v>691</v>
      </c>
      <c r="C1210" s="359" t="s">
        <v>1300</v>
      </c>
      <c r="D1210" s="359" t="s">
        <v>1301</v>
      </c>
      <c r="E1210" s="360"/>
      <c r="F1210" s="359" t="s">
        <v>1346</v>
      </c>
      <c r="G1210" s="361">
        <v>4.5751529704589514E-6</v>
      </c>
      <c r="H1210" s="359" t="s">
        <v>1334</v>
      </c>
      <c r="I1210" s="361">
        <v>8.33223223096829E-4</v>
      </c>
      <c r="J1210" s="359" t="s">
        <v>1300</v>
      </c>
      <c r="K1210" s="359" t="s">
        <v>1272</v>
      </c>
      <c r="M1210" t="str">
        <f t="shared" si="19"/>
        <v>MERCURY AND MERCURY COMPOUNDS</v>
      </c>
    </row>
    <row r="1211" spans="1:13" ht="30" x14ac:dyDescent="0.25">
      <c r="A1211" s="359" t="s">
        <v>1824</v>
      </c>
      <c r="B1211" s="359" t="s">
        <v>691</v>
      </c>
      <c r="C1211" s="359" t="s">
        <v>1375</v>
      </c>
      <c r="D1211" s="359" t="s">
        <v>1376</v>
      </c>
      <c r="E1211" s="360"/>
      <c r="F1211" s="359" t="s">
        <v>1346</v>
      </c>
      <c r="G1211" s="361">
        <v>4.5751529704589514E-6</v>
      </c>
      <c r="H1211" s="359" t="s">
        <v>1830</v>
      </c>
      <c r="I1211" s="361">
        <v>23.848363596345965</v>
      </c>
      <c r="J1211" s="359" t="s">
        <v>1375</v>
      </c>
      <c r="K1211" s="359" t="s">
        <v>1272</v>
      </c>
      <c r="M1211" t="str">
        <f t="shared" si="19"/>
        <v>METHANOL</v>
      </c>
    </row>
    <row r="1212" spans="1:13" ht="30" x14ac:dyDescent="0.25">
      <c r="A1212" s="359" t="s">
        <v>1824</v>
      </c>
      <c r="B1212" s="359" t="s">
        <v>691</v>
      </c>
      <c r="C1212" s="359" t="s">
        <v>1381</v>
      </c>
      <c r="D1212" s="359" t="s">
        <v>1382</v>
      </c>
      <c r="E1212" s="360"/>
      <c r="F1212" s="359" t="s">
        <v>1346</v>
      </c>
      <c r="G1212" s="361">
        <v>4.5751529704589514E-6</v>
      </c>
      <c r="H1212" s="359" t="s">
        <v>1500</v>
      </c>
      <c r="I1212" s="361">
        <v>7.5747565736075358E-3</v>
      </c>
      <c r="J1212" s="359" t="s">
        <v>1381</v>
      </c>
      <c r="K1212" s="359" t="s">
        <v>1272</v>
      </c>
      <c r="M1212" t="str">
        <f t="shared" si="19"/>
        <v>MOLYBDENUM TRIOXIDE</v>
      </c>
    </row>
    <row r="1213" spans="1:13" ht="30" x14ac:dyDescent="0.25">
      <c r="A1213" s="359" t="s">
        <v>1824</v>
      </c>
      <c r="B1213" s="359" t="s">
        <v>691</v>
      </c>
      <c r="C1213" s="359" t="s">
        <v>1303</v>
      </c>
      <c r="D1213" s="359" t="s">
        <v>1304</v>
      </c>
      <c r="E1213" s="360"/>
      <c r="F1213" s="359" t="s">
        <v>1346</v>
      </c>
      <c r="G1213" s="361">
        <v>4.5751529704589514E-6</v>
      </c>
      <c r="H1213" s="359" t="s">
        <v>1270</v>
      </c>
      <c r="I1213" s="361">
        <v>1.5149513147215072E-3</v>
      </c>
      <c r="J1213" s="359" t="s">
        <v>1303</v>
      </c>
      <c r="K1213" s="359" t="s">
        <v>1272</v>
      </c>
      <c r="M1213" t="str">
        <f t="shared" si="19"/>
        <v>NAPHTHALENE</v>
      </c>
    </row>
    <row r="1214" spans="1:13" ht="30" x14ac:dyDescent="0.25">
      <c r="A1214" s="359" t="s">
        <v>1824</v>
      </c>
      <c r="B1214" s="359" t="s">
        <v>691</v>
      </c>
      <c r="C1214" s="359" t="s">
        <v>1305</v>
      </c>
      <c r="D1214" s="359" t="s">
        <v>1306</v>
      </c>
      <c r="E1214" s="360"/>
      <c r="F1214" s="359" t="s">
        <v>1346</v>
      </c>
      <c r="G1214" s="361">
        <v>4.5751529704589514E-6</v>
      </c>
      <c r="H1214" s="359" t="s">
        <v>1825</v>
      </c>
      <c r="I1214" s="361">
        <v>2.1209318406101099E-2</v>
      </c>
      <c r="J1214" s="359" t="s">
        <v>1305</v>
      </c>
      <c r="K1214" s="359" t="s">
        <v>1272</v>
      </c>
      <c r="M1214" t="str">
        <f t="shared" si="19"/>
        <v>N-HEXANE</v>
      </c>
    </row>
    <row r="1215" spans="1:13" ht="30" x14ac:dyDescent="0.25">
      <c r="A1215" s="359" t="s">
        <v>1824</v>
      </c>
      <c r="B1215" s="359" t="s">
        <v>691</v>
      </c>
      <c r="C1215" s="359" t="s">
        <v>1384</v>
      </c>
      <c r="D1215" s="359" t="s">
        <v>1385</v>
      </c>
      <c r="E1215" s="360"/>
      <c r="F1215" s="359" t="s">
        <v>1346</v>
      </c>
      <c r="G1215" s="361">
        <v>4.5751529704589514E-6</v>
      </c>
      <c r="H1215" s="359" t="s">
        <v>1579</v>
      </c>
      <c r="I1215" s="361">
        <v>0.13634561832493564</v>
      </c>
      <c r="J1215" s="359" t="s">
        <v>1384</v>
      </c>
      <c r="K1215" s="359" t="s">
        <v>1272</v>
      </c>
      <c r="M1215" t="str">
        <f t="shared" si="19"/>
        <v>NICKEL AND NICKEL COMPOUNDS</v>
      </c>
    </row>
    <row r="1216" spans="1:13" ht="30" x14ac:dyDescent="0.25">
      <c r="A1216" s="359" t="s">
        <v>1824</v>
      </c>
      <c r="B1216" s="359" t="s">
        <v>691</v>
      </c>
      <c r="C1216" s="359" t="s">
        <v>1307</v>
      </c>
      <c r="D1216" s="359" t="s">
        <v>1308</v>
      </c>
      <c r="E1216" s="360"/>
      <c r="F1216" s="359" t="s">
        <v>1346</v>
      </c>
      <c r="G1216" s="361">
        <v>4.5751529704589514E-6</v>
      </c>
      <c r="H1216" s="359" t="s">
        <v>1831</v>
      </c>
      <c r="I1216" s="361">
        <v>316.68466535372647</v>
      </c>
      <c r="J1216" s="359" t="s">
        <v>1310</v>
      </c>
      <c r="K1216" s="359" t="s">
        <v>1272</v>
      </c>
      <c r="M1216" t="str">
        <f t="shared" si="19"/>
        <v>NITRATE</v>
      </c>
    </row>
    <row r="1217" spans="1:13" ht="30" x14ac:dyDescent="0.25">
      <c r="A1217" s="359" t="s">
        <v>1824</v>
      </c>
      <c r="B1217" s="359" t="s">
        <v>691</v>
      </c>
      <c r="C1217" s="359" t="s">
        <v>1311</v>
      </c>
      <c r="D1217" s="359" t="s">
        <v>1312</v>
      </c>
      <c r="E1217" s="361">
        <v>1082.9624569339999</v>
      </c>
      <c r="F1217" s="359" t="s">
        <v>1346</v>
      </c>
      <c r="G1217" s="361">
        <v>4.5751529704589514E-6</v>
      </c>
      <c r="H1217" s="359" t="s">
        <v>490</v>
      </c>
      <c r="I1217" s="361">
        <v>1.3574572333526339E-5</v>
      </c>
      <c r="J1217" s="359" t="s">
        <v>1313</v>
      </c>
      <c r="K1217" s="359" t="s">
        <v>1277</v>
      </c>
      <c r="M1217" t="str">
        <f t="shared" si="19"/>
        <v>AMMONIA</v>
      </c>
    </row>
    <row r="1218" spans="1:13" ht="30" x14ac:dyDescent="0.25">
      <c r="A1218" s="359" t="s">
        <v>1824</v>
      </c>
      <c r="B1218" s="359" t="s">
        <v>691</v>
      </c>
      <c r="C1218" s="359" t="s">
        <v>1533</v>
      </c>
      <c r="D1218" s="359" t="s">
        <v>490</v>
      </c>
      <c r="E1218" s="361">
        <v>30002.291220700001</v>
      </c>
      <c r="F1218" s="359" t="s">
        <v>1346</v>
      </c>
      <c r="G1218" s="361">
        <v>4.5751529704589514E-6</v>
      </c>
      <c r="H1218" s="359" t="s">
        <v>490</v>
      </c>
      <c r="I1218" s="361">
        <v>3.7606868986016473E-4</v>
      </c>
      <c r="J1218" s="359" t="s">
        <v>1533</v>
      </c>
      <c r="K1218" s="359" t="s">
        <v>1277</v>
      </c>
      <c r="M1218" t="str">
        <f t="shared" si="19"/>
        <v>Oil and grease (soxhlet extr.) tot.</v>
      </c>
    </row>
    <row r="1219" spans="1:13" ht="30" x14ac:dyDescent="0.25">
      <c r="A1219" s="359" t="s">
        <v>1824</v>
      </c>
      <c r="B1219" s="359" t="s">
        <v>691</v>
      </c>
      <c r="C1219" s="359" t="s">
        <v>1457</v>
      </c>
      <c r="D1219" s="359" t="s">
        <v>490</v>
      </c>
      <c r="E1219" s="361">
        <v>152282.480522</v>
      </c>
      <c r="F1219" s="359" t="s">
        <v>1346</v>
      </c>
      <c r="G1219" s="361">
        <v>4.5751529704589514E-6</v>
      </c>
      <c r="H1219" s="359" t="s">
        <v>490</v>
      </c>
      <c r="I1219" s="361">
        <v>1.9088099811207827E-3</v>
      </c>
      <c r="J1219" s="359" t="s">
        <v>1457</v>
      </c>
      <c r="K1219" s="359" t="s">
        <v>1277</v>
      </c>
      <c r="M1219" t="str">
        <f t="shared" si="19"/>
        <v>Chemical Oxygen Demand (COD)</v>
      </c>
    </row>
    <row r="1220" spans="1:13" ht="30" x14ac:dyDescent="0.25">
      <c r="A1220" s="359" t="s">
        <v>1824</v>
      </c>
      <c r="B1220" s="359" t="s">
        <v>691</v>
      </c>
      <c r="C1220" s="359" t="s">
        <v>1480</v>
      </c>
      <c r="D1220" s="359" t="s">
        <v>1481</v>
      </c>
      <c r="E1220" s="361">
        <v>22245.560061</v>
      </c>
      <c r="F1220" s="359" t="s">
        <v>1346</v>
      </c>
      <c r="G1220" s="361">
        <v>4.5751529704589514E-6</v>
      </c>
      <c r="H1220" s="359" t="s">
        <v>490</v>
      </c>
      <c r="I1220" s="361">
        <v>2.7884065806193744E-4</v>
      </c>
      <c r="J1220" s="359" t="s">
        <v>1480</v>
      </c>
      <c r="K1220" s="359" t="s">
        <v>1277</v>
      </c>
      <c r="M1220" t="str">
        <f t="shared" si="19"/>
        <v>Oxygen, dissolved (DO)</v>
      </c>
    </row>
    <row r="1221" spans="1:13" ht="30" x14ac:dyDescent="0.25">
      <c r="A1221" s="359" t="s">
        <v>1824</v>
      </c>
      <c r="B1221" s="359" t="s">
        <v>691</v>
      </c>
      <c r="C1221" s="359" t="s">
        <v>1315</v>
      </c>
      <c r="D1221" s="359" t="s">
        <v>1316</v>
      </c>
      <c r="E1221" s="360"/>
      <c r="F1221" s="359" t="s">
        <v>1346</v>
      </c>
      <c r="G1221" s="361">
        <v>4.5751529704589514E-6</v>
      </c>
      <c r="H1221" s="359" t="s">
        <v>1832</v>
      </c>
      <c r="I1221" s="361">
        <v>5.9083101274138773E-2</v>
      </c>
      <c r="J1221" s="359" t="s">
        <v>1315</v>
      </c>
      <c r="K1221" s="359" t="s">
        <v>1272</v>
      </c>
      <c r="M1221" t="str">
        <f t="shared" si="19"/>
        <v>PHENOL</v>
      </c>
    </row>
    <row r="1222" spans="1:13" ht="30" x14ac:dyDescent="0.25">
      <c r="A1222" s="359" t="s">
        <v>1824</v>
      </c>
      <c r="B1222" s="359" t="s">
        <v>691</v>
      </c>
      <c r="C1222" s="359" t="s">
        <v>1318</v>
      </c>
      <c r="D1222" s="359" t="s">
        <v>490</v>
      </c>
      <c r="E1222" s="361">
        <v>84.888797590899998</v>
      </c>
      <c r="F1222" s="359" t="s">
        <v>1346</v>
      </c>
      <c r="G1222" s="361">
        <v>4.5751529704589514E-6</v>
      </c>
      <c r="H1222" s="359" t="s">
        <v>490</v>
      </c>
      <c r="I1222" s="361">
        <v>1.0640526971416296E-6</v>
      </c>
      <c r="J1222" s="359" t="s">
        <v>1318</v>
      </c>
      <c r="K1222" s="359" t="s">
        <v>1277</v>
      </c>
      <c r="M1222" t="str">
        <f t="shared" ref="M1222:M1285" si="20">IF(J1222="",C1222,J1222)</f>
        <v>Phenolics, total recoverable</v>
      </c>
    </row>
    <row r="1223" spans="1:13" ht="30" x14ac:dyDescent="0.25">
      <c r="A1223" s="359" t="s">
        <v>1824</v>
      </c>
      <c r="B1223" s="359" t="s">
        <v>691</v>
      </c>
      <c r="C1223" s="359" t="s">
        <v>1319</v>
      </c>
      <c r="D1223" s="359" t="s">
        <v>1320</v>
      </c>
      <c r="E1223" s="360"/>
      <c r="F1223" s="359" t="s">
        <v>1346</v>
      </c>
      <c r="G1223" s="361">
        <v>4.5751529704589514E-6</v>
      </c>
      <c r="H1223" s="359" t="s">
        <v>1827</v>
      </c>
      <c r="I1223" s="361">
        <v>1.7043202290616954E-2</v>
      </c>
      <c r="J1223" s="359" t="s">
        <v>1319</v>
      </c>
      <c r="K1223" s="359" t="s">
        <v>1272</v>
      </c>
      <c r="M1223" t="str">
        <f t="shared" si="20"/>
        <v>POLYCYCLIC AROMATIC COMPOUNDS</v>
      </c>
    </row>
    <row r="1224" spans="1:13" ht="30" x14ac:dyDescent="0.25">
      <c r="A1224" s="359" t="s">
        <v>1824</v>
      </c>
      <c r="B1224" s="359" t="s">
        <v>691</v>
      </c>
      <c r="C1224" s="359" t="s">
        <v>1833</v>
      </c>
      <c r="D1224" s="359" t="s">
        <v>1834</v>
      </c>
      <c r="E1224" s="361">
        <v>9.6038886750000003</v>
      </c>
      <c r="F1224" s="359" t="s">
        <v>1346</v>
      </c>
      <c r="G1224" s="361">
        <v>4.5751529704589514E-6</v>
      </c>
      <c r="H1224" s="359" t="s">
        <v>490</v>
      </c>
      <c r="I1224" s="361">
        <v>1.2038153369694064E-7</v>
      </c>
      <c r="J1224" s="359" t="s">
        <v>1835</v>
      </c>
      <c r="K1224" s="359" t="s">
        <v>1277</v>
      </c>
      <c r="M1224" t="str">
        <f t="shared" si="20"/>
        <v>METIRAM</v>
      </c>
    </row>
    <row r="1225" spans="1:13" ht="30" x14ac:dyDescent="0.25">
      <c r="A1225" s="359" t="s">
        <v>1824</v>
      </c>
      <c r="B1225" s="359" t="s">
        <v>691</v>
      </c>
      <c r="C1225" s="359" t="s">
        <v>1322</v>
      </c>
      <c r="D1225" s="359" t="s">
        <v>490</v>
      </c>
      <c r="E1225" s="361">
        <v>76686.1680662</v>
      </c>
      <c r="F1225" s="359" t="s">
        <v>1346</v>
      </c>
      <c r="G1225" s="361">
        <v>4.5751529704589514E-6</v>
      </c>
      <c r="H1225" s="359" t="s">
        <v>490</v>
      </c>
      <c r="I1225" s="361">
        <v>9.6123547841421727E-4</v>
      </c>
      <c r="J1225" s="359" t="s">
        <v>1322</v>
      </c>
      <c r="K1225" s="359" t="s">
        <v>1277</v>
      </c>
      <c r="M1225" t="str">
        <f t="shared" si="20"/>
        <v>Solids, total suspended</v>
      </c>
    </row>
    <row r="1226" spans="1:13" ht="30" x14ac:dyDescent="0.25">
      <c r="A1226" s="359" t="s">
        <v>1824</v>
      </c>
      <c r="B1226" s="359" t="s">
        <v>691</v>
      </c>
      <c r="C1226" s="359" t="s">
        <v>1616</v>
      </c>
      <c r="D1226" s="359" t="s">
        <v>1607</v>
      </c>
      <c r="E1226" s="361">
        <v>1460515.6462600001</v>
      </c>
      <c r="F1226" s="359" t="s">
        <v>1346</v>
      </c>
      <c r="G1226" s="361">
        <v>4.5751529704589514E-6</v>
      </c>
      <c r="H1226" s="359" t="s">
        <v>490</v>
      </c>
      <c r="I1226" s="361">
        <v>1.8307075335310178E-2</v>
      </c>
      <c r="J1226" s="359" t="s">
        <v>1616</v>
      </c>
      <c r="K1226" s="359" t="s">
        <v>1277</v>
      </c>
      <c r="M1226" t="str">
        <f t="shared" si="20"/>
        <v>Sulfate, total (as SO4)</v>
      </c>
    </row>
    <row r="1227" spans="1:13" ht="30" x14ac:dyDescent="0.25">
      <c r="A1227" s="359" t="s">
        <v>1824</v>
      </c>
      <c r="B1227" s="359" t="s">
        <v>691</v>
      </c>
      <c r="C1227" s="359" t="s">
        <v>1323</v>
      </c>
      <c r="D1227" s="359" t="s">
        <v>1324</v>
      </c>
      <c r="E1227" s="361">
        <v>158.045351474</v>
      </c>
      <c r="F1227" s="359" t="s">
        <v>1346</v>
      </c>
      <c r="G1227" s="361">
        <v>4.5751529704589514E-6</v>
      </c>
      <c r="H1227" s="359" t="s">
        <v>490</v>
      </c>
      <c r="I1227" s="361">
        <v>1.9810456418178087E-6</v>
      </c>
      <c r="J1227" s="359" t="s">
        <v>1323</v>
      </c>
      <c r="K1227" s="359" t="s">
        <v>1277</v>
      </c>
      <c r="M1227" t="str">
        <f t="shared" si="20"/>
        <v>Sulfide, total (as S)</v>
      </c>
    </row>
    <row r="1228" spans="1:13" ht="30" x14ac:dyDescent="0.25">
      <c r="A1228" s="359" t="s">
        <v>1824</v>
      </c>
      <c r="B1228" s="359" t="s">
        <v>691</v>
      </c>
      <c r="C1228" s="359" t="s">
        <v>1325</v>
      </c>
      <c r="D1228" s="359" t="s">
        <v>1326</v>
      </c>
      <c r="E1228" s="360"/>
      <c r="F1228" s="359" t="s">
        <v>1346</v>
      </c>
      <c r="G1228" s="361">
        <v>4.5751529704589514E-6</v>
      </c>
      <c r="H1228" s="359" t="s">
        <v>1592</v>
      </c>
      <c r="I1228" s="361">
        <v>2.2724269720822605E-2</v>
      </c>
      <c r="J1228" s="359" t="s">
        <v>1325</v>
      </c>
      <c r="K1228" s="359" t="s">
        <v>1272</v>
      </c>
      <c r="M1228" t="str">
        <f t="shared" si="20"/>
        <v>TOLUENE</v>
      </c>
    </row>
    <row r="1229" spans="1:13" ht="30" x14ac:dyDescent="0.25">
      <c r="A1229" s="359" t="s">
        <v>1824</v>
      </c>
      <c r="B1229" s="359" t="s">
        <v>691</v>
      </c>
      <c r="C1229" s="359" t="s">
        <v>1327</v>
      </c>
      <c r="D1229" s="359" t="s">
        <v>1328</v>
      </c>
      <c r="E1229" s="360"/>
      <c r="F1229" s="359" t="s">
        <v>1346</v>
      </c>
      <c r="G1229" s="361">
        <v>4.5751529704589514E-6</v>
      </c>
      <c r="H1229" s="359" t="s">
        <v>1836</v>
      </c>
      <c r="I1229" s="361">
        <v>6.3627955218303292E-2</v>
      </c>
      <c r="J1229" s="359" t="s">
        <v>1329</v>
      </c>
      <c r="K1229" s="359" t="s">
        <v>1272</v>
      </c>
      <c r="M1229" t="str">
        <f t="shared" si="20"/>
        <v>XYLENES</v>
      </c>
    </row>
    <row r="1230" spans="1:13" ht="30" x14ac:dyDescent="0.25">
      <c r="A1230" s="359" t="s">
        <v>1824</v>
      </c>
      <c r="B1230" s="359" t="s">
        <v>691</v>
      </c>
      <c r="C1230" s="359" t="s">
        <v>1611</v>
      </c>
      <c r="D1230" s="359" t="s">
        <v>1343</v>
      </c>
      <c r="E1230" s="361">
        <v>106.032653061</v>
      </c>
      <c r="F1230" s="359" t="s">
        <v>1346</v>
      </c>
      <c r="G1230" s="361">
        <v>4.5751529704589514E-6</v>
      </c>
      <c r="H1230" s="359" t="s">
        <v>490</v>
      </c>
      <c r="I1230" s="361">
        <v>1.3290838564867879E-6</v>
      </c>
      <c r="J1230" s="359" t="s">
        <v>1611</v>
      </c>
      <c r="K1230" s="359" t="s">
        <v>1277</v>
      </c>
      <c r="M1230" t="str">
        <f t="shared" si="20"/>
        <v>Zinc, total (as Zn)</v>
      </c>
    </row>
    <row r="1231" spans="1:13" ht="45" x14ac:dyDescent="0.25">
      <c r="A1231" s="359" t="s">
        <v>1837</v>
      </c>
      <c r="B1231" s="359" t="s">
        <v>705</v>
      </c>
      <c r="C1231" s="359" t="s">
        <v>1268</v>
      </c>
      <c r="D1231" s="359" t="s">
        <v>1269</v>
      </c>
      <c r="E1231" s="360"/>
      <c r="F1231" s="359" t="s">
        <v>1270</v>
      </c>
      <c r="G1231" s="361">
        <v>4.5977011494252875E-6</v>
      </c>
      <c r="H1231" s="359" t="s">
        <v>1333</v>
      </c>
      <c r="I1231" s="361">
        <v>7.6120879957372308E-4</v>
      </c>
      <c r="J1231" s="359" t="s">
        <v>1268</v>
      </c>
      <c r="K1231" s="359" t="s">
        <v>1272</v>
      </c>
      <c r="M1231" t="str">
        <f t="shared" si="20"/>
        <v>1,2,4-TRIMETHYLBENZENE</v>
      </c>
    </row>
    <row r="1232" spans="1:13" ht="45" x14ac:dyDescent="0.25">
      <c r="A1232" s="359" t="s">
        <v>1837</v>
      </c>
      <c r="B1232" s="359" t="s">
        <v>705</v>
      </c>
      <c r="C1232" s="359" t="s">
        <v>1347</v>
      </c>
      <c r="D1232" s="359" t="s">
        <v>1348</v>
      </c>
      <c r="E1232" s="360"/>
      <c r="F1232" s="359" t="s">
        <v>1270</v>
      </c>
      <c r="G1232" s="361">
        <v>4.5977011494252875E-6</v>
      </c>
      <c r="H1232" s="359" t="s">
        <v>1286</v>
      </c>
      <c r="I1232" s="361">
        <v>0</v>
      </c>
      <c r="J1232" s="359" t="s">
        <v>1347</v>
      </c>
      <c r="K1232" s="359" t="s">
        <v>1272</v>
      </c>
      <c r="M1232" t="str">
        <f t="shared" si="20"/>
        <v>1,3-BUTADIENE</v>
      </c>
    </row>
    <row r="1233" spans="1:13" ht="45" x14ac:dyDescent="0.25">
      <c r="A1233" s="359" t="s">
        <v>1837</v>
      </c>
      <c r="B1233" s="359" t="s">
        <v>705</v>
      </c>
      <c r="C1233" s="359" t="s">
        <v>1313</v>
      </c>
      <c r="D1233" s="359" t="s">
        <v>1312</v>
      </c>
      <c r="E1233" s="360"/>
      <c r="F1233" s="359" t="s">
        <v>1270</v>
      </c>
      <c r="G1233" s="361">
        <v>4.5977011494252875E-6</v>
      </c>
      <c r="H1233" s="359" t="s">
        <v>1817</v>
      </c>
      <c r="I1233" s="361">
        <v>0.35091725660348633</v>
      </c>
      <c r="J1233" s="359" t="s">
        <v>1313</v>
      </c>
      <c r="K1233" s="359" t="s">
        <v>1272</v>
      </c>
      <c r="M1233" t="str">
        <f t="shared" si="20"/>
        <v>AMMONIA</v>
      </c>
    </row>
    <row r="1234" spans="1:13" ht="45" x14ac:dyDescent="0.25">
      <c r="A1234" s="359" t="s">
        <v>1837</v>
      </c>
      <c r="B1234" s="359" t="s">
        <v>705</v>
      </c>
      <c r="C1234" s="359" t="s">
        <v>1273</v>
      </c>
      <c r="D1234" s="359" t="s">
        <v>1274</v>
      </c>
      <c r="E1234" s="360"/>
      <c r="F1234" s="359" t="s">
        <v>1270</v>
      </c>
      <c r="G1234" s="361">
        <v>4.5977011494252875E-6</v>
      </c>
      <c r="H1234" s="359" t="s">
        <v>1286</v>
      </c>
      <c r="I1234" s="361">
        <v>0</v>
      </c>
      <c r="J1234" s="359" t="s">
        <v>1273</v>
      </c>
      <c r="K1234" s="359" t="s">
        <v>1272</v>
      </c>
      <c r="M1234" t="str">
        <f t="shared" si="20"/>
        <v>BENZENE</v>
      </c>
    </row>
    <row r="1235" spans="1:13" ht="45" x14ac:dyDescent="0.25">
      <c r="A1235" s="359" t="s">
        <v>1837</v>
      </c>
      <c r="B1235" s="359" t="s">
        <v>705</v>
      </c>
      <c r="C1235" s="359" t="s">
        <v>1352</v>
      </c>
      <c r="D1235" s="359" t="s">
        <v>1353</v>
      </c>
      <c r="E1235" s="360"/>
      <c r="F1235" s="359" t="s">
        <v>1270</v>
      </c>
      <c r="G1235" s="361">
        <v>4.5977011494252875E-6</v>
      </c>
      <c r="H1235" s="359" t="s">
        <v>1286</v>
      </c>
      <c r="I1235" s="361">
        <v>0</v>
      </c>
      <c r="J1235" s="359" t="s">
        <v>1352</v>
      </c>
      <c r="K1235" s="359" t="s">
        <v>1272</v>
      </c>
      <c r="M1235" t="str">
        <f t="shared" si="20"/>
        <v>BENZO(G,H,I)PERYLENE</v>
      </c>
    </row>
    <row r="1236" spans="1:13" ht="45" x14ac:dyDescent="0.25">
      <c r="A1236" s="359" t="s">
        <v>1837</v>
      </c>
      <c r="B1236" s="359" t="s">
        <v>705</v>
      </c>
      <c r="C1236" s="359" t="s">
        <v>1414</v>
      </c>
      <c r="D1236" s="359" t="s">
        <v>1415</v>
      </c>
      <c r="E1236" s="360"/>
      <c r="F1236" s="359" t="s">
        <v>1270</v>
      </c>
      <c r="G1236" s="361">
        <v>4.5977011494252875E-6</v>
      </c>
      <c r="H1236" s="359" t="s">
        <v>1333</v>
      </c>
      <c r="I1236" s="361">
        <v>7.6120879957372308E-4</v>
      </c>
      <c r="J1236" s="359" t="s">
        <v>1414</v>
      </c>
      <c r="K1236" s="359" t="s">
        <v>1272</v>
      </c>
      <c r="M1236" t="str">
        <f t="shared" si="20"/>
        <v>BIPHENYL</v>
      </c>
    </row>
    <row r="1237" spans="1:13" ht="45" x14ac:dyDescent="0.25">
      <c r="A1237" s="359" t="s">
        <v>1837</v>
      </c>
      <c r="B1237" s="359" t="s">
        <v>705</v>
      </c>
      <c r="C1237" s="359" t="s">
        <v>1485</v>
      </c>
      <c r="D1237" s="359" t="s">
        <v>1486</v>
      </c>
      <c r="E1237" s="360"/>
      <c r="F1237" s="359" t="s">
        <v>1270</v>
      </c>
      <c r="G1237" s="361">
        <v>4.5977011494252875E-6</v>
      </c>
      <c r="H1237" s="359" t="s">
        <v>1286</v>
      </c>
      <c r="I1237" s="361">
        <v>0</v>
      </c>
      <c r="J1237" s="359" t="s">
        <v>1485</v>
      </c>
      <c r="K1237" s="359" t="s">
        <v>1272</v>
      </c>
      <c r="M1237" t="str">
        <f t="shared" si="20"/>
        <v>COBALT AND COBALT COMPOUNDS</v>
      </c>
    </row>
    <row r="1238" spans="1:13" ht="45" x14ac:dyDescent="0.25">
      <c r="A1238" s="359" t="s">
        <v>1837</v>
      </c>
      <c r="B1238" s="359" t="s">
        <v>705</v>
      </c>
      <c r="C1238" s="359" t="s">
        <v>1440</v>
      </c>
      <c r="D1238" s="359" t="s">
        <v>1441</v>
      </c>
      <c r="E1238" s="360"/>
      <c r="F1238" s="359" t="s">
        <v>1270</v>
      </c>
      <c r="G1238" s="361">
        <v>4.5977011494252875E-6</v>
      </c>
      <c r="H1238" s="359" t="s">
        <v>1286</v>
      </c>
      <c r="I1238" s="361">
        <v>0</v>
      </c>
      <c r="J1238" s="359" t="s">
        <v>1440</v>
      </c>
      <c r="K1238" s="359" t="s">
        <v>1272</v>
      </c>
      <c r="M1238" t="str">
        <f t="shared" si="20"/>
        <v>COPPER AND COPPER COMPOUNDS</v>
      </c>
    </row>
    <row r="1239" spans="1:13" ht="45" x14ac:dyDescent="0.25">
      <c r="A1239" s="359" t="s">
        <v>1837</v>
      </c>
      <c r="B1239" s="359" t="s">
        <v>705</v>
      </c>
      <c r="C1239" s="359" t="s">
        <v>1284</v>
      </c>
      <c r="D1239" s="359" t="s">
        <v>1285</v>
      </c>
      <c r="E1239" s="360"/>
      <c r="F1239" s="359" t="s">
        <v>1270</v>
      </c>
      <c r="G1239" s="361">
        <v>4.5977011494252875E-6</v>
      </c>
      <c r="H1239" s="359" t="s">
        <v>1286</v>
      </c>
      <c r="I1239" s="361">
        <v>0</v>
      </c>
      <c r="J1239" s="359" t="s">
        <v>1287</v>
      </c>
      <c r="K1239" s="359" t="s">
        <v>1272</v>
      </c>
      <c r="M1239" t="str">
        <f t="shared" si="20"/>
        <v>ISOPROPYLBENZENE</v>
      </c>
    </row>
    <row r="1240" spans="1:13" ht="45" x14ac:dyDescent="0.25">
      <c r="A1240" s="359" t="s">
        <v>1837</v>
      </c>
      <c r="B1240" s="359" t="s">
        <v>705</v>
      </c>
      <c r="C1240" s="359" t="s">
        <v>1291</v>
      </c>
      <c r="D1240" s="359" t="s">
        <v>1292</v>
      </c>
      <c r="E1240" s="360"/>
      <c r="F1240" s="359" t="s">
        <v>1270</v>
      </c>
      <c r="G1240" s="361">
        <v>4.5977011494252875E-6</v>
      </c>
      <c r="H1240" s="359" t="s">
        <v>1286</v>
      </c>
      <c r="I1240" s="361">
        <v>0</v>
      </c>
      <c r="J1240" s="359" t="s">
        <v>1291</v>
      </c>
      <c r="K1240" s="359" t="s">
        <v>1272</v>
      </c>
      <c r="M1240" t="str">
        <f t="shared" si="20"/>
        <v>CYCLOHEXANE</v>
      </c>
    </row>
    <row r="1241" spans="1:13" ht="45" x14ac:dyDescent="0.25">
      <c r="A1241" s="359" t="s">
        <v>1837</v>
      </c>
      <c r="B1241" s="359" t="s">
        <v>705</v>
      </c>
      <c r="C1241" s="359" t="s">
        <v>1295</v>
      </c>
      <c r="D1241" s="359" t="s">
        <v>1296</v>
      </c>
      <c r="E1241" s="360"/>
      <c r="F1241" s="359" t="s">
        <v>1270</v>
      </c>
      <c r="G1241" s="361">
        <v>4.5977011494252875E-6</v>
      </c>
      <c r="H1241" s="359" t="s">
        <v>1333</v>
      </c>
      <c r="I1241" s="361">
        <v>7.6120879957372308E-4</v>
      </c>
      <c r="J1241" s="359" t="s">
        <v>1295</v>
      </c>
      <c r="K1241" s="359" t="s">
        <v>1272</v>
      </c>
      <c r="M1241" t="str">
        <f t="shared" si="20"/>
        <v>ETHYLBENZENE</v>
      </c>
    </row>
    <row r="1242" spans="1:13" ht="45" x14ac:dyDescent="0.25">
      <c r="A1242" s="359" t="s">
        <v>1837</v>
      </c>
      <c r="B1242" s="359" t="s">
        <v>705</v>
      </c>
      <c r="C1242" s="359" t="s">
        <v>1365</v>
      </c>
      <c r="D1242" s="359" t="s">
        <v>1366</v>
      </c>
      <c r="E1242" s="360"/>
      <c r="F1242" s="359" t="s">
        <v>1270</v>
      </c>
      <c r="G1242" s="361">
        <v>4.5977011494252875E-6</v>
      </c>
      <c r="H1242" s="359" t="s">
        <v>1286</v>
      </c>
      <c r="I1242" s="361">
        <v>0</v>
      </c>
      <c r="J1242" s="359" t="s">
        <v>1028</v>
      </c>
      <c r="K1242" s="359" t="s">
        <v>1272</v>
      </c>
      <c r="M1242" t="str">
        <f t="shared" si="20"/>
        <v>ETHENE</v>
      </c>
    </row>
    <row r="1243" spans="1:13" ht="45" x14ac:dyDescent="0.25">
      <c r="A1243" s="359" t="s">
        <v>1837</v>
      </c>
      <c r="B1243" s="359" t="s">
        <v>705</v>
      </c>
      <c r="C1243" s="359" t="s">
        <v>1297</v>
      </c>
      <c r="D1243" s="359" t="s">
        <v>1298</v>
      </c>
      <c r="E1243" s="360"/>
      <c r="F1243" s="359" t="s">
        <v>1270</v>
      </c>
      <c r="G1243" s="361">
        <v>4.5977011494252875E-6</v>
      </c>
      <c r="H1243" s="359" t="s">
        <v>1838</v>
      </c>
      <c r="I1243" s="361">
        <v>2.3673593666742789E-2</v>
      </c>
      <c r="J1243" s="359" t="s">
        <v>1297</v>
      </c>
      <c r="K1243" s="359" t="s">
        <v>1272</v>
      </c>
      <c r="M1243" t="str">
        <f t="shared" si="20"/>
        <v>LEAD AND LEAD COMPOUNDS</v>
      </c>
    </row>
    <row r="1244" spans="1:13" ht="45" x14ac:dyDescent="0.25">
      <c r="A1244" s="359" t="s">
        <v>1837</v>
      </c>
      <c r="B1244" s="359" t="s">
        <v>705</v>
      </c>
      <c r="C1244" s="359" t="s">
        <v>1300</v>
      </c>
      <c r="D1244" s="359" t="s">
        <v>1301</v>
      </c>
      <c r="E1244" s="360"/>
      <c r="F1244" s="359" t="s">
        <v>1270</v>
      </c>
      <c r="G1244" s="361">
        <v>4.5977011494252875E-6</v>
      </c>
      <c r="H1244" s="359" t="s">
        <v>1286</v>
      </c>
      <c r="I1244" s="361">
        <v>0</v>
      </c>
      <c r="J1244" s="359" t="s">
        <v>1300</v>
      </c>
      <c r="K1244" s="359" t="s">
        <v>1272</v>
      </c>
      <c r="M1244" t="str">
        <f t="shared" si="20"/>
        <v>MERCURY AND MERCURY COMPOUNDS</v>
      </c>
    </row>
    <row r="1245" spans="1:13" ht="45" x14ac:dyDescent="0.25">
      <c r="A1245" s="359" t="s">
        <v>1837</v>
      </c>
      <c r="B1245" s="359" t="s">
        <v>705</v>
      </c>
      <c r="C1245" s="359" t="s">
        <v>1375</v>
      </c>
      <c r="D1245" s="359" t="s">
        <v>1376</v>
      </c>
      <c r="E1245" s="360"/>
      <c r="F1245" s="359" t="s">
        <v>1270</v>
      </c>
      <c r="G1245" s="361">
        <v>4.5977011494252875E-6</v>
      </c>
      <c r="H1245" s="359" t="s">
        <v>1286</v>
      </c>
      <c r="I1245" s="361">
        <v>0</v>
      </c>
      <c r="J1245" s="359" t="s">
        <v>1375</v>
      </c>
      <c r="K1245" s="359" t="s">
        <v>1272</v>
      </c>
      <c r="M1245" t="str">
        <f t="shared" si="20"/>
        <v>METHANOL</v>
      </c>
    </row>
    <row r="1246" spans="1:13" ht="45" x14ac:dyDescent="0.25">
      <c r="A1246" s="359" t="s">
        <v>1837</v>
      </c>
      <c r="B1246" s="359" t="s">
        <v>705</v>
      </c>
      <c r="C1246" s="359" t="s">
        <v>1381</v>
      </c>
      <c r="D1246" s="359" t="s">
        <v>1382</v>
      </c>
      <c r="E1246" s="360"/>
      <c r="F1246" s="359" t="s">
        <v>1270</v>
      </c>
      <c r="G1246" s="361">
        <v>4.5977011494252875E-6</v>
      </c>
      <c r="H1246" s="359" t="s">
        <v>1286</v>
      </c>
      <c r="I1246" s="361">
        <v>0</v>
      </c>
      <c r="J1246" s="359" t="s">
        <v>1381</v>
      </c>
      <c r="K1246" s="359" t="s">
        <v>1272</v>
      </c>
      <c r="M1246" t="str">
        <f t="shared" si="20"/>
        <v>MOLYBDENUM TRIOXIDE</v>
      </c>
    </row>
    <row r="1247" spans="1:13" ht="45" x14ac:dyDescent="0.25">
      <c r="A1247" s="359" t="s">
        <v>1837</v>
      </c>
      <c r="B1247" s="359" t="s">
        <v>705</v>
      </c>
      <c r="C1247" s="359" t="s">
        <v>1303</v>
      </c>
      <c r="D1247" s="359" t="s">
        <v>1304</v>
      </c>
      <c r="E1247" s="360"/>
      <c r="F1247" s="359" t="s">
        <v>1270</v>
      </c>
      <c r="G1247" s="361">
        <v>4.5977011494252875E-6</v>
      </c>
      <c r="H1247" s="359" t="s">
        <v>1286</v>
      </c>
      <c r="I1247" s="361">
        <v>0</v>
      </c>
      <c r="J1247" s="359" t="s">
        <v>1303</v>
      </c>
      <c r="K1247" s="359" t="s">
        <v>1272</v>
      </c>
      <c r="M1247" t="str">
        <f t="shared" si="20"/>
        <v>NAPHTHALENE</v>
      </c>
    </row>
    <row r="1248" spans="1:13" ht="45" x14ac:dyDescent="0.25">
      <c r="A1248" s="359" t="s">
        <v>1837</v>
      </c>
      <c r="B1248" s="359" t="s">
        <v>705</v>
      </c>
      <c r="C1248" s="359" t="s">
        <v>1305</v>
      </c>
      <c r="D1248" s="359" t="s">
        <v>1306</v>
      </c>
      <c r="E1248" s="360"/>
      <c r="F1248" s="359" t="s">
        <v>1270</v>
      </c>
      <c r="G1248" s="361">
        <v>4.5977011494252875E-6</v>
      </c>
      <c r="H1248" s="359" t="s">
        <v>1473</v>
      </c>
      <c r="I1248" s="361">
        <v>2.2836263987211693E-3</v>
      </c>
      <c r="J1248" s="359" t="s">
        <v>1305</v>
      </c>
      <c r="K1248" s="359" t="s">
        <v>1272</v>
      </c>
      <c r="M1248" t="str">
        <f t="shared" si="20"/>
        <v>N-HEXANE</v>
      </c>
    </row>
    <row r="1249" spans="1:13" ht="45" x14ac:dyDescent="0.25">
      <c r="A1249" s="359" t="s">
        <v>1837</v>
      </c>
      <c r="B1249" s="359" t="s">
        <v>705</v>
      </c>
      <c r="C1249" s="359" t="s">
        <v>1384</v>
      </c>
      <c r="D1249" s="359" t="s">
        <v>1385</v>
      </c>
      <c r="E1249" s="360"/>
      <c r="F1249" s="359" t="s">
        <v>1270</v>
      </c>
      <c r="G1249" s="361">
        <v>4.5977011494252875E-6</v>
      </c>
      <c r="H1249" s="359" t="s">
        <v>1839</v>
      </c>
      <c r="I1249" s="361">
        <v>4.6433736773997106E-2</v>
      </c>
      <c r="J1249" s="359" t="s">
        <v>1384</v>
      </c>
      <c r="K1249" s="359" t="s">
        <v>1272</v>
      </c>
      <c r="M1249" t="str">
        <f t="shared" si="20"/>
        <v>NICKEL AND NICKEL COMPOUNDS</v>
      </c>
    </row>
    <row r="1250" spans="1:13" ht="45" x14ac:dyDescent="0.25">
      <c r="A1250" s="359" t="s">
        <v>1837</v>
      </c>
      <c r="B1250" s="359" t="s">
        <v>705</v>
      </c>
      <c r="C1250" s="359" t="s">
        <v>1307</v>
      </c>
      <c r="D1250" s="359" t="s">
        <v>1308</v>
      </c>
      <c r="E1250" s="360"/>
      <c r="F1250" s="359" t="s">
        <v>1270</v>
      </c>
      <c r="G1250" s="361">
        <v>4.5977011494252875E-6</v>
      </c>
      <c r="H1250" s="359" t="s">
        <v>1840</v>
      </c>
      <c r="I1250" s="361">
        <v>68.997488010961405</v>
      </c>
      <c r="J1250" s="359" t="s">
        <v>1310</v>
      </c>
      <c r="K1250" s="359" t="s">
        <v>1272</v>
      </c>
      <c r="M1250" t="str">
        <f t="shared" si="20"/>
        <v>NITRATE</v>
      </c>
    </row>
    <row r="1251" spans="1:13" ht="45" x14ac:dyDescent="0.25">
      <c r="A1251" s="359" t="s">
        <v>1837</v>
      </c>
      <c r="B1251" s="359" t="s">
        <v>705</v>
      </c>
      <c r="C1251" s="359" t="s">
        <v>1319</v>
      </c>
      <c r="D1251" s="359" t="s">
        <v>1320</v>
      </c>
      <c r="E1251" s="360"/>
      <c r="F1251" s="359" t="s">
        <v>1270</v>
      </c>
      <c r="G1251" s="361">
        <v>4.5977011494252875E-6</v>
      </c>
      <c r="H1251" s="359" t="s">
        <v>1286</v>
      </c>
      <c r="I1251" s="361">
        <v>0</v>
      </c>
      <c r="J1251" s="359" t="s">
        <v>1319</v>
      </c>
      <c r="K1251" s="359" t="s">
        <v>1272</v>
      </c>
      <c r="M1251" t="str">
        <f t="shared" si="20"/>
        <v>POLYCYCLIC AROMATIC COMPOUNDS</v>
      </c>
    </row>
    <row r="1252" spans="1:13" ht="45" x14ac:dyDescent="0.25">
      <c r="A1252" s="359" t="s">
        <v>1837</v>
      </c>
      <c r="B1252" s="359" t="s">
        <v>705</v>
      </c>
      <c r="C1252" s="359" t="s">
        <v>1425</v>
      </c>
      <c r="D1252" s="359" t="s">
        <v>1426</v>
      </c>
      <c r="E1252" s="360"/>
      <c r="F1252" s="359" t="s">
        <v>1270</v>
      </c>
      <c r="G1252" s="361">
        <v>4.5977011494252875E-6</v>
      </c>
      <c r="H1252" s="359" t="s">
        <v>1286</v>
      </c>
      <c r="I1252" s="361">
        <v>0</v>
      </c>
      <c r="J1252" s="359" t="s">
        <v>1425</v>
      </c>
      <c r="K1252" s="359" t="s">
        <v>1272</v>
      </c>
      <c r="M1252" t="str">
        <f t="shared" si="20"/>
        <v>PROPYLENE</v>
      </c>
    </row>
    <row r="1253" spans="1:13" ht="45" x14ac:dyDescent="0.25">
      <c r="A1253" s="359" t="s">
        <v>1837</v>
      </c>
      <c r="B1253" s="359" t="s">
        <v>705</v>
      </c>
      <c r="C1253" s="359" t="s">
        <v>1392</v>
      </c>
      <c r="D1253" s="359" t="s">
        <v>1393</v>
      </c>
      <c r="E1253" s="360"/>
      <c r="F1253" s="359" t="s">
        <v>1270</v>
      </c>
      <c r="G1253" s="361">
        <v>4.5977011494252875E-6</v>
      </c>
      <c r="H1253" s="359" t="s">
        <v>1333</v>
      </c>
      <c r="I1253" s="361">
        <v>7.6120879957372308E-4</v>
      </c>
      <c r="J1253" s="359" t="s">
        <v>1392</v>
      </c>
      <c r="K1253" s="359" t="s">
        <v>1272</v>
      </c>
      <c r="M1253" t="str">
        <f t="shared" si="20"/>
        <v>STYRENE</v>
      </c>
    </row>
    <row r="1254" spans="1:13" ht="45" x14ac:dyDescent="0.25">
      <c r="A1254" s="359" t="s">
        <v>1837</v>
      </c>
      <c r="B1254" s="359" t="s">
        <v>705</v>
      </c>
      <c r="C1254" s="359" t="s">
        <v>1394</v>
      </c>
      <c r="D1254" s="359" t="s">
        <v>1395</v>
      </c>
      <c r="E1254" s="360"/>
      <c r="F1254" s="359" t="s">
        <v>1270</v>
      </c>
      <c r="G1254" s="361">
        <v>4.5977011494252875E-6</v>
      </c>
      <c r="H1254" s="359" t="s">
        <v>1286</v>
      </c>
      <c r="I1254" s="361">
        <v>0</v>
      </c>
      <c r="J1254" s="359" t="s">
        <v>1394</v>
      </c>
      <c r="K1254" s="359" t="s">
        <v>1272</v>
      </c>
      <c r="M1254" t="str">
        <f t="shared" si="20"/>
        <v>TERT-BUTYL ALCOHOL</v>
      </c>
    </row>
    <row r="1255" spans="1:13" ht="45" x14ac:dyDescent="0.25">
      <c r="A1255" s="359" t="s">
        <v>1837</v>
      </c>
      <c r="B1255" s="359" t="s">
        <v>705</v>
      </c>
      <c r="C1255" s="359" t="s">
        <v>1325</v>
      </c>
      <c r="D1255" s="359" t="s">
        <v>1326</v>
      </c>
      <c r="E1255" s="360"/>
      <c r="F1255" s="359" t="s">
        <v>1270</v>
      </c>
      <c r="G1255" s="361">
        <v>4.5977011494252875E-6</v>
      </c>
      <c r="H1255" s="359" t="s">
        <v>1471</v>
      </c>
      <c r="I1255" s="361">
        <v>4.5672527974423387E-3</v>
      </c>
      <c r="J1255" s="359" t="s">
        <v>1325</v>
      </c>
      <c r="K1255" s="359" t="s">
        <v>1272</v>
      </c>
      <c r="M1255" t="str">
        <f t="shared" si="20"/>
        <v>TOLUENE</v>
      </c>
    </row>
    <row r="1256" spans="1:13" ht="45" x14ac:dyDescent="0.25">
      <c r="A1256" s="359" t="s">
        <v>1837</v>
      </c>
      <c r="B1256" s="359" t="s">
        <v>705</v>
      </c>
      <c r="C1256" s="359" t="s">
        <v>1327</v>
      </c>
      <c r="D1256" s="359" t="s">
        <v>1328</v>
      </c>
      <c r="E1256" s="360"/>
      <c r="F1256" s="359" t="s">
        <v>1270</v>
      </c>
      <c r="G1256" s="361">
        <v>4.5977011494252875E-6</v>
      </c>
      <c r="H1256" s="359" t="s">
        <v>1471</v>
      </c>
      <c r="I1256" s="361">
        <v>4.5672527974423387E-3</v>
      </c>
      <c r="J1256" s="359" t="s">
        <v>1329</v>
      </c>
      <c r="K1256" s="359" t="s">
        <v>1272</v>
      </c>
      <c r="M1256" t="str">
        <f t="shared" si="20"/>
        <v>XYLENES</v>
      </c>
    </row>
    <row r="1257" spans="1:13" ht="45" x14ac:dyDescent="0.25">
      <c r="A1257" s="359" t="s">
        <v>1837</v>
      </c>
      <c r="B1257" s="359" t="s">
        <v>705</v>
      </c>
      <c r="C1257" s="359" t="s">
        <v>1342</v>
      </c>
      <c r="D1257" s="359" t="s">
        <v>1343</v>
      </c>
      <c r="E1257" s="360"/>
      <c r="F1257" s="359" t="s">
        <v>1270</v>
      </c>
      <c r="G1257" s="361">
        <v>4.5977011494252875E-6</v>
      </c>
      <c r="H1257" s="359" t="s">
        <v>1841</v>
      </c>
      <c r="I1257" s="361">
        <v>0.70868539240313622</v>
      </c>
      <c r="J1257" s="359" t="s">
        <v>1342</v>
      </c>
      <c r="K1257" s="359" t="s">
        <v>1272</v>
      </c>
      <c r="M1257" t="str">
        <f t="shared" si="20"/>
        <v>ZINC AND ZINC COMPOUNDS</v>
      </c>
    </row>
    <row r="1258" spans="1:13" ht="45" x14ac:dyDescent="0.25">
      <c r="A1258" s="359" t="s">
        <v>1842</v>
      </c>
      <c r="B1258" s="359" t="s">
        <v>739</v>
      </c>
      <c r="C1258" s="359" t="s">
        <v>1268</v>
      </c>
      <c r="D1258" s="359" t="s">
        <v>1269</v>
      </c>
      <c r="E1258" s="360"/>
      <c r="F1258" s="359" t="s">
        <v>1346</v>
      </c>
      <c r="G1258" s="361">
        <v>2.2543961194511644E-6</v>
      </c>
      <c r="H1258" s="359" t="s">
        <v>1275</v>
      </c>
      <c r="I1258" s="361">
        <v>2.61271073446327E-3</v>
      </c>
      <c r="J1258" s="359" t="s">
        <v>1268</v>
      </c>
      <c r="K1258" s="359" t="s">
        <v>1272</v>
      </c>
      <c r="M1258" t="str">
        <f t="shared" si="20"/>
        <v>1,2,4-TRIMETHYLBENZENE</v>
      </c>
    </row>
    <row r="1259" spans="1:13" ht="45" x14ac:dyDescent="0.25">
      <c r="A1259" s="359" t="s">
        <v>1842</v>
      </c>
      <c r="B1259" s="359" t="s">
        <v>739</v>
      </c>
      <c r="C1259" s="359" t="s">
        <v>260</v>
      </c>
      <c r="D1259" s="359" t="s">
        <v>1274</v>
      </c>
      <c r="E1259" s="361">
        <v>1.20086695</v>
      </c>
      <c r="F1259" s="359" t="s">
        <v>1346</v>
      </c>
      <c r="G1259" s="361">
        <v>2.2543961194511644E-6</v>
      </c>
      <c r="H1259" s="359" t="s">
        <v>490</v>
      </c>
      <c r="I1259" s="361">
        <v>7.4170679234442611E-9</v>
      </c>
      <c r="J1259" s="359" t="s">
        <v>1273</v>
      </c>
      <c r="K1259" s="359" t="s">
        <v>1277</v>
      </c>
      <c r="M1259" t="str">
        <f t="shared" si="20"/>
        <v>BENZENE</v>
      </c>
    </row>
    <row r="1260" spans="1:13" ht="45" x14ac:dyDescent="0.25">
      <c r="A1260" s="359" t="s">
        <v>1842</v>
      </c>
      <c r="B1260" s="359" t="s">
        <v>739</v>
      </c>
      <c r="C1260" s="359" t="s">
        <v>1352</v>
      </c>
      <c r="D1260" s="359" t="s">
        <v>1353</v>
      </c>
      <c r="E1260" s="360"/>
      <c r="F1260" s="359" t="s">
        <v>1346</v>
      </c>
      <c r="G1260" s="361">
        <v>2.2543961194511644E-6</v>
      </c>
      <c r="H1260" s="359" t="s">
        <v>1563</v>
      </c>
      <c r="I1260" s="361">
        <v>8.5846209846650295E-3</v>
      </c>
      <c r="J1260" s="359" t="s">
        <v>1352</v>
      </c>
      <c r="K1260" s="359" t="s">
        <v>1272</v>
      </c>
      <c r="M1260" t="str">
        <f t="shared" si="20"/>
        <v>BENZO(G,H,I)PERYLENE</v>
      </c>
    </row>
    <row r="1261" spans="1:13" ht="45" x14ac:dyDescent="0.25">
      <c r="A1261" s="359" t="s">
        <v>1842</v>
      </c>
      <c r="B1261" s="359" t="s">
        <v>739</v>
      </c>
      <c r="C1261" s="359" t="s">
        <v>1276</v>
      </c>
      <c r="D1261" s="359" t="s">
        <v>490</v>
      </c>
      <c r="E1261" s="361">
        <v>25027.283446699999</v>
      </c>
      <c r="F1261" s="359" t="s">
        <v>1346</v>
      </c>
      <c r="G1261" s="361">
        <v>2.2543961194511644E-6</v>
      </c>
      <c r="H1261" s="359" t="s">
        <v>490</v>
      </c>
      <c r="I1261" s="361">
        <v>1.545792073497119E-4</v>
      </c>
      <c r="J1261" s="359" t="s">
        <v>1276</v>
      </c>
      <c r="K1261" s="359" t="s">
        <v>1277</v>
      </c>
      <c r="M1261" t="str">
        <f t="shared" si="20"/>
        <v>BOD, 5-day, 20 deg. C</v>
      </c>
    </row>
    <row r="1262" spans="1:13" ht="45" x14ac:dyDescent="0.25">
      <c r="A1262" s="359" t="s">
        <v>1842</v>
      </c>
      <c r="B1262" s="359" t="s">
        <v>739</v>
      </c>
      <c r="C1262" s="359" t="s">
        <v>1484</v>
      </c>
      <c r="D1262" s="359" t="s">
        <v>490</v>
      </c>
      <c r="E1262" s="361">
        <v>6.0591604749999997</v>
      </c>
      <c r="F1262" s="359" t="s">
        <v>1346</v>
      </c>
      <c r="G1262" s="361">
        <v>2.2543961194511644E-6</v>
      </c>
      <c r="H1262" s="359" t="s">
        <v>490</v>
      </c>
      <c r="I1262" s="361">
        <v>3.7423966745128419E-8</v>
      </c>
      <c r="J1262" s="359" t="s">
        <v>1484</v>
      </c>
      <c r="K1262" s="359" t="s">
        <v>1277</v>
      </c>
      <c r="M1262" t="str">
        <f t="shared" si="20"/>
        <v>BTEX</v>
      </c>
    </row>
    <row r="1263" spans="1:13" ht="45" x14ac:dyDescent="0.25">
      <c r="A1263" s="359" t="s">
        <v>1842</v>
      </c>
      <c r="B1263" s="359" t="s">
        <v>739</v>
      </c>
      <c r="C1263" s="359" t="s">
        <v>1355</v>
      </c>
      <c r="D1263" s="359" t="s">
        <v>1356</v>
      </c>
      <c r="E1263" s="360"/>
      <c r="F1263" s="359" t="s">
        <v>1346</v>
      </c>
      <c r="G1263" s="361">
        <v>2.2543961194511644E-6</v>
      </c>
      <c r="H1263" s="359" t="s">
        <v>1843</v>
      </c>
      <c r="I1263" s="361">
        <v>4.2923104923325149E-2</v>
      </c>
      <c r="J1263" s="359" t="s">
        <v>1355</v>
      </c>
      <c r="K1263" s="359" t="s">
        <v>1272</v>
      </c>
      <c r="M1263" t="str">
        <f t="shared" si="20"/>
        <v>CARBON DISULFIDE</v>
      </c>
    </row>
    <row r="1264" spans="1:13" ht="45" x14ac:dyDescent="0.25">
      <c r="A1264" s="359" t="s">
        <v>1842</v>
      </c>
      <c r="B1264" s="359" t="s">
        <v>739</v>
      </c>
      <c r="C1264" s="359" t="s">
        <v>1278</v>
      </c>
      <c r="D1264" s="359" t="s">
        <v>1279</v>
      </c>
      <c r="E1264" s="361">
        <v>51108.755833000003</v>
      </c>
      <c r="F1264" s="359" t="s">
        <v>1346</v>
      </c>
      <c r="G1264" s="361">
        <v>2.2543961194511644E-6</v>
      </c>
      <c r="H1264" s="359" t="s">
        <v>490</v>
      </c>
      <c r="I1264" s="361">
        <v>3.1566953649285554E-4</v>
      </c>
      <c r="J1264" s="359" t="s">
        <v>1278</v>
      </c>
      <c r="K1264" s="359" t="s">
        <v>1277</v>
      </c>
      <c r="M1264" t="str">
        <f t="shared" si="20"/>
        <v>Carbon, tot organic (TOC)</v>
      </c>
    </row>
    <row r="1265" spans="1:13" ht="45" x14ac:dyDescent="0.25">
      <c r="A1265" s="359" t="s">
        <v>1842</v>
      </c>
      <c r="B1265" s="359" t="s">
        <v>739</v>
      </c>
      <c r="C1265" s="359" t="s">
        <v>1485</v>
      </c>
      <c r="D1265" s="359" t="s">
        <v>1486</v>
      </c>
      <c r="E1265" s="360"/>
      <c r="F1265" s="359" t="s">
        <v>1346</v>
      </c>
      <c r="G1265" s="361">
        <v>2.2543961194511644E-6</v>
      </c>
      <c r="H1265" s="359" t="s">
        <v>1570</v>
      </c>
      <c r="I1265" s="361">
        <v>1.7169241969330059E-2</v>
      </c>
      <c r="J1265" s="359" t="s">
        <v>1485</v>
      </c>
      <c r="K1265" s="359" t="s">
        <v>1272</v>
      </c>
      <c r="M1265" t="str">
        <f t="shared" si="20"/>
        <v>COBALT AND COBALT COMPOUNDS</v>
      </c>
    </row>
    <row r="1266" spans="1:13" ht="45" x14ac:dyDescent="0.25">
      <c r="A1266" s="359" t="s">
        <v>1842</v>
      </c>
      <c r="B1266" s="359" t="s">
        <v>739</v>
      </c>
      <c r="C1266" s="359" t="s">
        <v>1295</v>
      </c>
      <c r="D1266" s="359" t="s">
        <v>1296</v>
      </c>
      <c r="E1266" s="360"/>
      <c r="F1266" s="359" t="s">
        <v>1346</v>
      </c>
      <c r="G1266" s="361">
        <v>2.2543961194511644E-6</v>
      </c>
      <c r="H1266" s="359" t="s">
        <v>1563</v>
      </c>
      <c r="I1266" s="361">
        <v>8.5846209846650295E-3</v>
      </c>
      <c r="J1266" s="359" t="s">
        <v>1295</v>
      </c>
      <c r="K1266" s="359" t="s">
        <v>1272</v>
      </c>
      <c r="M1266" t="str">
        <f t="shared" si="20"/>
        <v>ETHYLBENZENE</v>
      </c>
    </row>
    <row r="1267" spans="1:13" ht="45" x14ac:dyDescent="0.25">
      <c r="A1267" s="359" t="s">
        <v>1842</v>
      </c>
      <c r="B1267" s="359" t="s">
        <v>739</v>
      </c>
      <c r="C1267" s="359" t="s">
        <v>1431</v>
      </c>
      <c r="D1267" s="359" t="s">
        <v>1298</v>
      </c>
      <c r="E1267" s="361">
        <v>0.6483345425</v>
      </c>
      <c r="F1267" s="359" t="s">
        <v>1346</v>
      </c>
      <c r="G1267" s="361">
        <v>2.2543961194511644E-6</v>
      </c>
      <c r="H1267" s="359" t="s">
        <v>490</v>
      </c>
      <c r="I1267" s="361">
        <v>4.0043914430634136E-9</v>
      </c>
      <c r="J1267" s="359" t="s">
        <v>1431</v>
      </c>
      <c r="K1267" s="359" t="s">
        <v>1277</v>
      </c>
      <c r="M1267" t="str">
        <f t="shared" si="20"/>
        <v>Lead, total (as Pb)</v>
      </c>
    </row>
    <row r="1268" spans="1:13" ht="45" x14ac:dyDescent="0.25">
      <c r="A1268" s="359" t="s">
        <v>1842</v>
      </c>
      <c r="B1268" s="359" t="s">
        <v>739</v>
      </c>
      <c r="C1268" s="359" t="s">
        <v>1300</v>
      </c>
      <c r="D1268" s="359" t="s">
        <v>1301</v>
      </c>
      <c r="E1268" s="360"/>
      <c r="F1268" s="359" t="s">
        <v>1346</v>
      </c>
      <c r="G1268" s="361">
        <v>2.2543961194511644E-6</v>
      </c>
      <c r="H1268" s="359" t="s">
        <v>1844</v>
      </c>
      <c r="I1268" s="361">
        <v>3.3591995157384902E-4</v>
      </c>
      <c r="J1268" s="359" t="s">
        <v>1300</v>
      </c>
      <c r="K1268" s="359" t="s">
        <v>1272</v>
      </c>
      <c r="M1268" t="str">
        <f t="shared" si="20"/>
        <v>MERCURY AND MERCURY COMPOUNDS</v>
      </c>
    </row>
    <row r="1269" spans="1:13" ht="45" x14ac:dyDescent="0.25">
      <c r="A1269" s="359" t="s">
        <v>1842</v>
      </c>
      <c r="B1269" s="359" t="s">
        <v>739</v>
      </c>
      <c r="C1269" s="359" t="s">
        <v>1303</v>
      </c>
      <c r="D1269" s="359" t="s">
        <v>1304</v>
      </c>
      <c r="E1269" s="360"/>
      <c r="F1269" s="359" t="s">
        <v>1346</v>
      </c>
      <c r="G1269" s="361">
        <v>2.2543961194511644E-6</v>
      </c>
      <c r="H1269" s="359" t="s">
        <v>1563</v>
      </c>
      <c r="I1269" s="361">
        <v>8.5846209846650295E-3</v>
      </c>
      <c r="J1269" s="359" t="s">
        <v>1303</v>
      </c>
      <c r="K1269" s="359" t="s">
        <v>1272</v>
      </c>
      <c r="M1269" t="str">
        <f t="shared" si="20"/>
        <v>NAPHTHALENE</v>
      </c>
    </row>
    <row r="1270" spans="1:13" ht="45" x14ac:dyDescent="0.25">
      <c r="A1270" s="359" t="s">
        <v>1842</v>
      </c>
      <c r="B1270" s="359" t="s">
        <v>739</v>
      </c>
      <c r="C1270" s="359" t="s">
        <v>1305</v>
      </c>
      <c r="D1270" s="359" t="s">
        <v>1306</v>
      </c>
      <c r="E1270" s="360"/>
      <c r="F1270" s="359" t="s">
        <v>1346</v>
      </c>
      <c r="G1270" s="361">
        <v>2.2543961194511644E-6</v>
      </c>
      <c r="H1270" s="359" t="s">
        <v>1317</v>
      </c>
      <c r="I1270" s="361">
        <v>3.3591995157384895E-3</v>
      </c>
      <c r="J1270" s="359" t="s">
        <v>1305</v>
      </c>
      <c r="K1270" s="359" t="s">
        <v>1272</v>
      </c>
      <c r="M1270" t="str">
        <f t="shared" si="20"/>
        <v>N-HEXANE</v>
      </c>
    </row>
    <row r="1271" spans="1:13" ht="45" x14ac:dyDescent="0.25">
      <c r="A1271" s="359" t="s">
        <v>1842</v>
      </c>
      <c r="B1271" s="359" t="s">
        <v>739</v>
      </c>
      <c r="C1271" s="359" t="s">
        <v>1311</v>
      </c>
      <c r="D1271" s="359" t="s">
        <v>1312</v>
      </c>
      <c r="E1271" s="361">
        <v>1644.6258503399999</v>
      </c>
      <c r="F1271" s="359" t="s">
        <v>1346</v>
      </c>
      <c r="G1271" s="361">
        <v>2.2543961194511644E-6</v>
      </c>
      <c r="H1271" s="359" t="s">
        <v>490</v>
      </c>
      <c r="I1271" s="361">
        <v>1.0157912698508404E-5</v>
      </c>
      <c r="J1271" s="359" t="s">
        <v>1313</v>
      </c>
      <c r="K1271" s="359" t="s">
        <v>1277</v>
      </c>
      <c r="M1271" t="str">
        <f t="shared" si="20"/>
        <v>AMMONIA</v>
      </c>
    </row>
    <row r="1272" spans="1:13" ht="45" x14ac:dyDescent="0.25">
      <c r="A1272" s="359" t="s">
        <v>1842</v>
      </c>
      <c r="B1272" s="359" t="s">
        <v>739</v>
      </c>
      <c r="C1272" s="359" t="s">
        <v>1314</v>
      </c>
      <c r="D1272" s="359" t="s">
        <v>490</v>
      </c>
      <c r="E1272" s="361">
        <v>48943.988490699987</v>
      </c>
      <c r="F1272" s="359" t="s">
        <v>1346</v>
      </c>
      <c r="G1272" s="361">
        <v>2.2543961194511644E-6</v>
      </c>
      <c r="H1272" s="359" t="s">
        <v>490</v>
      </c>
      <c r="I1272" s="361">
        <v>3.0229900746273015E-4</v>
      </c>
      <c r="J1272" s="359" t="s">
        <v>1314</v>
      </c>
      <c r="K1272" s="359" t="s">
        <v>1277</v>
      </c>
      <c r="M1272" t="str">
        <f t="shared" si="20"/>
        <v>Oil and grease</v>
      </c>
    </row>
    <row r="1273" spans="1:13" ht="45" x14ac:dyDescent="0.25">
      <c r="A1273" s="359" t="s">
        <v>1842</v>
      </c>
      <c r="B1273" s="359" t="s">
        <v>739</v>
      </c>
      <c r="C1273" s="359" t="s">
        <v>1457</v>
      </c>
      <c r="D1273" s="359" t="s">
        <v>490</v>
      </c>
      <c r="E1273" s="361">
        <v>533028.96598600002</v>
      </c>
      <c r="F1273" s="359" t="s">
        <v>1346</v>
      </c>
      <c r="G1273" s="361">
        <v>2.2543961194511644E-6</v>
      </c>
      <c r="H1273" s="359" t="s">
        <v>490</v>
      </c>
      <c r="I1273" s="361">
        <v>3.2922148834901512E-3</v>
      </c>
      <c r="J1273" s="359" t="s">
        <v>1457</v>
      </c>
      <c r="K1273" s="359" t="s">
        <v>1277</v>
      </c>
      <c r="M1273" t="str">
        <f t="shared" si="20"/>
        <v>Chemical Oxygen Demand (COD)</v>
      </c>
    </row>
    <row r="1274" spans="1:13" ht="45" x14ac:dyDescent="0.25">
      <c r="A1274" s="359" t="s">
        <v>1842</v>
      </c>
      <c r="B1274" s="359" t="s">
        <v>739</v>
      </c>
      <c r="C1274" s="359" t="s">
        <v>1318</v>
      </c>
      <c r="D1274" s="359" t="s">
        <v>490</v>
      </c>
      <c r="E1274" s="361">
        <v>63.256235827700003</v>
      </c>
      <c r="F1274" s="359" t="s">
        <v>1346</v>
      </c>
      <c r="G1274" s="361">
        <v>2.2543961194511644E-6</v>
      </c>
      <c r="H1274" s="359" t="s">
        <v>490</v>
      </c>
      <c r="I1274" s="361">
        <v>3.9069756871521809E-7</v>
      </c>
      <c r="J1274" s="359" t="s">
        <v>1318</v>
      </c>
      <c r="K1274" s="359" t="s">
        <v>1277</v>
      </c>
      <c r="M1274" t="str">
        <f t="shared" si="20"/>
        <v>Phenolics, total recoverable</v>
      </c>
    </row>
    <row r="1275" spans="1:13" ht="45" x14ac:dyDescent="0.25">
      <c r="A1275" s="359" t="s">
        <v>1842</v>
      </c>
      <c r="B1275" s="359" t="s">
        <v>739</v>
      </c>
      <c r="C1275" s="359" t="s">
        <v>1319</v>
      </c>
      <c r="D1275" s="359" t="s">
        <v>1320</v>
      </c>
      <c r="E1275" s="360"/>
      <c r="F1275" s="359" t="s">
        <v>1346</v>
      </c>
      <c r="G1275" s="361">
        <v>2.2543961194511644E-6</v>
      </c>
      <c r="H1275" s="359" t="s">
        <v>1563</v>
      </c>
      <c r="I1275" s="361">
        <v>8.5846209846650295E-3</v>
      </c>
      <c r="J1275" s="359" t="s">
        <v>1319</v>
      </c>
      <c r="K1275" s="359" t="s">
        <v>1272</v>
      </c>
      <c r="M1275" t="str">
        <f t="shared" si="20"/>
        <v>POLYCYCLIC AROMATIC COMPOUNDS</v>
      </c>
    </row>
    <row r="1276" spans="1:13" ht="45" x14ac:dyDescent="0.25">
      <c r="A1276" s="359" t="s">
        <v>1842</v>
      </c>
      <c r="B1276" s="359" t="s">
        <v>739</v>
      </c>
      <c r="C1276" s="359" t="s">
        <v>1322</v>
      </c>
      <c r="D1276" s="359" t="s">
        <v>490</v>
      </c>
      <c r="E1276" s="361">
        <v>110013.5833271</v>
      </c>
      <c r="F1276" s="359" t="s">
        <v>1346</v>
      </c>
      <c r="G1276" s="361">
        <v>2.2543961194511644E-6</v>
      </c>
      <c r="H1276" s="359" t="s">
        <v>490</v>
      </c>
      <c r="I1276" s="361">
        <v>6.7949094613570292E-4</v>
      </c>
      <c r="J1276" s="359" t="s">
        <v>1322</v>
      </c>
      <c r="K1276" s="359" t="s">
        <v>1277</v>
      </c>
      <c r="M1276" t="str">
        <f t="shared" si="20"/>
        <v>Solids, total suspended</v>
      </c>
    </row>
    <row r="1277" spans="1:13" ht="45" x14ac:dyDescent="0.25">
      <c r="A1277" s="359" t="s">
        <v>1842</v>
      </c>
      <c r="B1277" s="359" t="s">
        <v>739</v>
      </c>
      <c r="C1277" s="359" t="s">
        <v>1323</v>
      </c>
      <c r="D1277" s="359" t="s">
        <v>1324</v>
      </c>
      <c r="E1277" s="361">
        <v>727.68253968299996</v>
      </c>
      <c r="F1277" s="359" t="s">
        <v>1346</v>
      </c>
      <c r="G1277" s="361">
        <v>2.2543961194511644E-6</v>
      </c>
      <c r="H1277" s="359" t="s">
        <v>490</v>
      </c>
      <c r="I1277" s="361">
        <v>4.4944786127499264E-6</v>
      </c>
      <c r="J1277" s="359" t="s">
        <v>1323</v>
      </c>
      <c r="K1277" s="359" t="s">
        <v>1277</v>
      </c>
      <c r="M1277" t="str">
        <f t="shared" si="20"/>
        <v>Sulfide, total (as S)</v>
      </c>
    </row>
    <row r="1278" spans="1:13" ht="45" x14ac:dyDescent="0.25">
      <c r="A1278" s="359" t="s">
        <v>1842</v>
      </c>
      <c r="B1278" s="359" t="s">
        <v>739</v>
      </c>
      <c r="C1278" s="359" t="s">
        <v>1396</v>
      </c>
      <c r="D1278" s="359" t="s">
        <v>1397</v>
      </c>
      <c r="E1278" s="360"/>
      <c r="F1278" s="359" t="s">
        <v>1346</v>
      </c>
      <c r="G1278" s="361">
        <v>2.2543961194511644E-6</v>
      </c>
      <c r="H1278" s="359" t="s">
        <v>1563</v>
      </c>
      <c r="I1278" s="361">
        <v>8.5846209846650295E-3</v>
      </c>
      <c r="J1278" s="359" t="s">
        <v>1398</v>
      </c>
      <c r="K1278" s="359" t="s">
        <v>1272</v>
      </c>
      <c r="M1278" t="str">
        <f t="shared" si="20"/>
        <v>PERCHLOROETHYLENE</v>
      </c>
    </row>
    <row r="1279" spans="1:13" ht="45" x14ac:dyDescent="0.25">
      <c r="A1279" s="359" t="s">
        <v>1842</v>
      </c>
      <c r="B1279" s="359" t="s">
        <v>739</v>
      </c>
      <c r="C1279" s="359" t="s">
        <v>1325</v>
      </c>
      <c r="D1279" s="359" t="s">
        <v>1326</v>
      </c>
      <c r="E1279" s="360"/>
      <c r="F1279" s="359" t="s">
        <v>1346</v>
      </c>
      <c r="G1279" s="361">
        <v>2.2543961194511644E-6</v>
      </c>
      <c r="H1279" s="359" t="s">
        <v>1442</v>
      </c>
      <c r="I1279" s="361">
        <v>8.9578653753026403E-3</v>
      </c>
      <c r="J1279" s="359" t="s">
        <v>1325</v>
      </c>
      <c r="K1279" s="359" t="s">
        <v>1272</v>
      </c>
      <c r="M1279" t="str">
        <f t="shared" si="20"/>
        <v>TOLUENE</v>
      </c>
    </row>
    <row r="1280" spans="1:13" ht="45" x14ac:dyDescent="0.25">
      <c r="A1280" s="359" t="s">
        <v>1842</v>
      </c>
      <c r="B1280" s="359" t="s">
        <v>739</v>
      </c>
      <c r="C1280" s="359" t="s">
        <v>1327</v>
      </c>
      <c r="D1280" s="359" t="s">
        <v>1328</v>
      </c>
      <c r="E1280" s="360"/>
      <c r="F1280" s="359" t="s">
        <v>1346</v>
      </c>
      <c r="G1280" s="361">
        <v>2.2543961194511644E-6</v>
      </c>
      <c r="H1280" s="359" t="s">
        <v>1563</v>
      </c>
      <c r="I1280" s="361">
        <v>8.5846209846650295E-3</v>
      </c>
      <c r="J1280" s="359" t="s">
        <v>1329</v>
      </c>
      <c r="K1280" s="359" t="s">
        <v>1272</v>
      </c>
      <c r="M1280" t="str">
        <f t="shared" si="20"/>
        <v>XYLENES</v>
      </c>
    </row>
    <row r="1281" spans="1:13" ht="45" x14ac:dyDescent="0.25">
      <c r="A1281" s="359" t="s">
        <v>1842</v>
      </c>
      <c r="B1281" s="359" t="s">
        <v>739</v>
      </c>
      <c r="C1281" s="359" t="s">
        <v>1342</v>
      </c>
      <c r="D1281" s="359" t="s">
        <v>1343</v>
      </c>
      <c r="E1281" s="360"/>
      <c r="F1281" s="359" t="s">
        <v>1346</v>
      </c>
      <c r="G1281" s="361">
        <v>2.2543961194511644E-6</v>
      </c>
      <c r="H1281" s="359" t="s">
        <v>1845</v>
      </c>
      <c r="I1281" s="361">
        <v>0.22655934511702924</v>
      </c>
      <c r="J1281" s="359" t="s">
        <v>1342</v>
      </c>
      <c r="K1281" s="359" t="s">
        <v>1272</v>
      </c>
      <c r="M1281" t="str">
        <f t="shared" si="20"/>
        <v>ZINC AND ZINC COMPOUNDS</v>
      </c>
    </row>
    <row r="1282" spans="1:13" ht="45" x14ac:dyDescent="0.25">
      <c r="A1282" s="359" t="s">
        <v>1846</v>
      </c>
      <c r="B1282" s="359" t="s">
        <v>796</v>
      </c>
      <c r="C1282" s="359" t="s">
        <v>1429</v>
      </c>
      <c r="D1282" s="359" t="s">
        <v>1430</v>
      </c>
      <c r="E1282" s="361">
        <v>420.54680421500001</v>
      </c>
      <c r="F1282" s="359" t="s">
        <v>1270</v>
      </c>
      <c r="G1282" s="361">
        <v>1.282051282051282E-5</v>
      </c>
      <c r="H1282" s="359" t="s">
        <v>490</v>
      </c>
      <c r="I1282" s="361">
        <v>1.4771577246750967E-5</v>
      </c>
      <c r="J1282" s="359" t="s">
        <v>1429</v>
      </c>
      <c r="K1282" s="359" t="s">
        <v>1277</v>
      </c>
      <c r="M1282" t="str">
        <f t="shared" si="20"/>
        <v>Barium, total (as Ba)</v>
      </c>
    </row>
    <row r="1283" spans="1:13" ht="45" x14ac:dyDescent="0.25">
      <c r="A1283" s="359" t="s">
        <v>1846</v>
      </c>
      <c r="B1283" s="359" t="s">
        <v>796</v>
      </c>
      <c r="C1283" s="359" t="s">
        <v>1273</v>
      </c>
      <c r="D1283" s="359" t="s">
        <v>1274</v>
      </c>
      <c r="E1283" s="360"/>
      <c r="F1283" s="359" t="s">
        <v>1270</v>
      </c>
      <c r="G1283" s="361">
        <v>1.282051282051282E-5</v>
      </c>
      <c r="H1283" s="359" t="s">
        <v>1286</v>
      </c>
      <c r="I1283" s="361">
        <v>0</v>
      </c>
      <c r="J1283" s="359" t="s">
        <v>1273</v>
      </c>
      <c r="K1283" s="359" t="s">
        <v>1272</v>
      </c>
      <c r="M1283" t="str">
        <f t="shared" si="20"/>
        <v>BENZENE</v>
      </c>
    </row>
    <row r="1284" spans="1:13" ht="45" x14ac:dyDescent="0.25">
      <c r="A1284" s="359" t="s">
        <v>1846</v>
      </c>
      <c r="B1284" s="359" t="s">
        <v>796</v>
      </c>
      <c r="C1284" s="359" t="s">
        <v>1276</v>
      </c>
      <c r="D1284" s="359" t="s">
        <v>490</v>
      </c>
      <c r="E1284" s="361">
        <v>3620.3</v>
      </c>
      <c r="F1284" s="359" t="s">
        <v>1270</v>
      </c>
      <c r="G1284" s="361">
        <v>1.282051282051282E-5</v>
      </c>
      <c r="H1284" s="359" t="s">
        <v>490</v>
      </c>
      <c r="I1284" s="361">
        <v>1.2716192483315771E-4</v>
      </c>
      <c r="J1284" s="359" t="s">
        <v>1276</v>
      </c>
      <c r="K1284" s="359" t="s">
        <v>1277</v>
      </c>
      <c r="M1284" t="str">
        <f t="shared" si="20"/>
        <v>BOD, 5-day, 20 deg. C</v>
      </c>
    </row>
    <row r="1285" spans="1:13" ht="45" x14ac:dyDescent="0.25">
      <c r="A1285" s="359" t="s">
        <v>1846</v>
      </c>
      <c r="B1285" s="359" t="s">
        <v>796</v>
      </c>
      <c r="C1285" s="359" t="s">
        <v>1362</v>
      </c>
      <c r="D1285" s="359" t="s">
        <v>1363</v>
      </c>
      <c r="E1285" s="360"/>
      <c r="F1285" s="359" t="s">
        <v>1270</v>
      </c>
      <c r="G1285" s="361">
        <v>1.282051282051282E-5</v>
      </c>
      <c r="H1285" s="359" t="s">
        <v>1286</v>
      </c>
      <c r="I1285" s="361">
        <v>0</v>
      </c>
      <c r="J1285" s="359" t="s">
        <v>1362</v>
      </c>
      <c r="K1285" s="359" t="s">
        <v>1272</v>
      </c>
      <c r="M1285" t="str">
        <f t="shared" si="20"/>
        <v>DIOXIN AND DIOXIN-LIKE COMPOUNDS</v>
      </c>
    </row>
    <row r="1286" spans="1:13" ht="45" x14ac:dyDescent="0.25">
      <c r="A1286" s="359" t="s">
        <v>1846</v>
      </c>
      <c r="B1286" s="359" t="s">
        <v>796</v>
      </c>
      <c r="C1286" s="359" t="s">
        <v>1596</v>
      </c>
      <c r="D1286" s="359" t="s">
        <v>1597</v>
      </c>
      <c r="E1286" s="361">
        <v>3851.41</v>
      </c>
      <c r="F1286" s="359" t="s">
        <v>1270</v>
      </c>
      <c r="G1286" s="361">
        <v>1.282051282051282E-5</v>
      </c>
      <c r="H1286" s="359" t="s">
        <v>490</v>
      </c>
      <c r="I1286" s="361">
        <v>1.3527959255356517E-4</v>
      </c>
      <c r="J1286" s="359" t="s">
        <v>1596</v>
      </c>
      <c r="K1286" s="359" t="s">
        <v>1277</v>
      </c>
      <c r="M1286" t="str">
        <f t="shared" ref="M1286:M1349" si="21">IF(J1286="",C1286,J1286)</f>
        <v>Fluoride, total (as F)</v>
      </c>
    </row>
    <row r="1287" spans="1:13" ht="45" x14ac:dyDescent="0.25">
      <c r="A1287" s="359" t="s">
        <v>1846</v>
      </c>
      <c r="B1287" s="359" t="s">
        <v>796</v>
      </c>
      <c r="C1287" s="359" t="s">
        <v>1297</v>
      </c>
      <c r="D1287" s="359" t="s">
        <v>1298</v>
      </c>
      <c r="E1287" s="360"/>
      <c r="F1287" s="359" t="s">
        <v>1270</v>
      </c>
      <c r="G1287" s="361">
        <v>1.282051282051282E-5</v>
      </c>
      <c r="H1287" s="359" t="s">
        <v>1847</v>
      </c>
      <c r="I1287" s="361">
        <v>4.903209373408049E-2</v>
      </c>
      <c r="J1287" s="359" t="s">
        <v>1297</v>
      </c>
      <c r="K1287" s="359" t="s">
        <v>1272</v>
      </c>
      <c r="M1287" t="str">
        <f t="shared" si="21"/>
        <v>LEAD AND LEAD COMPOUNDS</v>
      </c>
    </row>
    <row r="1288" spans="1:13" ht="45" x14ac:dyDescent="0.25">
      <c r="A1288" s="359" t="s">
        <v>1846</v>
      </c>
      <c r="B1288" s="359" t="s">
        <v>796</v>
      </c>
      <c r="C1288" s="359" t="s">
        <v>1311</v>
      </c>
      <c r="D1288" s="359" t="s">
        <v>1312</v>
      </c>
      <c r="E1288" s="361">
        <v>1200.44791852</v>
      </c>
      <c r="F1288" s="359" t="s">
        <v>1270</v>
      </c>
      <c r="G1288" s="361">
        <v>1.282051282051282E-5</v>
      </c>
      <c r="H1288" s="359" t="s">
        <v>490</v>
      </c>
      <c r="I1288" s="361">
        <v>4.216536419107833E-5</v>
      </c>
      <c r="J1288" s="359" t="s">
        <v>1313</v>
      </c>
      <c r="K1288" s="359" t="s">
        <v>1277</v>
      </c>
      <c r="M1288" t="str">
        <f t="shared" si="21"/>
        <v>AMMONIA</v>
      </c>
    </row>
    <row r="1289" spans="1:13" ht="45" x14ac:dyDescent="0.25">
      <c r="A1289" s="359" t="s">
        <v>1846</v>
      </c>
      <c r="B1289" s="359" t="s">
        <v>796</v>
      </c>
      <c r="C1289" s="359" t="s">
        <v>1533</v>
      </c>
      <c r="D1289" s="359" t="s">
        <v>490</v>
      </c>
      <c r="E1289" s="361">
        <v>133.30000000000001</v>
      </c>
      <c r="F1289" s="359" t="s">
        <v>1270</v>
      </c>
      <c r="G1289" s="361">
        <v>1.282051282051282E-5</v>
      </c>
      <c r="H1289" s="359" t="s">
        <v>490</v>
      </c>
      <c r="I1289" s="361">
        <v>4.6821215314366005E-6</v>
      </c>
      <c r="J1289" s="359" t="s">
        <v>1533</v>
      </c>
      <c r="K1289" s="359" t="s">
        <v>1277</v>
      </c>
      <c r="M1289" t="str">
        <f t="shared" si="21"/>
        <v>Oil and grease (soxhlet extr.) tot.</v>
      </c>
    </row>
    <row r="1290" spans="1:13" ht="45" x14ac:dyDescent="0.25">
      <c r="A1290" s="359" t="s">
        <v>1846</v>
      </c>
      <c r="B1290" s="359" t="s">
        <v>796</v>
      </c>
      <c r="C1290" s="359" t="s">
        <v>1457</v>
      </c>
      <c r="D1290" s="359" t="s">
        <v>490</v>
      </c>
      <c r="E1290" s="361">
        <v>74190</v>
      </c>
      <c r="F1290" s="359" t="s">
        <v>1270</v>
      </c>
      <c r="G1290" s="361">
        <v>1.282051282051282E-5</v>
      </c>
      <c r="H1290" s="359" t="s">
        <v>490</v>
      </c>
      <c r="I1290" s="361">
        <v>2.605900948366702E-3</v>
      </c>
      <c r="J1290" s="359" t="s">
        <v>1457</v>
      </c>
      <c r="K1290" s="359" t="s">
        <v>1277</v>
      </c>
      <c r="M1290" t="str">
        <f t="shared" si="21"/>
        <v>Chemical Oxygen Demand (COD)</v>
      </c>
    </row>
    <row r="1291" spans="1:13" ht="45" x14ac:dyDescent="0.25">
      <c r="A1291" s="359" t="s">
        <v>1846</v>
      </c>
      <c r="B1291" s="359" t="s">
        <v>796</v>
      </c>
      <c r="C1291" s="359" t="s">
        <v>1425</v>
      </c>
      <c r="D1291" s="359" t="s">
        <v>1426</v>
      </c>
      <c r="E1291" s="360"/>
      <c r="F1291" s="359" t="s">
        <v>1270</v>
      </c>
      <c r="G1291" s="361">
        <v>1.282051282051282E-5</v>
      </c>
      <c r="H1291" s="359" t="s">
        <v>1286</v>
      </c>
      <c r="I1291" s="361">
        <v>0</v>
      </c>
      <c r="J1291" s="359" t="s">
        <v>1425</v>
      </c>
      <c r="K1291" s="359" t="s">
        <v>1272</v>
      </c>
      <c r="M1291" t="str">
        <f t="shared" si="21"/>
        <v>PROPYLENE</v>
      </c>
    </row>
    <row r="1292" spans="1:13" ht="45" x14ac:dyDescent="0.25">
      <c r="A1292" s="359" t="s">
        <v>1846</v>
      </c>
      <c r="B1292" s="359" t="s">
        <v>796</v>
      </c>
      <c r="C1292" s="359" t="s">
        <v>1848</v>
      </c>
      <c r="D1292" s="359" t="s">
        <v>490</v>
      </c>
      <c r="E1292" s="361">
        <v>4666542.0298600001</v>
      </c>
      <c r="F1292" s="359" t="s">
        <v>1270</v>
      </c>
      <c r="G1292" s="361">
        <v>1.282051282051282E-5</v>
      </c>
      <c r="H1292" s="359" t="s">
        <v>490</v>
      </c>
      <c r="I1292" s="361">
        <v>0.16391085457885496</v>
      </c>
      <c r="J1292" s="359" t="s">
        <v>1848</v>
      </c>
      <c r="K1292" s="359" t="s">
        <v>1277</v>
      </c>
      <c r="M1292" t="str">
        <f t="shared" si="21"/>
        <v>Residue, tot fltrble (dried at 105 C)</v>
      </c>
    </row>
    <row r="1293" spans="1:13" ht="45" x14ac:dyDescent="0.25">
      <c r="A1293" s="359" t="s">
        <v>1846</v>
      </c>
      <c r="B1293" s="359" t="s">
        <v>796</v>
      </c>
      <c r="C1293" s="359" t="s">
        <v>1432</v>
      </c>
      <c r="D1293" s="359" t="s">
        <v>1427</v>
      </c>
      <c r="E1293" s="361">
        <v>44.182952235000002</v>
      </c>
      <c r="F1293" s="359" t="s">
        <v>1270</v>
      </c>
      <c r="G1293" s="361">
        <v>1.282051282051282E-5</v>
      </c>
      <c r="H1293" s="359" t="s">
        <v>490</v>
      </c>
      <c r="I1293" s="361">
        <v>1.5519126180189676E-6</v>
      </c>
      <c r="J1293" s="359" t="s">
        <v>1432</v>
      </c>
      <c r="K1293" s="359" t="s">
        <v>1277</v>
      </c>
      <c r="M1293" t="str">
        <f t="shared" si="21"/>
        <v>Selenium, total (as Se)</v>
      </c>
    </row>
    <row r="1294" spans="1:13" ht="45" x14ac:dyDescent="0.25">
      <c r="A1294" s="359" t="s">
        <v>1846</v>
      </c>
      <c r="B1294" s="359" t="s">
        <v>796</v>
      </c>
      <c r="C1294" s="359" t="s">
        <v>1322</v>
      </c>
      <c r="D1294" s="359" t="s">
        <v>490</v>
      </c>
      <c r="E1294" s="361">
        <v>758.7</v>
      </c>
      <c r="F1294" s="359" t="s">
        <v>1270</v>
      </c>
      <c r="G1294" s="361">
        <v>1.282051282051282E-5</v>
      </c>
      <c r="H1294" s="359" t="s">
        <v>490</v>
      </c>
      <c r="I1294" s="361">
        <v>2.6649104320337201E-5</v>
      </c>
      <c r="J1294" s="359" t="s">
        <v>1322</v>
      </c>
      <c r="K1294" s="359" t="s">
        <v>1277</v>
      </c>
      <c r="M1294" t="str">
        <f t="shared" si="21"/>
        <v>Solids, total suspended</v>
      </c>
    </row>
    <row r="1295" spans="1:13" ht="30" x14ac:dyDescent="0.25">
      <c r="A1295" s="359" t="s">
        <v>1849</v>
      </c>
      <c r="B1295" s="359" t="s">
        <v>823</v>
      </c>
      <c r="C1295" s="359" t="s">
        <v>1268</v>
      </c>
      <c r="D1295" s="359" t="s">
        <v>1269</v>
      </c>
      <c r="E1295" s="360"/>
      <c r="F1295" s="359" t="s">
        <v>1473</v>
      </c>
      <c r="G1295" s="361">
        <v>5.4054054054054052E-6</v>
      </c>
      <c r="H1295" s="359" t="s">
        <v>1455</v>
      </c>
      <c r="I1295" s="361">
        <v>1.2529085376767496E-2</v>
      </c>
      <c r="J1295" s="359" t="s">
        <v>1268</v>
      </c>
      <c r="K1295" s="359" t="s">
        <v>1272</v>
      </c>
      <c r="M1295" t="str">
        <f t="shared" si="21"/>
        <v>1,2,4-TRIMETHYLBENZENE</v>
      </c>
    </row>
    <row r="1296" spans="1:13" ht="30" x14ac:dyDescent="0.25">
      <c r="A1296" s="359" t="s">
        <v>1849</v>
      </c>
      <c r="B1296" s="359" t="s">
        <v>823</v>
      </c>
      <c r="C1296" s="359" t="s">
        <v>1347</v>
      </c>
      <c r="D1296" s="359" t="s">
        <v>1348</v>
      </c>
      <c r="E1296" s="360"/>
      <c r="F1296" s="359" t="s">
        <v>1473</v>
      </c>
      <c r="G1296" s="361">
        <v>5.4054054054054052E-6</v>
      </c>
      <c r="H1296" s="359" t="s">
        <v>1286</v>
      </c>
      <c r="I1296" s="361">
        <v>0</v>
      </c>
      <c r="J1296" s="359" t="s">
        <v>1347</v>
      </c>
      <c r="K1296" s="359" t="s">
        <v>1272</v>
      </c>
      <c r="M1296" t="str">
        <f t="shared" si="21"/>
        <v>1,3-BUTADIENE</v>
      </c>
    </row>
    <row r="1297" spans="1:13" ht="30" x14ac:dyDescent="0.25">
      <c r="A1297" s="359" t="s">
        <v>1849</v>
      </c>
      <c r="B1297" s="359" t="s">
        <v>823</v>
      </c>
      <c r="C1297" s="359" t="s">
        <v>1584</v>
      </c>
      <c r="D1297" s="359" t="s">
        <v>1585</v>
      </c>
      <c r="E1297" s="361">
        <v>86362.781410449999</v>
      </c>
      <c r="F1297" s="359" t="s">
        <v>1473</v>
      </c>
      <c r="G1297" s="361">
        <v>5.4054054054054052E-6</v>
      </c>
      <c r="H1297" s="359" t="s">
        <v>490</v>
      </c>
      <c r="I1297" s="361">
        <v>1.2789749190736763E-3</v>
      </c>
      <c r="J1297" s="359" t="s">
        <v>1584</v>
      </c>
      <c r="K1297" s="359" t="s">
        <v>1277</v>
      </c>
      <c r="M1297" t="str">
        <f t="shared" si="21"/>
        <v>Aluminum, total (as Al)</v>
      </c>
    </row>
    <row r="1298" spans="1:13" ht="30" x14ac:dyDescent="0.25">
      <c r="A1298" s="359" t="s">
        <v>1849</v>
      </c>
      <c r="B1298" s="359" t="s">
        <v>823</v>
      </c>
      <c r="C1298" s="359" t="s">
        <v>1349</v>
      </c>
      <c r="D1298" s="359" t="s">
        <v>1350</v>
      </c>
      <c r="E1298" s="360"/>
      <c r="F1298" s="359" t="s">
        <v>1473</v>
      </c>
      <c r="G1298" s="361">
        <v>5.4054054054054052E-6</v>
      </c>
      <c r="H1298" s="359" t="s">
        <v>1286</v>
      </c>
      <c r="I1298" s="361">
        <v>0</v>
      </c>
      <c r="J1298" s="359" t="s">
        <v>1349</v>
      </c>
      <c r="K1298" s="359" t="s">
        <v>1272</v>
      </c>
      <c r="M1298" t="str">
        <f t="shared" si="21"/>
        <v>ANTHRACENE</v>
      </c>
    </row>
    <row r="1299" spans="1:13" ht="30" x14ac:dyDescent="0.25">
      <c r="A1299" s="359" t="s">
        <v>1849</v>
      </c>
      <c r="B1299" s="359" t="s">
        <v>823</v>
      </c>
      <c r="C1299" s="359" t="s">
        <v>1586</v>
      </c>
      <c r="D1299" s="359" t="s">
        <v>1587</v>
      </c>
      <c r="E1299" s="360"/>
      <c r="F1299" s="359" t="s">
        <v>1473</v>
      </c>
      <c r="G1299" s="361">
        <v>5.4054054054054052E-6</v>
      </c>
      <c r="H1299" s="359" t="s">
        <v>1286</v>
      </c>
      <c r="I1299" s="361">
        <v>0</v>
      </c>
      <c r="J1299" s="359" t="s">
        <v>1586</v>
      </c>
      <c r="K1299" s="359" t="s">
        <v>1272</v>
      </c>
      <c r="M1299" t="str">
        <f t="shared" si="21"/>
        <v>ANTIMONY AND ANTIMONY COMPOUNDS</v>
      </c>
    </row>
    <row r="1300" spans="1:13" ht="30" x14ac:dyDescent="0.25">
      <c r="A1300" s="359" t="s">
        <v>1849</v>
      </c>
      <c r="B1300" s="359" t="s">
        <v>823</v>
      </c>
      <c r="C1300" s="359" t="s">
        <v>1273</v>
      </c>
      <c r="D1300" s="359" t="s">
        <v>1274</v>
      </c>
      <c r="E1300" s="360"/>
      <c r="F1300" s="359" t="s">
        <v>1473</v>
      </c>
      <c r="G1300" s="361">
        <v>5.4054054054054052E-6</v>
      </c>
      <c r="H1300" s="359" t="s">
        <v>1455</v>
      </c>
      <c r="I1300" s="361">
        <v>1.2529085376767496E-2</v>
      </c>
      <c r="J1300" s="359" t="s">
        <v>1273</v>
      </c>
      <c r="K1300" s="359" t="s">
        <v>1272</v>
      </c>
      <c r="M1300" t="str">
        <f t="shared" si="21"/>
        <v>BENZENE</v>
      </c>
    </row>
    <row r="1301" spans="1:13" ht="30" x14ac:dyDescent="0.25">
      <c r="A1301" s="359" t="s">
        <v>1849</v>
      </c>
      <c r="B1301" s="359" t="s">
        <v>823</v>
      </c>
      <c r="C1301" s="359" t="s">
        <v>1352</v>
      </c>
      <c r="D1301" s="359" t="s">
        <v>1353</v>
      </c>
      <c r="E1301" s="360"/>
      <c r="F1301" s="359" t="s">
        <v>1473</v>
      </c>
      <c r="G1301" s="361">
        <v>5.4054054054054052E-6</v>
      </c>
      <c r="H1301" s="359" t="s">
        <v>1286</v>
      </c>
      <c r="I1301" s="361">
        <v>0</v>
      </c>
      <c r="J1301" s="359" t="s">
        <v>1352</v>
      </c>
      <c r="K1301" s="359" t="s">
        <v>1272</v>
      </c>
      <c r="M1301" t="str">
        <f t="shared" si="21"/>
        <v>BENZO(G,H,I)PERYLENE</v>
      </c>
    </row>
    <row r="1302" spans="1:13" ht="30" x14ac:dyDescent="0.25">
      <c r="A1302" s="359" t="s">
        <v>1849</v>
      </c>
      <c r="B1302" s="359" t="s">
        <v>823</v>
      </c>
      <c r="C1302" s="359" t="s">
        <v>1276</v>
      </c>
      <c r="D1302" s="359" t="s">
        <v>490</v>
      </c>
      <c r="E1302" s="361">
        <v>10227.210884399999</v>
      </c>
      <c r="F1302" s="359" t="s">
        <v>1473</v>
      </c>
      <c r="G1302" s="361">
        <v>5.4054054054054052E-6</v>
      </c>
      <c r="H1302" s="359" t="s">
        <v>490</v>
      </c>
      <c r="I1302" s="361">
        <v>1.5145813971714179E-4</v>
      </c>
      <c r="J1302" s="359" t="s">
        <v>1276</v>
      </c>
      <c r="K1302" s="359" t="s">
        <v>1277</v>
      </c>
      <c r="M1302" t="str">
        <f t="shared" si="21"/>
        <v>BOD, 5-day, 20 deg. C</v>
      </c>
    </row>
    <row r="1303" spans="1:13" ht="30" x14ac:dyDescent="0.25">
      <c r="A1303" s="359" t="s">
        <v>1849</v>
      </c>
      <c r="B1303" s="359" t="s">
        <v>823</v>
      </c>
      <c r="C1303" s="359" t="s">
        <v>1850</v>
      </c>
      <c r="D1303" s="359" t="s">
        <v>490</v>
      </c>
      <c r="E1303" s="361">
        <v>45409.070294800003</v>
      </c>
      <c r="F1303" s="359" t="s">
        <v>1473</v>
      </c>
      <c r="G1303" s="361">
        <v>5.4054054054054052E-6</v>
      </c>
      <c r="H1303" s="359" t="s">
        <v>490</v>
      </c>
      <c r="I1303" s="361">
        <v>6.7247790144094781E-4</v>
      </c>
      <c r="J1303" s="359" t="s">
        <v>1850</v>
      </c>
      <c r="K1303" s="359" t="s">
        <v>1277</v>
      </c>
      <c r="M1303" t="str">
        <f t="shared" si="21"/>
        <v>BOD, carbonaceous, 20 day, 20 C</v>
      </c>
    </row>
    <row r="1304" spans="1:13" ht="30" x14ac:dyDescent="0.25">
      <c r="A1304" s="359" t="s">
        <v>1849</v>
      </c>
      <c r="B1304" s="359" t="s">
        <v>823</v>
      </c>
      <c r="C1304" s="359" t="s">
        <v>1416</v>
      </c>
      <c r="D1304" s="359" t="s">
        <v>1417</v>
      </c>
      <c r="E1304" s="361">
        <v>6136.5250801499997</v>
      </c>
      <c r="F1304" s="359" t="s">
        <v>1473</v>
      </c>
      <c r="G1304" s="361">
        <v>5.4054054054054052E-6</v>
      </c>
      <c r="H1304" s="359" t="s">
        <v>490</v>
      </c>
      <c r="I1304" s="361">
        <v>9.0877824215475741E-5</v>
      </c>
      <c r="J1304" s="359" t="s">
        <v>1418</v>
      </c>
      <c r="K1304" s="359" t="s">
        <v>1277</v>
      </c>
      <c r="M1304" t="str">
        <f t="shared" si="21"/>
        <v>CHLORINE</v>
      </c>
    </row>
    <row r="1305" spans="1:13" ht="30" x14ac:dyDescent="0.25">
      <c r="A1305" s="359" t="s">
        <v>1849</v>
      </c>
      <c r="B1305" s="359" t="s">
        <v>823</v>
      </c>
      <c r="C1305" s="359" t="s">
        <v>1280</v>
      </c>
      <c r="D1305" s="359" t="s">
        <v>1281</v>
      </c>
      <c r="E1305" s="361">
        <v>0</v>
      </c>
      <c r="F1305" s="359" t="s">
        <v>1473</v>
      </c>
      <c r="G1305" s="361">
        <v>5.4054054054054052E-6</v>
      </c>
      <c r="H1305" s="359" t="s">
        <v>490</v>
      </c>
      <c r="I1305" s="361">
        <v>0</v>
      </c>
      <c r="J1305" s="359" t="s">
        <v>1280</v>
      </c>
      <c r="K1305" s="359" t="s">
        <v>1277</v>
      </c>
      <c r="M1305" t="str">
        <f t="shared" si="21"/>
        <v>Chromium, hexavalent (as Cr)</v>
      </c>
    </row>
    <row r="1306" spans="1:13" ht="30" x14ac:dyDescent="0.25">
      <c r="A1306" s="359" t="s">
        <v>1849</v>
      </c>
      <c r="B1306" s="359" t="s">
        <v>823</v>
      </c>
      <c r="C1306" s="359" t="s">
        <v>1282</v>
      </c>
      <c r="D1306" s="359" t="s">
        <v>1283</v>
      </c>
      <c r="E1306" s="361">
        <v>1.0702947845799999</v>
      </c>
      <c r="F1306" s="359" t="s">
        <v>1473</v>
      </c>
      <c r="G1306" s="361">
        <v>5.4054054054054052E-6</v>
      </c>
      <c r="H1306" s="359" t="s">
        <v>490</v>
      </c>
      <c r="I1306" s="361">
        <v>1.5850348531358754E-8</v>
      </c>
      <c r="J1306" s="359" t="s">
        <v>1282</v>
      </c>
      <c r="K1306" s="359" t="s">
        <v>1277</v>
      </c>
      <c r="M1306" t="str">
        <f t="shared" si="21"/>
        <v>Chromium, total (as Cr)</v>
      </c>
    </row>
    <row r="1307" spans="1:13" ht="30" x14ac:dyDescent="0.25">
      <c r="A1307" s="359" t="s">
        <v>1849</v>
      </c>
      <c r="B1307" s="359" t="s">
        <v>823</v>
      </c>
      <c r="C1307" s="359" t="s">
        <v>1467</v>
      </c>
      <c r="D1307" s="359" t="s">
        <v>1441</v>
      </c>
      <c r="E1307" s="361">
        <v>5.9143198799999999</v>
      </c>
      <c r="F1307" s="359" t="s">
        <v>1473</v>
      </c>
      <c r="G1307" s="361">
        <v>5.4054054054054052E-6</v>
      </c>
      <c r="H1307" s="359" t="s">
        <v>490</v>
      </c>
      <c r="I1307" s="361">
        <v>8.7587114105886707E-8</v>
      </c>
      <c r="J1307" s="359" t="s">
        <v>1467</v>
      </c>
      <c r="K1307" s="359" t="s">
        <v>1277</v>
      </c>
      <c r="M1307" t="str">
        <f t="shared" si="21"/>
        <v>Copper, total (as Cu)</v>
      </c>
    </row>
    <row r="1308" spans="1:13" ht="30" x14ac:dyDescent="0.25">
      <c r="A1308" s="359" t="s">
        <v>1849</v>
      </c>
      <c r="B1308" s="359" t="s">
        <v>823</v>
      </c>
      <c r="C1308" s="359" t="s">
        <v>1284</v>
      </c>
      <c r="D1308" s="359" t="s">
        <v>1285</v>
      </c>
      <c r="E1308" s="360"/>
      <c r="F1308" s="359" t="s">
        <v>1473</v>
      </c>
      <c r="G1308" s="361">
        <v>5.4054054054054052E-6</v>
      </c>
      <c r="H1308" s="359" t="s">
        <v>1455</v>
      </c>
      <c r="I1308" s="361">
        <v>1.2529085376767496E-2</v>
      </c>
      <c r="J1308" s="359" t="s">
        <v>1287</v>
      </c>
      <c r="K1308" s="359" t="s">
        <v>1272</v>
      </c>
      <c r="M1308" t="str">
        <f t="shared" si="21"/>
        <v>ISOPROPYLBENZENE</v>
      </c>
    </row>
    <row r="1309" spans="1:13" ht="30" x14ac:dyDescent="0.25">
      <c r="A1309" s="359" t="s">
        <v>1849</v>
      </c>
      <c r="B1309" s="359" t="s">
        <v>823</v>
      </c>
      <c r="C1309" s="359" t="s">
        <v>1851</v>
      </c>
      <c r="D1309" s="359" t="s">
        <v>1544</v>
      </c>
      <c r="E1309" s="361">
        <v>8.4809737999999992</v>
      </c>
      <c r="F1309" s="359" t="s">
        <v>1473</v>
      </c>
      <c r="G1309" s="361">
        <v>5.4054054054054052E-6</v>
      </c>
      <c r="H1309" s="359" t="s">
        <v>490</v>
      </c>
      <c r="I1309" s="361">
        <v>1.2559753868937428E-7</v>
      </c>
      <c r="J1309" s="359" t="s">
        <v>1851</v>
      </c>
      <c r="K1309" s="359" t="s">
        <v>1277</v>
      </c>
      <c r="M1309" t="str">
        <f t="shared" si="21"/>
        <v>Cyanide, free available</v>
      </c>
    </row>
    <row r="1310" spans="1:13" ht="30" x14ac:dyDescent="0.25">
      <c r="A1310" s="359" t="s">
        <v>1849</v>
      </c>
      <c r="B1310" s="359" t="s">
        <v>823</v>
      </c>
      <c r="C1310" s="359" t="s">
        <v>1543</v>
      </c>
      <c r="D1310" s="359" t="s">
        <v>1544</v>
      </c>
      <c r="E1310" s="361">
        <v>239.85956429500001</v>
      </c>
      <c r="F1310" s="359" t="s">
        <v>1473</v>
      </c>
      <c r="G1310" s="361">
        <v>5.4054054054054052E-6</v>
      </c>
      <c r="H1310" s="359" t="s">
        <v>490</v>
      </c>
      <c r="I1310" s="361">
        <v>3.5521594119955571E-6</v>
      </c>
      <c r="J1310" s="359" t="s">
        <v>1543</v>
      </c>
      <c r="K1310" s="359" t="s">
        <v>1277</v>
      </c>
      <c r="M1310" t="str">
        <f t="shared" si="21"/>
        <v>Cyanide, total (as CN)</v>
      </c>
    </row>
    <row r="1311" spans="1:13" ht="30" x14ac:dyDescent="0.25">
      <c r="A1311" s="359" t="s">
        <v>1849</v>
      </c>
      <c r="B1311" s="359" t="s">
        <v>823</v>
      </c>
      <c r="C1311" s="359" t="s">
        <v>1291</v>
      </c>
      <c r="D1311" s="359" t="s">
        <v>1292</v>
      </c>
      <c r="E1311" s="360"/>
      <c r="F1311" s="359" t="s">
        <v>1473</v>
      </c>
      <c r="G1311" s="361">
        <v>5.4054054054054052E-6</v>
      </c>
      <c r="H1311" s="359" t="s">
        <v>1455</v>
      </c>
      <c r="I1311" s="361">
        <v>1.2529085376767496E-2</v>
      </c>
      <c r="J1311" s="359" t="s">
        <v>1291</v>
      </c>
      <c r="K1311" s="359" t="s">
        <v>1272</v>
      </c>
      <c r="M1311" t="str">
        <f t="shared" si="21"/>
        <v>CYCLOHEXANE</v>
      </c>
    </row>
    <row r="1312" spans="1:13" ht="30" x14ac:dyDescent="0.25">
      <c r="A1312" s="359" t="s">
        <v>1849</v>
      </c>
      <c r="B1312" s="359" t="s">
        <v>823</v>
      </c>
      <c r="C1312" s="359" t="s">
        <v>1293</v>
      </c>
      <c r="D1312" s="359" t="s">
        <v>1294</v>
      </c>
      <c r="E1312" s="360"/>
      <c r="F1312" s="359" t="s">
        <v>1473</v>
      </c>
      <c r="G1312" s="361">
        <v>5.4054054054054052E-6</v>
      </c>
      <c r="H1312" s="359" t="s">
        <v>1286</v>
      </c>
      <c r="I1312" s="361">
        <v>0</v>
      </c>
      <c r="J1312" s="359" t="s">
        <v>1293</v>
      </c>
      <c r="K1312" s="359" t="s">
        <v>1272</v>
      </c>
      <c r="M1312" t="str">
        <f t="shared" si="21"/>
        <v>DIETHANOLAMINE</v>
      </c>
    </row>
    <row r="1313" spans="1:13" ht="30" x14ac:dyDescent="0.25">
      <c r="A1313" s="359" t="s">
        <v>1849</v>
      </c>
      <c r="B1313" s="359" t="s">
        <v>823</v>
      </c>
      <c r="C1313" s="359" t="s">
        <v>1362</v>
      </c>
      <c r="D1313" s="359" t="s">
        <v>1363</v>
      </c>
      <c r="E1313" s="360"/>
      <c r="F1313" s="359" t="s">
        <v>1473</v>
      </c>
      <c r="G1313" s="361">
        <v>5.4054054054054052E-6</v>
      </c>
      <c r="H1313" s="359" t="s">
        <v>1286</v>
      </c>
      <c r="I1313" s="361">
        <v>0</v>
      </c>
      <c r="J1313" s="359" t="s">
        <v>1362</v>
      </c>
      <c r="K1313" s="359" t="s">
        <v>1272</v>
      </c>
      <c r="M1313" t="str">
        <f t="shared" si="21"/>
        <v>DIOXIN AND DIOXIN-LIKE COMPOUNDS</v>
      </c>
    </row>
    <row r="1314" spans="1:13" ht="30" x14ac:dyDescent="0.25">
      <c r="A1314" s="359" t="s">
        <v>1849</v>
      </c>
      <c r="B1314" s="359" t="s">
        <v>823</v>
      </c>
      <c r="C1314" s="359" t="s">
        <v>1295</v>
      </c>
      <c r="D1314" s="359" t="s">
        <v>1296</v>
      </c>
      <c r="E1314" s="360"/>
      <c r="F1314" s="359" t="s">
        <v>1473</v>
      </c>
      <c r="G1314" s="361">
        <v>5.4054054054054052E-6</v>
      </c>
      <c r="H1314" s="359" t="s">
        <v>1455</v>
      </c>
      <c r="I1314" s="361">
        <v>1.2529085376767496E-2</v>
      </c>
      <c r="J1314" s="359" t="s">
        <v>1295</v>
      </c>
      <c r="K1314" s="359" t="s">
        <v>1272</v>
      </c>
      <c r="M1314" t="str">
        <f t="shared" si="21"/>
        <v>ETHYLBENZENE</v>
      </c>
    </row>
    <row r="1315" spans="1:13" ht="30" x14ac:dyDescent="0.25">
      <c r="A1315" s="359" t="s">
        <v>1849</v>
      </c>
      <c r="B1315" s="359" t="s">
        <v>823</v>
      </c>
      <c r="C1315" s="359" t="s">
        <v>1365</v>
      </c>
      <c r="D1315" s="359" t="s">
        <v>1366</v>
      </c>
      <c r="E1315" s="360"/>
      <c r="F1315" s="359" t="s">
        <v>1473</v>
      </c>
      <c r="G1315" s="361">
        <v>5.4054054054054052E-6</v>
      </c>
      <c r="H1315" s="359" t="s">
        <v>1286</v>
      </c>
      <c r="I1315" s="361">
        <v>0</v>
      </c>
      <c r="J1315" s="359" t="s">
        <v>1028</v>
      </c>
      <c r="K1315" s="359" t="s">
        <v>1272</v>
      </c>
      <c r="M1315" t="str">
        <f t="shared" si="21"/>
        <v>ETHENE</v>
      </c>
    </row>
    <row r="1316" spans="1:13" ht="30" x14ac:dyDescent="0.25">
      <c r="A1316" s="359" t="s">
        <v>1849</v>
      </c>
      <c r="B1316" s="359" t="s">
        <v>823</v>
      </c>
      <c r="C1316" s="359" t="s">
        <v>1371</v>
      </c>
      <c r="D1316" s="359" t="s">
        <v>1372</v>
      </c>
      <c r="E1316" s="360"/>
      <c r="F1316" s="359" t="s">
        <v>1473</v>
      </c>
      <c r="G1316" s="361">
        <v>5.4054054054054052E-6</v>
      </c>
      <c r="H1316" s="359" t="s">
        <v>1286</v>
      </c>
      <c r="I1316" s="361">
        <v>0</v>
      </c>
      <c r="J1316" s="359" t="s">
        <v>1371</v>
      </c>
      <c r="K1316" s="359" t="s">
        <v>1272</v>
      </c>
      <c r="M1316" t="str">
        <f t="shared" si="21"/>
        <v>HYDROGEN CYANIDE</v>
      </c>
    </row>
    <row r="1317" spans="1:13" ht="30" x14ac:dyDescent="0.25">
      <c r="A1317" s="359" t="s">
        <v>1849</v>
      </c>
      <c r="B1317" s="359" t="s">
        <v>823</v>
      </c>
      <c r="C1317" s="359" t="s">
        <v>1488</v>
      </c>
      <c r="D1317" s="359" t="s">
        <v>1489</v>
      </c>
      <c r="E1317" s="360"/>
      <c r="F1317" s="359" t="s">
        <v>1473</v>
      </c>
      <c r="G1317" s="361">
        <v>5.4054054054054052E-6</v>
      </c>
      <c r="H1317" s="359" t="s">
        <v>1286</v>
      </c>
      <c r="I1317" s="361">
        <v>0</v>
      </c>
      <c r="J1317" s="359" t="s">
        <v>1490</v>
      </c>
      <c r="K1317" s="359" t="s">
        <v>1272</v>
      </c>
      <c r="M1317" t="str">
        <f t="shared" si="21"/>
        <v>HYDROFLUORIC ACID</v>
      </c>
    </row>
    <row r="1318" spans="1:13" ht="30" x14ac:dyDescent="0.25">
      <c r="A1318" s="359" t="s">
        <v>1849</v>
      </c>
      <c r="B1318" s="359" t="s">
        <v>823</v>
      </c>
      <c r="C1318" s="359" t="s">
        <v>1852</v>
      </c>
      <c r="D1318" s="359" t="s">
        <v>1690</v>
      </c>
      <c r="E1318" s="361">
        <v>33604.255772800003</v>
      </c>
      <c r="F1318" s="359" t="s">
        <v>1473</v>
      </c>
      <c r="G1318" s="361">
        <v>5.4054054054054052E-6</v>
      </c>
      <c r="H1318" s="359" t="s">
        <v>490</v>
      </c>
      <c r="I1318" s="361">
        <v>4.9765650903813409E-4</v>
      </c>
      <c r="J1318" s="359" t="s">
        <v>1852</v>
      </c>
      <c r="K1318" s="359" t="s">
        <v>1277</v>
      </c>
      <c r="M1318" t="str">
        <f t="shared" si="21"/>
        <v>Iron, total (as Fe)</v>
      </c>
    </row>
    <row r="1319" spans="1:13" ht="30" x14ac:dyDescent="0.25">
      <c r="A1319" s="359" t="s">
        <v>1849</v>
      </c>
      <c r="B1319" s="359" t="s">
        <v>823</v>
      </c>
      <c r="C1319" s="359" t="s">
        <v>1431</v>
      </c>
      <c r="D1319" s="359" t="s">
        <v>1298</v>
      </c>
      <c r="E1319" s="361">
        <v>9.5763528000000004</v>
      </c>
      <c r="F1319" s="359" t="s">
        <v>1473</v>
      </c>
      <c r="G1319" s="361">
        <v>5.4054054054054052E-6</v>
      </c>
      <c r="H1319" s="359" t="s">
        <v>490</v>
      </c>
      <c r="I1319" s="361">
        <v>1.4181936764161421E-7</v>
      </c>
      <c r="J1319" s="359" t="s">
        <v>1431</v>
      </c>
      <c r="K1319" s="359" t="s">
        <v>1277</v>
      </c>
      <c r="M1319" t="str">
        <f t="shared" si="21"/>
        <v>Lead, total (as Pb)</v>
      </c>
    </row>
    <row r="1320" spans="1:13" ht="30" x14ac:dyDescent="0.25">
      <c r="A1320" s="359" t="s">
        <v>1849</v>
      </c>
      <c r="B1320" s="359" t="s">
        <v>823</v>
      </c>
      <c r="C1320" s="359" t="s">
        <v>1853</v>
      </c>
      <c r="D1320" s="359" t="s">
        <v>1854</v>
      </c>
      <c r="E1320" s="361">
        <v>26911.767447599999</v>
      </c>
      <c r="F1320" s="359" t="s">
        <v>1473</v>
      </c>
      <c r="G1320" s="361">
        <v>5.4054054054054052E-6</v>
      </c>
      <c r="H1320" s="359" t="s">
        <v>490</v>
      </c>
      <c r="I1320" s="361">
        <v>3.9854524172676782E-4</v>
      </c>
      <c r="J1320" s="359" t="s">
        <v>1853</v>
      </c>
      <c r="K1320" s="359" t="s">
        <v>1277</v>
      </c>
      <c r="M1320" t="str">
        <f t="shared" si="21"/>
        <v>Magnesium, total (as Mg)</v>
      </c>
    </row>
    <row r="1321" spans="1:13" ht="30" x14ac:dyDescent="0.25">
      <c r="A1321" s="359" t="s">
        <v>1849</v>
      </c>
      <c r="B1321" s="359" t="s">
        <v>823</v>
      </c>
      <c r="C1321" s="359" t="s">
        <v>1300</v>
      </c>
      <c r="D1321" s="359" t="s">
        <v>1301</v>
      </c>
      <c r="E1321" s="360"/>
      <c r="F1321" s="359" t="s">
        <v>1473</v>
      </c>
      <c r="G1321" s="361">
        <v>5.4054054054054052E-6</v>
      </c>
      <c r="H1321" s="359" t="s">
        <v>1286</v>
      </c>
      <c r="I1321" s="361">
        <v>0</v>
      </c>
      <c r="J1321" s="359" t="s">
        <v>1300</v>
      </c>
      <c r="K1321" s="359" t="s">
        <v>1272</v>
      </c>
      <c r="M1321" t="str">
        <f t="shared" si="21"/>
        <v>MERCURY AND MERCURY COMPOUNDS</v>
      </c>
    </row>
    <row r="1322" spans="1:13" ht="30" x14ac:dyDescent="0.25">
      <c r="A1322" s="359" t="s">
        <v>1849</v>
      </c>
      <c r="B1322" s="359" t="s">
        <v>823</v>
      </c>
      <c r="C1322" s="359" t="s">
        <v>1381</v>
      </c>
      <c r="D1322" s="359" t="s">
        <v>1382</v>
      </c>
      <c r="E1322" s="360"/>
      <c r="F1322" s="359" t="s">
        <v>1473</v>
      </c>
      <c r="G1322" s="361">
        <v>5.4054054054054052E-6</v>
      </c>
      <c r="H1322" s="359" t="s">
        <v>1286</v>
      </c>
      <c r="I1322" s="361">
        <v>0</v>
      </c>
      <c r="J1322" s="359" t="s">
        <v>1381</v>
      </c>
      <c r="K1322" s="359" t="s">
        <v>1272</v>
      </c>
      <c r="M1322" t="str">
        <f t="shared" si="21"/>
        <v>MOLYBDENUM TRIOXIDE</v>
      </c>
    </row>
    <row r="1323" spans="1:13" ht="30" x14ac:dyDescent="0.25">
      <c r="A1323" s="359" t="s">
        <v>1849</v>
      </c>
      <c r="B1323" s="359" t="s">
        <v>823</v>
      </c>
      <c r="C1323" s="359" t="s">
        <v>1303</v>
      </c>
      <c r="D1323" s="359" t="s">
        <v>1304</v>
      </c>
      <c r="E1323" s="360"/>
      <c r="F1323" s="359" t="s">
        <v>1473</v>
      </c>
      <c r="G1323" s="361">
        <v>5.4054054054054052E-6</v>
      </c>
      <c r="H1323" s="359" t="s">
        <v>1455</v>
      </c>
      <c r="I1323" s="361">
        <v>1.2529085376767496E-2</v>
      </c>
      <c r="J1323" s="359" t="s">
        <v>1303</v>
      </c>
      <c r="K1323" s="359" t="s">
        <v>1272</v>
      </c>
      <c r="M1323" t="str">
        <f t="shared" si="21"/>
        <v>NAPHTHALENE</v>
      </c>
    </row>
    <row r="1324" spans="1:13" ht="30" x14ac:dyDescent="0.25">
      <c r="A1324" s="359" t="s">
        <v>1849</v>
      </c>
      <c r="B1324" s="359" t="s">
        <v>823</v>
      </c>
      <c r="C1324" s="359" t="s">
        <v>1305</v>
      </c>
      <c r="D1324" s="359" t="s">
        <v>1306</v>
      </c>
      <c r="E1324" s="360"/>
      <c r="F1324" s="359" t="s">
        <v>1473</v>
      </c>
      <c r="G1324" s="361">
        <v>5.4054054054054052E-6</v>
      </c>
      <c r="H1324" s="359" t="s">
        <v>1455</v>
      </c>
      <c r="I1324" s="361">
        <v>1.2529085376767496E-2</v>
      </c>
      <c r="J1324" s="359" t="s">
        <v>1305</v>
      </c>
      <c r="K1324" s="359" t="s">
        <v>1272</v>
      </c>
      <c r="M1324" t="str">
        <f t="shared" si="21"/>
        <v>N-HEXANE</v>
      </c>
    </row>
    <row r="1325" spans="1:13" ht="30" x14ac:dyDescent="0.25">
      <c r="A1325" s="359" t="s">
        <v>1849</v>
      </c>
      <c r="B1325" s="359" t="s">
        <v>823</v>
      </c>
      <c r="C1325" s="359" t="s">
        <v>1384</v>
      </c>
      <c r="D1325" s="359" t="s">
        <v>1385</v>
      </c>
      <c r="E1325" s="360"/>
      <c r="F1325" s="359" t="s">
        <v>1473</v>
      </c>
      <c r="G1325" s="361">
        <v>5.4054054054054052E-6</v>
      </c>
      <c r="H1325" s="359" t="s">
        <v>1286</v>
      </c>
      <c r="I1325" s="361">
        <v>0</v>
      </c>
      <c r="J1325" s="359" t="s">
        <v>1384</v>
      </c>
      <c r="K1325" s="359" t="s">
        <v>1272</v>
      </c>
      <c r="M1325" t="str">
        <f t="shared" si="21"/>
        <v>NICKEL AND NICKEL COMPOUNDS</v>
      </c>
    </row>
    <row r="1326" spans="1:13" ht="30" x14ac:dyDescent="0.25">
      <c r="A1326" s="359" t="s">
        <v>1849</v>
      </c>
      <c r="B1326" s="359" t="s">
        <v>823</v>
      </c>
      <c r="C1326" s="359" t="s">
        <v>1307</v>
      </c>
      <c r="D1326" s="359" t="s">
        <v>1308</v>
      </c>
      <c r="E1326" s="360"/>
      <c r="F1326" s="359" t="s">
        <v>1473</v>
      </c>
      <c r="G1326" s="361">
        <v>5.4054054054054052E-6</v>
      </c>
      <c r="H1326" s="359" t="s">
        <v>1855</v>
      </c>
      <c r="I1326" s="361">
        <v>148.43654913191335</v>
      </c>
      <c r="J1326" s="359" t="s">
        <v>1310</v>
      </c>
      <c r="K1326" s="359" t="s">
        <v>1272</v>
      </c>
      <c r="M1326" t="str">
        <f t="shared" si="21"/>
        <v>NITRATE</v>
      </c>
    </row>
    <row r="1327" spans="1:13" ht="30" x14ac:dyDescent="0.25">
      <c r="A1327" s="359" t="s">
        <v>1849</v>
      </c>
      <c r="B1327" s="359" t="s">
        <v>823</v>
      </c>
      <c r="C1327" s="359" t="s">
        <v>1311</v>
      </c>
      <c r="D1327" s="359" t="s">
        <v>1312</v>
      </c>
      <c r="E1327" s="361">
        <v>36575.963718799998</v>
      </c>
      <c r="F1327" s="359" t="s">
        <v>1473</v>
      </c>
      <c r="G1327" s="361">
        <v>5.4054054054054052E-6</v>
      </c>
      <c r="H1327" s="359" t="s">
        <v>490</v>
      </c>
      <c r="I1327" s="361">
        <v>5.4166551231099591E-4</v>
      </c>
      <c r="J1327" s="359" t="s">
        <v>1313</v>
      </c>
      <c r="K1327" s="359" t="s">
        <v>1277</v>
      </c>
      <c r="M1327" t="str">
        <f t="shared" si="21"/>
        <v>AMMONIA</v>
      </c>
    </row>
    <row r="1328" spans="1:13" ht="30" x14ac:dyDescent="0.25">
      <c r="A1328" s="359" t="s">
        <v>1849</v>
      </c>
      <c r="B1328" s="359" t="s">
        <v>823</v>
      </c>
      <c r="C1328" s="359" t="s">
        <v>1341</v>
      </c>
      <c r="D1328" s="359" t="s">
        <v>490</v>
      </c>
      <c r="E1328" s="361">
        <v>0</v>
      </c>
      <c r="F1328" s="359" t="s">
        <v>1473</v>
      </c>
      <c r="G1328" s="361">
        <v>5.4054054054054052E-6</v>
      </c>
      <c r="H1328" s="359" t="s">
        <v>490</v>
      </c>
      <c r="I1328" s="361">
        <v>0</v>
      </c>
      <c r="J1328" s="359" t="s">
        <v>1341</v>
      </c>
      <c r="K1328" s="359" t="s">
        <v>1277</v>
      </c>
      <c r="M1328" t="str">
        <f t="shared" si="21"/>
        <v>Oil &amp; grease</v>
      </c>
    </row>
    <row r="1329" spans="1:13" ht="30" x14ac:dyDescent="0.25">
      <c r="A1329" s="359" t="s">
        <v>1849</v>
      </c>
      <c r="B1329" s="359" t="s">
        <v>823</v>
      </c>
      <c r="C1329" s="359" t="s">
        <v>1457</v>
      </c>
      <c r="D1329" s="359" t="s">
        <v>490</v>
      </c>
      <c r="E1329" s="361">
        <v>148517.46031699999</v>
      </c>
      <c r="F1329" s="359" t="s">
        <v>1473</v>
      </c>
      <c r="G1329" s="361">
        <v>5.4054054054054052E-6</v>
      </c>
      <c r="H1329" s="359" t="s">
        <v>490</v>
      </c>
      <c r="I1329" s="361">
        <v>2.1994440624509438E-3</v>
      </c>
      <c r="J1329" s="359" t="s">
        <v>1457</v>
      </c>
      <c r="K1329" s="359" t="s">
        <v>1277</v>
      </c>
      <c r="M1329" t="str">
        <f t="shared" si="21"/>
        <v>Chemical Oxygen Demand (COD)</v>
      </c>
    </row>
    <row r="1330" spans="1:13" ht="30" x14ac:dyDescent="0.25">
      <c r="A1330" s="359" t="s">
        <v>1849</v>
      </c>
      <c r="B1330" s="359" t="s">
        <v>823</v>
      </c>
      <c r="C1330" s="359" t="s">
        <v>1388</v>
      </c>
      <c r="D1330" s="359" t="s">
        <v>1389</v>
      </c>
      <c r="E1330" s="360"/>
      <c r="F1330" s="359" t="s">
        <v>1473</v>
      </c>
      <c r="G1330" s="361">
        <v>5.4054054054054052E-6</v>
      </c>
      <c r="H1330" s="359" t="s">
        <v>1286</v>
      </c>
      <c r="I1330" s="361">
        <v>0</v>
      </c>
      <c r="J1330" s="359" t="s">
        <v>1388</v>
      </c>
      <c r="K1330" s="359" t="s">
        <v>1272</v>
      </c>
      <c r="M1330" t="str">
        <f t="shared" si="21"/>
        <v>PHENANTHRENE</v>
      </c>
    </row>
    <row r="1331" spans="1:13" ht="30" x14ac:dyDescent="0.25">
      <c r="A1331" s="359" t="s">
        <v>1849</v>
      </c>
      <c r="B1331" s="359" t="s">
        <v>823</v>
      </c>
      <c r="C1331" s="359" t="s">
        <v>1315</v>
      </c>
      <c r="D1331" s="359" t="s">
        <v>1316</v>
      </c>
      <c r="E1331" s="360"/>
      <c r="F1331" s="359" t="s">
        <v>1473</v>
      </c>
      <c r="G1331" s="361">
        <v>5.4054054054054052E-6</v>
      </c>
      <c r="H1331" s="359" t="s">
        <v>1413</v>
      </c>
      <c r="I1331" s="361">
        <v>6.2645426883837477E-4</v>
      </c>
      <c r="J1331" s="359" t="s">
        <v>1315</v>
      </c>
      <c r="K1331" s="359" t="s">
        <v>1272</v>
      </c>
      <c r="M1331" t="str">
        <f t="shared" si="21"/>
        <v>PHENOL</v>
      </c>
    </row>
    <row r="1332" spans="1:13" ht="30" x14ac:dyDescent="0.25">
      <c r="A1332" s="359" t="s">
        <v>1849</v>
      </c>
      <c r="B1332" s="359" t="s">
        <v>823</v>
      </c>
      <c r="C1332" s="359" t="s">
        <v>1318</v>
      </c>
      <c r="D1332" s="359" t="s">
        <v>490</v>
      </c>
      <c r="E1332" s="361">
        <v>0</v>
      </c>
      <c r="F1332" s="359" t="s">
        <v>1473</v>
      </c>
      <c r="G1332" s="361">
        <v>5.4054054054054052E-6</v>
      </c>
      <c r="H1332" s="359" t="s">
        <v>490</v>
      </c>
      <c r="I1332" s="361">
        <v>0</v>
      </c>
      <c r="J1332" s="359" t="s">
        <v>1318</v>
      </c>
      <c r="K1332" s="359" t="s">
        <v>1277</v>
      </c>
      <c r="M1332" t="str">
        <f t="shared" si="21"/>
        <v>Phenolics, total recoverable</v>
      </c>
    </row>
    <row r="1333" spans="1:13" ht="30" x14ac:dyDescent="0.25">
      <c r="A1333" s="359" t="s">
        <v>1849</v>
      </c>
      <c r="B1333" s="359" t="s">
        <v>823</v>
      </c>
      <c r="C1333" s="359" t="s">
        <v>1319</v>
      </c>
      <c r="D1333" s="359" t="s">
        <v>1320</v>
      </c>
      <c r="E1333" s="360"/>
      <c r="F1333" s="359" t="s">
        <v>1473</v>
      </c>
      <c r="G1333" s="361">
        <v>5.4054054054054052E-6</v>
      </c>
      <c r="H1333" s="359" t="s">
        <v>1856</v>
      </c>
      <c r="I1333" s="361">
        <v>7.1594773581528553E-4</v>
      </c>
      <c r="J1333" s="359" t="s">
        <v>1319</v>
      </c>
      <c r="K1333" s="359" t="s">
        <v>1272</v>
      </c>
      <c r="M1333" t="str">
        <f t="shared" si="21"/>
        <v>POLYCYCLIC AROMATIC COMPOUNDS</v>
      </c>
    </row>
    <row r="1334" spans="1:13" ht="30" x14ac:dyDescent="0.25">
      <c r="A1334" s="359" t="s">
        <v>1849</v>
      </c>
      <c r="B1334" s="359" t="s">
        <v>823</v>
      </c>
      <c r="C1334" s="359" t="s">
        <v>1425</v>
      </c>
      <c r="D1334" s="359" t="s">
        <v>1426</v>
      </c>
      <c r="E1334" s="360"/>
      <c r="F1334" s="359" t="s">
        <v>1473</v>
      </c>
      <c r="G1334" s="361">
        <v>5.4054054054054052E-6</v>
      </c>
      <c r="H1334" s="359" t="s">
        <v>1286</v>
      </c>
      <c r="I1334" s="361">
        <v>0</v>
      </c>
      <c r="J1334" s="359" t="s">
        <v>1425</v>
      </c>
      <c r="K1334" s="359" t="s">
        <v>1272</v>
      </c>
      <c r="M1334" t="str">
        <f t="shared" si="21"/>
        <v>PROPYLENE</v>
      </c>
    </row>
    <row r="1335" spans="1:13" ht="30" x14ac:dyDescent="0.25">
      <c r="A1335" s="359" t="s">
        <v>1849</v>
      </c>
      <c r="B1335" s="359" t="s">
        <v>823</v>
      </c>
      <c r="C1335" s="359" t="s">
        <v>1432</v>
      </c>
      <c r="D1335" s="359" t="s">
        <v>1427</v>
      </c>
      <c r="E1335" s="361">
        <v>43.457973334999998</v>
      </c>
      <c r="F1335" s="359" t="s">
        <v>1473</v>
      </c>
      <c r="G1335" s="361">
        <v>5.4054054054054052E-6</v>
      </c>
      <c r="H1335" s="359" t="s">
        <v>490</v>
      </c>
      <c r="I1335" s="361">
        <v>6.4358346293965188E-7</v>
      </c>
      <c r="J1335" s="359" t="s">
        <v>1432</v>
      </c>
      <c r="K1335" s="359" t="s">
        <v>1277</v>
      </c>
      <c r="M1335" t="str">
        <f t="shared" si="21"/>
        <v>Selenium, total (as Se)</v>
      </c>
    </row>
    <row r="1336" spans="1:13" ht="30" x14ac:dyDescent="0.25">
      <c r="A1336" s="359" t="s">
        <v>1849</v>
      </c>
      <c r="B1336" s="359" t="s">
        <v>823</v>
      </c>
      <c r="C1336" s="359" t="s">
        <v>1322</v>
      </c>
      <c r="D1336" s="359" t="s">
        <v>490</v>
      </c>
      <c r="E1336" s="361">
        <v>19553.7414966</v>
      </c>
      <c r="F1336" s="359" t="s">
        <v>1473</v>
      </c>
      <c r="G1336" s="361">
        <v>5.4054054054054052E-6</v>
      </c>
      <c r="H1336" s="359" t="s">
        <v>490</v>
      </c>
      <c r="I1336" s="361">
        <v>2.8957780816882636E-4</v>
      </c>
      <c r="J1336" s="359" t="s">
        <v>1322</v>
      </c>
      <c r="K1336" s="359" t="s">
        <v>1277</v>
      </c>
      <c r="M1336" t="str">
        <f t="shared" si="21"/>
        <v>Solids, total suspended</v>
      </c>
    </row>
    <row r="1337" spans="1:13" ht="30" x14ac:dyDescent="0.25">
      <c r="A1337" s="359" t="s">
        <v>1849</v>
      </c>
      <c r="B1337" s="359" t="s">
        <v>823</v>
      </c>
      <c r="C1337" s="359" t="s">
        <v>1323</v>
      </c>
      <c r="D1337" s="359" t="s">
        <v>1324</v>
      </c>
      <c r="E1337" s="361">
        <v>97.959183673499993</v>
      </c>
      <c r="F1337" s="359" t="s">
        <v>1473</v>
      </c>
      <c r="G1337" s="361">
        <v>5.4054054054054052E-6</v>
      </c>
      <c r="H1337" s="359" t="s">
        <v>490</v>
      </c>
      <c r="I1337" s="361">
        <v>1.4507098655831172E-6</v>
      </c>
      <c r="J1337" s="359" t="s">
        <v>1323</v>
      </c>
      <c r="K1337" s="359" t="s">
        <v>1277</v>
      </c>
      <c r="M1337" t="str">
        <f t="shared" si="21"/>
        <v>Sulfide, total (as S)</v>
      </c>
    </row>
    <row r="1338" spans="1:13" ht="30" x14ac:dyDescent="0.25">
      <c r="A1338" s="359" t="s">
        <v>1849</v>
      </c>
      <c r="B1338" s="359" t="s">
        <v>823</v>
      </c>
      <c r="C1338" s="359" t="s">
        <v>1325</v>
      </c>
      <c r="D1338" s="359" t="s">
        <v>1326</v>
      </c>
      <c r="E1338" s="360"/>
      <c r="F1338" s="359" t="s">
        <v>1473</v>
      </c>
      <c r="G1338" s="361">
        <v>5.4054054054054052E-6</v>
      </c>
      <c r="H1338" s="359" t="s">
        <v>1455</v>
      </c>
      <c r="I1338" s="361">
        <v>1.2529085376767496E-2</v>
      </c>
      <c r="J1338" s="359" t="s">
        <v>1325</v>
      </c>
      <c r="K1338" s="359" t="s">
        <v>1272</v>
      </c>
      <c r="M1338" t="str">
        <f t="shared" si="21"/>
        <v>TOLUENE</v>
      </c>
    </row>
    <row r="1339" spans="1:13" ht="30" x14ac:dyDescent="0.25">
      <c r="A1339" s="359" t="s">
        <v>1849</v>
      </c>
      <c r="B1339" s="359" t="s">
        <v>823</v>
      </c>
      <c r="C1339" s="359" t="s">
        <v>1327</v>
      </c>
      <c r="D1339" s="359" t="s">
        <v>1328</v>
      </c>
      <c r="E1339" s="360"/>
      <c r="F1339" s="359" t="s">
        <v>1473</v>
      </c>
      <c r="G1339" s="361">
        <v>5.4054054054054052E-6</v>
      </c>
      <c r="H1339" s="359" t="s">
        <v>1857</v>
      </c>
      <c r="I1339" s="361">
        <v>2.4968677286558077E-2</v>
      </c>
      <c r="J1339" s="359" t="s">
        <v>1329</v>
      </c>
      <c r="K1339" s="359" t="s">
        <v>1272</v>
      </c>
      <c r="M1339" t="str">
        <f t="shared" si="21"/>
        <v>XYLENES</v>
      </c>
    </row>
    <row r="1340" spans="1:13" ht="30" x14ac:dyDescent="0.25">
      <c r="A1340" s="359" t="s">
        <v>1849</v>
      </c>
      <c r="B1340" s="359" t="s">
        <v>823</v>
      </c>
      <c r="C1340" s="359" t="s">
        <v>1611</v>
      </c>
      <c r="D1340" s="359" t="s">
        <v>1343</v>
      </c>
      <c r="E1340" s="361">
        <v>39.171377565</v>
      </c>
      <c r="F1340" s="359" t="s">
        <v>1473</v>
      </c>
      <c r="G1340" s="361">
        <v>5.4054054054054052E-6</v>
      </c>
      <c r="H1340" s="359" t="s">
        <v>490</v>
      </c>
      <c r="I1340" s="361">
        <v>5.8010185212884113E-7</v>
      </c>
      <c r="J1340" s="359" t="s">
        <v>1611</v>
      </c>
      <c r="K1340" s="359" t="s">
        <v>1277</v>
      </c>
      <c r="M1340" t="str">
        <f t="shared" si="21"/>
        <v>Zinc, total (as Zn)</v>
      </c>
    </row>
    <row r="1341" spans="1:13" ht="30" x14ac:dyDescent="0.25">
      <c r="A1341" s="359" t="s">
        <v>1858</v>
      </c>
      <c r="B1341" s="359" t="s">
        <v>735</v>
      </c>
      <c r="C1341" s="359" t="s">
        <v>1859</v>
      </c>
      <c r="D1341" s="359" t="s">
        <v>490</v>
      </c>
      <c r="E1341" s="361">
        <v>228360.70022999999</v>
      </c>
      <c r="F1341" s="359" t="s">
        <v>1473</v>
      </c>
      <c r="G1341" s="361">
        <v>4.3300295510163335E-6</v>
      </c>
      <c r="H1341" s="359" t="s">
        <v>490</v>
      </c>
      <c r="I1341" s="361">
        <v>2.7090646035251571E-3</v>
      </c>
      <c r="J1341" s="359" t="s">
        <v>1859</v>
      </c>
      <c r="K1341" s="359" t="s">
        <v>1277</v>
      </c>
      <c r="M1341" t="str">
        <f t="shared" si="21"/>
        <v>Alkalinity, phenolphthaline method</v>
      </c>
    </row>
    <row r="1342" spans="1:13" ht="30" x14ac:dyDescent="0.25">
      <c r="A1342" s="359" t="s">
        <v>1858</v>
      </c>
      <c r="B1342" s="359" t="s">
        <v>735</v>
      </c>
      <c r="C1342" s="359" t="s">
        <v>1276</v>
      </c>
      <c r="D1342" s="359" t="s">
        <v>490</v>
      </c>
      <c r="E1342" s="361">
        <v>38775.963718799998</v>
      </c>
      <c r="F1342" s="359" t="s">
        <v>1473</v>
      </c>
      <c r="G1342" s="361">
        <v>4.3300295510163335E-6</v>
      </c>
      <c r="H1342" s="359" t="s">
        <v>490</v>
      </c>
      <c r="I1342" s="361">
        <v>4.6000292814120874E-4</v>
      </c>
      <c r="J1342" s="359" t="s">
        <v>1276</v>
      </c>
      <c r="K1342" s="359" t="s">
        <v>1277</v>
      </c>
      <c r="M1342" t="str">
        <f t="shared" si="21"/>
        <v>BOD, 5-day, 20 deg. C</v>
      </c>
    </row>
    <row r="1343" spans="1:13" ht="30" x14ac:dyDescent="0.25">
      <c r="A1343" s="359" t="s">
        <v>1858</v>
      </c>
      <c r="B1343" s="359" t="s">
        <v>735</v>
      </c>
      <c r="C1343" s="359" t="s">
        <v>1278</v>
      </c>
      <c r="D1343" s="359" t="s">
        <v>1279</v>
      </c>
      <c r="E1343" s="361">
        <v>150673.81747000001</v>
      </c>
      <c r="F1343" s="359" t="s">
        <v>1473</v>
      </c>
      <c r="G1343" s="361">
        <v>4.3300295510163335E-6</v>
      </c>
      <c r="H1343" s="359" t="s">
        <v>490</v>
      </c>
      <c r="I1343" s="361">
        <v>1.7874577594781949E-3</v>
      </c>
      <c r="J1343" s="359" t="s">
        <v>1278</v>
      </c>
      <c r="K1343" s="359" t="s">
        <v>1277</v>
      </c>
      <c r="M1343" t="str">
        <f t="shared" si="21"/>
        <v>Carbon, tot organic (TOC)</v>
      </c>
    </row>
    <row r="1344" spans="1:13" ht="30" x14ac:dyDescent="0.25">
      <c r="A1344" s="359" t="s">
        <v>1858</v>
      </c>
      <c r="B1344" s="359" t="s">
        <v>735</v>
      </c>
      <c r="C1344" s="359" t="s">
        <v>1307</v>
      </c>
      <c r="D1344" s="359" t="s">
        <v>1308</v>
      </c>
      <c r="E1344" s="360"/>
      <c r="F1344" s="359" t="s">
        <v>1473</v>
      </c>
      <c r="G1344" s="361">
        <v>4.3300295510163335E-6</v>
      </c>
      <c r="H1344" s="359" t="s">
        <v>1860</v>
      </c>
      <c r="I1344" s="361">
        <v>350.85928357115245</v>
      </c>
      <c r="J1344" s="359" t="s">
        <v>1310</v>
      </c>
      <c r="K1344" s="359" t="s">
        <v>1272</v>
      </c>
      <c r="M1344" t="str">
        <f t="shared" si="21"/>
        <v>NITRATE</v>
      </c>
    </row>
    <row r="1345" spans="1:13" ht="30" x14ac:dyDescent="0.25">
      <c r="A1345" s="359" t="s">
        <v>1858</v>
      </c>
      <c r="B1345" s="359" t="s">
        <v>735</v>
      </c>
      <c r="C1345" s="359" t="s">
        <v>1311</v>
      </c>
      <c r="D1345" s="359" t="s">
        <v>1312</v>
      </c>
      <c r="E1345" s="361">
        <v>5381.85941043</v>
      </c>
      <c r="F1345" s="359" t="s">
        <v>1473</v>
      </c>
      <c r="G1345" s="361">
        <v>4.3300295510163335E-6</v>
      </c>
      <c r="H1345" s="359" t="s">
        <v>490</v>
      </c>
      <c r="I1345" s="361">
        <v>6.3845507634458201E-5</v>
      </c>
      <c r="J1345" s="359" t="s">
        <v>1313</v>
      </c>
      <c r="K1345" s="359" t="s">
        <v>1277</v>
      </c>
      <c r="M1345" t="str">
        <f t="shared" si="21"/>
        <v>AMMONIA</v>
      </c>
    </row>
    <row r="1346" spans="1:13" ht="30" x14ac:dyDescent="0.25">
      <c r="A1346" s="359" t="s">
        <v>1858</v>
      </c>
      <c r="B1346" s="359" t="s">
        <v>735</v>
      </c>
      <c r="C1346" s="359" t="s">
        <v>1314</v>
      </c>
      <c r="D1346" s="359" t="s">
        <v>490</v>
      </c>
      <c r="E1346" s="361">
        <v>14823.1292517</v>
      </c>
      <c r="F1346" s="359" t="s">
        <v>1473</v>
      </c>
      <c r="G1346" s="361">
        <v>4.3300295510163335E-6</v>
      </c>
      <c r="H1346" s="359" t="s">
        <v>490</v>
      </c>
      <c r="I1346" s="361">
        <v>1.7584818547505652E-4</v>
      </c>
      <c r="J1346" s="359" t="s">
        <v>1314</v>
      </c>
      <c r="K1346" s="359" t="s">
        <v>1277</v>
      </c>
      <c r="M1346" t="str">
        <f t="shared" si="21"/>
        <v>Oil and grease</v>
      </c>
    </row>
    <row r="1347" spans="1:13" ht="30" x14ac:dyDescent="0.25">
      <c r="A1347" s="359" t="s">
        <v>1858</v>
      </c>
      <c r="B1347" s="359" t="s">
        <v>735</v>
      </c>
      <c r="C1347" s="359" t="s">
        <v>1457</v>
      </c>
      <c r="D1347" s="359" t="s">
        <v>490</v>
      </c>
      <c r="E1347" s="361">
        <v>264924.26303899998</v>
      </c>
      <c r="F1347" s="359" t="s">
        <v>1473</v>
      </c>
      <c r="G1347" s="361">
        <v>4.3300295510163335E-6</v>
      </c>
      <c r="H1347" s="359" t="s">
        <v>490</v>
      </c>
      <c r="I1347" s="361">
        <v>3.1428216102468332E-3</v>
      </c>
      <c r="J1347" s="359" t="s">
        <v>1457</v>
      </c>
      <c r="K1347" s="359" t="s">
        <v>1277</v>
      </c>
      <c r="M1347" t="str">
        <f t="shared" si="21"/>
        <v>Chemical Oxygen Demand (COD)</v>
      </c>
    </row>
    <row r="1348" spans="1:13" ht="30" x14ac:dyDescent="0.25">
      <c r="A1348" s="359" t="s">
        <v>1858</v>
      </c>
      <c r="B1348" s="359" t="s">
        <v>735</v>
      </c>
      <c r="C1348" s="359" t="s">
        <v>1315</v>
      </c>
      <c r="D1348" s="359" t="s">
        <v>1316</v>
      </c>
      <c r="E1348" s="360"/>
      <c r="F1348" s="359" t="s">
        <v>1473</v>
      </c>
      <c r="G1348" s="361">
        <v>4.3300295510163335E-6</v>
      </c>
      <c r="H1348" s="359" t="s">
        <v>1861</v>
      </c>
      <c r="I1348" s="361">
        <v>3.9156657959687444</v>
      </c>
      <c r="J1348" s="359" t="s">
        <v>1315</v>
      </c>
      <c r="K1348" s="359" t="s">
        <v>1272</v>
      </c>
      <c r="M1348" t="str">
        <f t="shared" si="21"/>
        <v>PHENOL</v>
      </c>
    </row>
    <row r="1349" spans="1:13" ht="30" x14ac:dyDescent="0.25">
      <c r="A1349" s="359" t="s">
        <v>1858</v>
      </c>
      <c r="B1349" s="359" t="s">
        <v>735</v>
      </c>
      <c r="C1349" s="359" t="s">
        <v>1318</v>
      </c>
      <c r="D1349" s="359" t="s">
        <v>490</v>
      </c>
      <c r="E1349" s="361">
        <v>44.766439909299997</v>
      </c>
      <c r="F1349" s="359" t="s">
        <v>1473</v>
      </c>
      <c r="G1349" s="361">
        <v>4.3300295510163335E-6</v>
      </c>
      <c r="H1349" s="359" t="s">
        <v>490</v>
      </c>
      <c r="I1349" s="361">
        <v>5.3106851424949569E-7</v>
      </c>
      <c r="J1349" s="359" t="s">
        <v>1318</v>
      </c>
      <c r="K1349" s="359" t="s">
        <v>1277</v>
      </c>
      <c r="M1349" t="str">
        <f t="shared" si="21"/>
        <v>Phenolics, total recoverable</v>
      </c>
    </row>
    <row r="1350" spans="1:13" ht="30" x14ac:dyDescent="0.25">
      <c r="A1350" s="359" t="s">
        <v>1858</v>
      </c>
      <c r="B1350" s="359" t="s">
        <v>735</v>
      </c>
      <c r="C1350" s="359" t="s">
        <v>1322</v>
      </c>
      <c r="D1350" s="359" t="s">
        <v>490</v>
      </c>
      <c r="E1350" s="361">
        <v>84513.832199500001</v>
      </c>
      <c r="F1350" s="359" t="s">
        <v>1473</v>
      </c>
      <c r="G1350" s="361">
        <v>4.3300295510163335E-6</v>
      </c>
      <c r="H1350" s="359" t="s">
        <v>490</v>
      </c>
      <c r="I1350" s="361">
        <v>1.0025955914889609E-3</v>
      </c>
      <c r="J1350" s="359" t="s">
        <v>1322</v>
      </c>
      <c r="K1350" s="359" t="s">
        <v>1277</v>
      </c>
      <c r="M1350" t="str">
        <f t="shared" ref="M1350:M1413" si="22">IF(J1350="",C1350,J1350)</f>
        <v>Solids, total suspended</v>
      </c>
    </row>
    <row r="1351" spans="1:13" ht="30" x14ac:dyDescent="0.25">
      <c r="A1351" s="359" t="s">
        <v>1858</v>
      </c>
      <c r="B1351" s="359" t="s">
        <v>735</v>
      </c>
      <c r="C1351" s="359" t="s">
        <v>1323</v>
      </c>
      <c r="D1351" s="359" t="s">
        <v>1324</v>
      </c>
      <c r="E1351" s="361">
        <v>110.340136054</v>
      </c>
      <c r="F1351" s="359" t="s">
        <v>1473</v>
      </c>
      <c r="G1351" s="361">
        <v>4.3300295510163335E-6</v>
      </c>
      <c r="H1351" s="359" t="s">
        <v>490</v>
      </c>
      <c r="I1351" s="361">
        <v>1.3089754788410487E-6</v>
      </c>
      <c r="J1351" s="359" t="s">
        <v>1323</v>
      </c>
      <c r="K1351" s="359" t="s">
        <v>1277</v>
      </c>
      <c r="M1351" t="str">
        <f t="shared" si="22"/>
        <v>Sulfide, total (as S)</v>
      </c>
    </row>
    <row r="1352" spans="1:13" ht="30" x14ac:dyDescent="0.25">
      <c r="A1352" s="359" t="s">
        <v>1862</v>
      </c>
      <c r="B1352" s="359" t="s">
        <v>732</v>
      </c>
      <c r="C1352" s="359" t="s">
        <v>1276</v>
      </c>
      <c r="D1352" s="359" t="s">
        <v>490</v>
      </c>
      <c r="E1352" s="361">
        <v>0</v>
      </c>
      <c r="F1352" s="359" t="s">
        <v>1346</v>
      </c>
      <c r="G1352" s="361">
        <v>4.4678032185486709E-6</v>
      </c>
      <c r="H1352" s="359" t="s">
        <v>490</v>
      </c>
      <c r="I1352" s="361">
        <v>0</v>
      </c>
      <c r="J1352" s="359" t="s">
        <v>1276</v>
      </c>
      <c r="K1352" s="359" t="s">
        <v>1277</v>
      </c>
      <c r="M1352" t="str">
        <f t="shared" si="22"/>
        <v>BOD, 5-day, 20 deg. C</v>
      </c>
    </row>
    <row r="1353" spans="1:13" ht="30" x14ac:dyDescent="0.25">
      <c r="A1353" s="359" t="s">
        <v>1862</v>
      </c>
      <c r="B1353" s="359" t="s">
        <v>732</v>
      </c>
      <c r="C1353" s="359" t="s">
        <v>1278</v>
      </c>
      <c r="D1353" s="359" t="s">
        <v>1279</v>
      </c>
      <c r="E1353" s="361">
        <v>1716765.7465104999</v>
      </c>
      <c r="F1353" s="359" t="s">
        <v>1346</v>
      </c>
      <c r="G1353" s="361">
        <v>4.4678032185486709E-6</v>
      </c>
      <c r="H1353" s="359" t="s">
        <v>490</v>
      </c>
      <c r="I1353" s="361">
        <v>2.1014168569188283E-2</v>
      </c>
      <c r="J1353" s="359" t="s">
        <v>1278</v>
      </c>
      <c r="K1353" s="359" t="s">
        <v>1277</v>
      </c>
      <c r="M1353" t="str">
        <f t="shared" si="22"/>
        <v>Carbon, tot organic (TOC)</v>
      </c>
    </row>
    <row r="1354" spans="1:13" ht="30" x14ac:dyDescent="0.25">
      <c r="A1354" s="359" t="s">
        <v>1862</v>
      </c>
      <c r="B1354" s="359" t="s">
        <v>732</v>
      </c>
      <c r="C1354" s="359" t="s">
        <v>1467</v>
      </c>
      <c r="D1354" s="359" t="s">
        <v>1441</v>
      </c>
      <c r="E1354" s="361">
        <v>0</v>
      </c>
      <c r="F1354" s="359" t="s">
        <v>1346</v>
      </c>
      <c r="G1354" s="361">
        <v>4.4678032185486709E-6</v>
      </c>
      <c r="H1354" s="359" t="s">
        <v>490</v>
      </c>
      <c r="I1354" s="361">
        <v>0</v>
      </c>
      <c r="J1354" s="359" t="s">
        <v>1467</v>
      </c>
      <c r="K1354" s="359" t="s">
        <v>1277</v>
      </c>
      <c r="M1354" t="str">
        <f t="shared" si="22"/>
        <v>Copper, total (as Cu)</v>
      </c>
    </row>
    <row r="1355" spans="1:13" ht="30" x14ac:dyDescent="0.25">
      <c r="A1355" s="359" t="s">
        <v>1862</v>
      </c>
      <c r="B1355" s="359" t="s">
        <v>732</v>
      </c>
      <c r="C1355" s="359" t="s">
        <v>1311</v>
      </c>
      <c r="D1355" s="359" t="s">
        <v>1312</v>
      </c>
      <c r="E1355" s="361">
        <v>7288.8888888900001</v>
      </c>
      <c r="F1355" s="359" t="s">
        <v>1346</v>
      </c>
      <c r="G1355" s="361">
        <v>4.4678032185486709E-6</v>
      </c>
      <c r="H1355" s="359" t="s">
        <v>490</v>
      </c>
      <c r="I1355" s="361">
        <v>8.9220058184729837E-5</v>
      </c>
      <c r="J1355" s="359" t="s">
        <v>1313</v>
      </c>
      <c r="K1355" s="359" t="s">
        <v>1277</v>
      </c>
      <c r="M1355" t="str">
        <f t="shared" si="22"/>
        <v>AMMONIA</v>
      </c>
    </row>
    <row r="1356" spans="1:13" ht="30" x14ac:dyDescent="0.25">
      <c r="A1356" s="359" t="s">
        <v>1862</v>
      </c>
      <c r="B1356" s="359" t="s">
        <v>732</v>
      </c>
      <c r="C1356" s="359" t="s">
        <v>1314</v>
      </c>
      <c r="D1356" s="359" t="s">
        <v>490</v>
      </c>
      <c r="E1356" s="361">
        <v>530826.56799999997</v>
      </c>
      <c r="F1356" s="359" t="s">
        <v>1346</v>
      </c>
      <c r="G1356" s="361">
        <v>4.4678032185486709E-6</v>
      </c>
      <c r="H1356" s="359" t="s">
        <v>490</v>
      </c>
      <c r="I1356" s="361">
        <v>6.4976127369905335E-3</v>
      </c>
      <c r="J1356" s="359" t="s">
        <v>1314</v>
      </c>
      <c r="K1356" s="359" t="s">
        <v>1277</v>
      </c>
      <c r="M1356" t="str">
        <f t="shared" si="22"/>
        <v>Oil and grease</v>
      </c>
    </row>
    <row r="1357" spans="1:13" ht="30" x14ac:dyDescent="0.25">
      <c r="A1357" s="359" t="s">
        <v>1862</v>
      </c>
      <c r="B1357" s="359" t="s">
        <v>732</v>
      </c>
      <c r="C1357" s="359" t="s">
        <v>1318</v>
      </c>
      <c r="D1357" s="359" t="s">
        <v>490</v>
      </c>
      <c r="E1357" s="361">
        <v>0</v>
      </c>
      <c r="F1357" s="359" t="s">
        <v>1346</v>
      </c>
      <c r="G1357" s="361">
        <v>4.4678032185486709E-6</v>
      </c>
      <c r="H1357" s="359" t="s">
        <v>490</v>
      </c>
      <c r="I1357" s="361">
        <v>0</v>
      </c>
      <c r="J1357" s="359" t="s">
        <v>1318</v>
      </c>
      <c r="K1357" s="359" t="s">
        <v>1277</v>
      </c>
      <c r="M1357" t="str">
        <f t="shared" si="22"/>
        <v>Phenolics, total recoverable</v>
      </c>
    </row>
    <row r="1358" spans="1:13" ht="30" x14ac:dyDescent="0.25">
      <c r="A1358" s="359" t="s">
        <v>1862</v>
      </c>
      <c r="B1358" s="359" t="s">
        <v>732</v>
      </c>
      <c r="C1358" s="359" t="s">
        <v>1322</v>
      </c>
      <c r="D1358" s="359" t="s">
        <v>490</v>
      </c>
      <c r="E1358" s="361">
        <v>169622.67573700001</v>
      </c>
      <c r="F1358" s="359" t="s">
        <v>1346</v>
      </c>
      <c r="G1358" s="361">
        <v>4.4678032185486709E-6</v>
      </c>
      <c r="H1358" s="359" t="s">
        <v>490</v>
      </c>
      <c r="I1358" s="361">
        <v>2.0762759906756334E-3</v>
      </c>
      <c r="J1358" s="359" t="s">
        <v>1322</v>
      </c>
      <c r="K1358" s="359" t="s">
        <v>1277</v>
      </c>
      <c r="M1358" t="str">
        <f t="shared" si="22"/>
        <v>Solids, total suspended</v>
      </c>
    </row>
    <row r="1359" spans="1:13" ht="30" x14ac:dyDescent="0.25">
      <c r="A1359" s="359" t="s">
        <v>1862</v>
      </c>
      <c r="B1359" s="359" t="s">
        <v>732</v>
      </c>
      <c r="C1359" s="359" t="s">
        <v>1323</v>
      </c>
      <c r="D1359" s="359" t="s">
        <v>1324</v>
      </c>
      <c r="E1359" s="361">
        <v>68.888888888899999</v>
      </c>
      <c r="F1359" s="359" t="s">
        <v>1346</v>
      </c>
      <c r="G1359" s="361">
        <v>4.4678032185486709E-6</v>
      </c>
      <c r="H1359" s="359" t="s">
        <v>490</v>
      </c>
      <c r="I1359" s="361">
        <v>8.4323835479471006E-7</v>
      </c>
      <c r="J1359" s="359" t="s">
        <v>1323</v>
      </c>
      <c r="K1359" s="359" t="s">
        <v>1277</v>
      </c>
      <c r="M1359" t="str">
        <f t="shared" si="22"/>
        <v>Sulfide, total (as S)</v>
      </c>
    </row>
    <row r="1360" spans="1:13" ht="30" x14ac:dyDescent="0.25">
      <c r="A1360" s="359" t="s">
        <v>1863</v>
      </c>
      <c r="B1360" s="359" t="s">
        <v>702</v>
      </c>
      <c r="C1360" s="359" t="s">
        <v>1268</v>
      </c>
      <c r="D1360" s="359" t="s">
        <v>1269</v>
      </c>
      <c r="E1360" s="360"/>
      <c r="F1360" s="359" t="s">
        <v>1346</v>
      </c>
      <c r="G1360" s="361">
        <v>1.2091898428053204E-5</v>
      </c>
      <c r="H1360" s="359" t="s">
        <v>1286</v>
      </c>
      <c r="I1360" s="361">
        <v>0</v>
      </c>
      <c r="J1360" s="359" t="s">
        <v>1268</v>
      </c>
      <c r="K1360" s="359" t="s">
        <v>1272</v>
      </c>
      <c r="M1360" t="str">
        <f t="shared" si="22"/>
        <v>1,2,4-TRIMETHYLBENZENE</v>
      </c>
    </row>
    <row r="1361" spans="1:13" ht="30" x14ac:dyDescent="0.25">
      <c r="A1361" s="359" t="s">
        <v>1863</v>
      </c>
      <c r="B1361" s="359" t="s">
        <v>702</v>
      </c>
      <c r="C1361" s="359" t="s">
        <v>1347</v>
      </c>
      <c r="D1361" s="359" t="s">
        <v>1348</v>
      </c>
      <c r="E1361" s="360"/>
      <c r="F1361" s="359" t="s">
        <v>1346</v>
      </c>
      <c r="G1361" s="361">
        <v>1.2091898428053204E-5</v>
      </c>
      <c r="H1361" s="359" t="s">
        <v>1286</v>
      </c>
      <c r="I1361" s="361">
        <v>0</v>
      </c>
      <c r="J1361" s="359" t="s">
        <v>1347</v>
      </c>
      <c r="K1361" s="359" t="s">
        <v>1272</v>
      </c>
      <c r="M1361" t="str">
        <f t="shared" si="22"/>
        <v>1,3-BUTADIENE</v>
      </c>
    </row>
    <row r="1362" spans="1:13" ht="30" x14ac:dyDescent="0.25">
      <c r="A1362" s="359" t="s">
        <v>1863</v>
      </c>
      <c r="B1362" s="359" t="s">
        <v>702</v>
      </c>
      <c r="C1362" s="359" t="s">
        <v>1313</v>
      </c>
      <c r="D1362" s="359" t="s">
        <v>1312</v>
      </c>
      <c r="E1362" s="360"/>
      <c r="F1362" s="359" t="s">
        <v>1346</v>
      </c>
      <c r="G1362" s="361">
        <v>1.2091898428053204E-5</v>
      </c>
      <c r="H1362" s="359" t="s">
        <v>1286</v>
      </c>
      <c r="I1362" s="361">
        <v>0</v>
      </c>
      <c r="J1362" s="359" t="s">
        <v>1313</v>
      </c>
      <c r="K1362" s="359" t="s">
        <v>1272</v>
      </c>
      <c r="M1362" t="str">
        <f t="shared" si="22"/>
        <v>AMMONIA</v>
      </c>
    </row>
    <row r="1363" spans="1:13" ht="30" x14ac:dyDescent="0.25">
      <c r="A1363" s="359" t="s">
        <v>1863</v>
      </c>
      <c r="B1363" s="359" t="s">
        <v>702</v>
      </c>
      <c r="C1363" s="359" t="s">
        <v>1273</v>
      </c>
      <c r="D1363" s="359" t="s">
        <v>1274</v>
      </c>
      <c r="E1363" s="360"/>
      <c r="F1363" s="359" t="s">
        <v>1346</v>
      </c>
      <c r="G1363" s="361">
        <v>1.2091898428053204E-5</v>
      </c>
      <c r="H1363" s="359" t="s">
        <v>1286</v>
      </c>
      <c r="I1363" s="361">
        <v>0</v>
      </c>
      <c r="J1363" s="359" t="s">
        <v>1273</v>
      </c>
      <c r="K1363" s="359" t="s">
        <v>1272</v>
      </c>
      <c r="M1363" t="str">
        <f t="shared" si="22"/>
        <v>BENZENE</v>
      </c>
    </row>
    <row r="1364" spans="1:13" ht="30" x14ac:dyDescent="0.25">
      <c r="A1364" s="359" t="s">
        <v>1863</v>
      </c>
      <c r="B1364" s="359" t="s">
        <v>702</v>
      </c>
      <c r="C1364" s="359" t="s">
        <v>1352</v>
      </c>
      <c r="D1364" s="359" t="s">
        <v>1353</v>
      </c>
      <c r="E1364" s="360"/>
      <c r="F1364" s="359" t="s">
        <v>1346</v>
      </c>
      <c r="G1364" s="361">
        <v>1.2091898428053204E-5</v>
      </c>
      <c r="H1364" s="359" t="s">
        <v>1286</v>
      </c>
      <c r="I1364" s="361">
        <v>0</v>
      </c>
      <c r="J1364" s="359" t="s">
        <v>1352</v>
      </c>
      <c r="K1364" s="359" t="s">
        <v>1272</v>
      </c>
      <c r="M1364" t="str">
        <f t="shared" si="22"/>
        <v>BENZO(G,H,I)PERYLENE</v>
      </c>
    </row>
    <row r="1365" spans="1:13" ht="30" x14ac:dyDescent="0.25">
      <c r="A1365" s="359" t="s">
        <v>1863</v>
      </c>
      <c r="B1365" s="359" t="s">
        <v>702</v>
      </c>
      <c r="C1365" s="359" t="s">
        <v>1485</v>
      </c>
      <c r="D1365" s="359" t="s">
        <v>1486</v>
      </c>
      <c r="E1365" s="360"/>
      <c r="F1365" s="359" t="s">
        <v>1346</v>
      </c>
      <c r="G1365" s="361">
        <v>1.2091898428053204E-5</v>
      </c>
      <c r="H1365" s="359" t="s">
        <v>1286</v>
      </c>
      <c r="I1365" s="361">
        <v>0</v>
      </c>
      <c r="J1365" s="359" t="s">
        <v>1485</v>
      </c>
      <c r="K1365" s="359" t="s">
        <v>1272</v>
      </c>
      <c r="M1365" t="str">
        <f t="shared" si="22"/>
        <v>COBALT AND COBALT COMPOUNDS</v>
      </c>
    </row>
    <row r="1366" spans="1:13" ht="30" x14ac:dyDescent="0.25">
      <c r="A1366" s="359" t="s">
        <v>1863</v>
      </c>
      <c r="B1366" s="359" t="s">
        <v>702</v>
      </c>
      <c r="C1366" s="359" t="s">
        <v>1443</v>
      </c>
      <c r="D1366" s="359" t="s">
        <v>1444</v>
      </c>
      <c r="E1366" s="360"/>
      <c r="F1366" s="359" t="s">
        <v>1346</v>
      </c>
      <c r="G1366" s="361">
        <v>1.2091898428053204E-5</v>
      </c>
      <c r="H1366" s="359" t="s">
        <v>1286</v>
      </c>
      <c r="I1366" s="361">
        <v>0</v>
      </c>
      <c r="J1366" s="359" t="s">
        <v>1445</v>
      </c>
      <c r="K1366" s="359" t="s">
        <v>1272</v>
      </c>
      <c r="M1366" t="str">
        <f t="shared" si="22"/>
        <v>CRESOL(S)</v>
      </c>
    </row>
    <row r="1367" spans="1:13" ht="30" x14ac:dyDescent="0.25">
      <c r="A1367" s="359" t="s">
        <v>1863</v>
      </c>
      <c r="B1367" s="359" t="s">
        <v>702</v>
      </c>
      <c r="C1367" s="359" t="s">
        <v>1291</v>
      </c>
      <c r="D1367" s="359" t="s">
        <v>1292</v>
      </c>
      <c r="E1367" s="360"/>
      <c r="F1367" s="359" t="s">
        <v>1346</v>
      </c>
      <c r="G1367" s="361">
        <v>1.2091898428053204E-5</v>
      </c>
      <c r="H1367" s="359" t="s">
        <v>1286</v>
      </c>
      <c r="I1367" s="361">
        <v>0</v>
      </c>
      <c r="J1367" s="359" t="s">
        <v>1291</v>
      </c>
      <c r="K1367" s="359" t="s">
        <v>1272</v>
      </c>
      <c r="M1367" t="str">
        <f t="shared" si="22"/>
        <v>CYCLOHEXANE</v>
      </c>
    </row>
    <row r="1368" spans="1:13" ht="30" x14ac:dyDescent="0.25">
      <c r="A1368" s="359" t="s">
        <v>1863</v>
      </c>
      <c r="B1368" s="359" t="s">
        <v>702</v>
      </c>
      <c r="C1368" s="359" t="s">
        <v>1295</v>
      </c>
      <c r="D1368" s="359" t="s">
        <v>1296</v>
      </c>
      <c r="E1368" s="360"/>
      <c r="F1368" s="359" t="s">
        <v>1346</v>
      </c>
      <c r="G1368" s="361">
        <v>1.2091898428053204E-5</v>
      </c>
      <c r="H1368" s="359" t="s">
        <v>1286</v>
      </c>
      <c r="I1368" s="361">
        <v>0</v>
      </c>
      <c r="J1368" s="359" t="s">
        <v>1295</v>
      </c>
      <c r="K1368" s="359" t="s">
        <v>1272</v>
      </c>
      <c r="M1368" t="str">
        <f t="shared" si="22"/>
        <v>ETHYLBENZENE</v>
      </c>
    </row>
    <row r="1369" spans="1:13" ht="30" x14ac:dyDescent="0.25">
      <c r="A1369" s="359" t="s">
        <v>1863</v>
      </c>
      <c r="B1369" s="359" t="s">
        <v>702</v>
      </c>
      <c r="C1369" s="359" t="s">
        <v>1365</v>
      </c>
      <c r="D1369" s="359" t="s">
        <v>1366</v>
      </c>
      <c r="E1369" s="360"/>
      <c r="F1369" s="359" t="s">
        <v>1346</v>
      </c>
      <c r="G1369" s="361">
        <v>1.2091898428053204E-5</v>
      </c>
      <c r="H1369" s="359" t="s">
        <v>1286</v>
      </c>
      <c r="I1369" s="361">
        <v>0</v>
      </c>
      <c r="J1369" s="359" t="s">
        <v>1028</v>
      </c>
      <c r="K1369" s="359" t="s">
        <v>1272</v>
      </c>
      <c r="M1369" t="str">
        <f t="shared" si="22"/>
        <v>ETHENE</v>
      </c>
    </row>
    <row r="1370" spans="1:13" ht="30" x14ac:dyDescent="0.25">
      <c r="A1370" s="359" t="s">
        <v>1863</v>
      </c>
      <c r="B1370" s="359" t="s">
        <v>702</v>
      </c>
      <c r="C1370" s="359" t="s">
        <v>1367</v>
      </c>
      <c r="D1370" s="359" t="s">
        <v>1368</v>
      </c>
      <c r="E1370" s="360"/>
      <c r="F1370" s="359" t="s">
        <v>1346</v>
      </c>
      <c r="G1370" s="361">
        <v>1.2091898428053204E-5</v>
      </c>
      <c r="H1370" s="359" t="s">
        <v>1286</v>
      </c>
      <c r="I1370" s="361">
        <v>0</v>
      </c>
      <c r="J1370" s="359" t="s">
        <v>1367</v>
      </c>
      <c r="K1370" s="359" t="s">
        <v>1272</v>
      </c>
      <c r="M1370" t="str">
        <f t="shared" si="22"/>
        <v>ETHYLENE GLYCOL</v>
      </c>
    </row>
    <row r="1371" spans="1:13" ht="30" x14ac:dyDescent="0.25">
      <c r="A1371" s="359" t="s">
        <v>1863</v>
      </c>
      <c r="B1371" s="359" t="s">
        <v>702</v>
      </c>
      <c r="C1371" s="359" t="s">
        <v>1488</v>
      </c>
      <c r="D1371" s="359" t="s">
        <v>1489</v>
      </c>
      <c r="E1371" s="360"/>
      <c r="F1371" s="359" t="s">
        <v>1346</v>
      </c>
      <c r="G1371" s="361">
        <v>1.2091898428053204E-5</v>
      </c>
      <c r="H1371" s="359" t="s">
        <v>1286</v>
      </c>
      <c r="I1371" s="361">
        <v>0</v>
      </c>
      <c r="J1371" s="359" t="s">
        <v>1490</v>
      </c>
      <c r="K1371" s="359" t="s">
        <v>1272</v>
      </c>
      <c r="M1371" t="str">
        <f t="shared" si="22"/>
        <v>HYDROFLUORIC ACID</v>
      </c>
    </row>
    <row r="1372" spans="1:13" ht="30" x14ac:dyDescent="0.25">
      <c r="A1372" s="359" t="s">
        <v>1863</v>
      </c>
      <c r="B1372" s="359" t="s">
        <v>702</v>
      </c>
      <c r="C1372" s="359" t="s">
        <v>1297</v>
      </c>
      <c r="D1372" s="359" t="s">
        <v>1298</v>
      </c>
      <c r="E1372" s="360"/>
      <c r="F1372" s="359" t="s">
        <v>1346</v>
      </c>
      <c r="G1372" s="361">
        <v>1.2091898428053204E-5</v>
      </c>
      <c r="H1372" s="359" t="s">
        <v>1286</v>
      </c>
      <c r="I1372" s="361">
        <v>0</v>
      </c>
      <c r="J1372" s="359" t="s">
        <v>1297</v>
      </c>
      <c r="K1372" s="359" t="s">
        <v>1272</v>
      </c>
      <c r="M1372" t="str">
        <f t="shared" si="22"/>
        <v>LEAD AND LEAD COMPOUNDS</v>
      </c>
    </row>
    <row r="1373" spans="1:13" ht="30" x14ac:dyDescent="0.25">
      <c r="A1373" s="359" t="s">
        <v>1863</v>
      </c>
      <c r="B1373" s="359" t="s">
        <v>702</v>
      </c>
      <c r="C1373" s="359" t="s">
        <v>1300</v>
      </c>
      <c r="D1373" s="359" t="s">
        <v>1301</v>
      </c>
      <c r="E1373" s="360"/>
      <c r="F1373" s="359" t="s">
        <v>1346</v>
      </c>
      <c r="G1373" s="361">
        <v>1.2091898428053204E-5</v>
      </c>
      <c r="H1373" s="359" t="s">
        <v>1286</v>
      </c>
      <c r="I1373" s="361">
        <v>0</v>
      </c>
      <c r="J1373" s="359" t="s">
        <v>1300</v>
      </c>
      <c r="K1373" s="359" t="s">
        <v>1272</v>
      </c>
      <c r="M1373" t="str">
        <f t="shared" si="22"/>
        <v>MERCURY AND MERCURY COMPOUNDS</v>
      </c>
    </row>
    <row r="1374" spans="1:13" ht="30" x14ac:dyDescent="0.25">
      <c r="A1374" s="359" t="s">
        <v>1863</v>
      </c>
      <c r="B1374" s="359" t="s">
        <v>702</v>
      </c>
      <c r="C1374" s="359" t="s">
        <v>1375</v>
      </c>
      <c r="D1374" s="359" t="s">
        <v>1376</v>
      </c>
      <c r="E1374" s="360"/>
      <c r="F1374" s="359" t="s">
        <v>1346</v>
      </c>
      <c r="G1374" s="361">
        <v>1.2091898428053204E-5</v>
      </c>
      <c r="H1374" s="359" t="s">
        <v>1286</v>
      </c>
      <c r="I1374" s="361">
        <v>0</v>
      </c>
      <c r="J1374" s="359" t="s">
        <v>1375</v>
      </c>
      <c r="K1374" s="359" t="s">
        <v>1272</v>
      </c>
      <c r="M1374" t="str">
        <f t="shared" si="22"/>
        <v>METHANOL</v>
      </c>
    </row>
    <row r="1375" spans="1:13" ht="30" x14ac:dyDescent="0.25">
      <c r="A1375" s="359" t="s">
        <v>1863</v>
      </c>
      <c r="B1375" s="359" t="s">
        <v>702</v>
      </c>
      <c r="C1375" s="359" t="s">
        <v>1381</v>
      </c>
      <c r="D1375" s="359" t="s">
        <v>1382</v>
      </c>
      <c r="E1375" s="360"/>
      <c r="F1375" s="359" t="s">
        <v>1346</v>
      </c>
      <c r="G1375" s="361">
        <v>1.2091898428053204E-5</v>
      </c>
      <c r="H1375" s="359" t="s">
        <v>1286</v>
      </c>
      <c r="I1375" s="361">
        <v>0</v>
      </c>
      <c r="J1375" s="359" t="s">
        <v>1381</v>
      </c>
      <c r="K1375" s="359" t="s">
        <v>1272</v>
      </c>
      <c r="M1375" t="str">
        <f t="shared" si="22"/>
        <v>MOLYBDENUM TRIOXIDE</v>
      </c>
    </row>
    <row r="1376" spans="1:13" ht="30" x14ac:dyDescent="0.25">
      <c r="A1376" s="359" t="s">
        <v>1863</v>
      </c>
      <c r="B1376" s="359" t="s">
        <v>702</v>
      </c>
      <c r="C1376" s="359" t="s">
        <v>1303</v>
      </c>
      <c r="D1376" s="359" t="s">
        <v>1304</v>
      </c>
      <c r="E1376" s="360"/>
      <c r="F1376" s="359" t="s">
        <v>1346</v>
      </c>
      <c r="G1376" s="361">
        <v>1.2091898428053204E-5</v>
      </c>
      <c r="H1376" s="359" t="s">
        <v>1286</v>
      </c>
      <c r="I1376" s="361">
        <v>0</v>
      </c>
      <c r="J1376" s="359" t="s">
        <v>1303</v>
      </c>
      <c r="K1376" s="359" t="s">
        <v>1272</v>
      </c>
      <c r="M1376" t="str">
        <f t="shared" si="22"/>
        <v>NAPHTHALENE</v>
      </c>
    </row>
    <row r="1377" spans="1:13" ht="30" x14ac:dyDescent="0.25">
      <c r="A1377" s="359" t="s">
        <v>1863</v>
      </c>
      <c r="B1377" s="359" t="s">
        <v>702</v>
      </c>
      <c r="C1377" s="359" t="s">
        <v>1305</v>
      </c>
      <c r="D1377" s="359" t="s">
        <v>1306</v>
      </c>
      <c r="E1377" s="360"/>
      <c r="F1377" s="359" t="s">
        <v>1346</v>
      </c>
      <c r="G1377" s="361">
        <v>1.2091898428053204E-5</v>
      </c>
      <c r="H1377" s="359" t="s">
        <v>1286</v>
      </c>
      <c r="I1377" s="361">
        <v>0</v>
      </c>
      <c r="J1377" s="359" t="s">
        <v>1305</v>
      </c>
      <c r="K1377" s="359" t="s">
        <v>1272</v>
      </c>
      <c r="M1377" t="str">
        <f t="shared" si="22"/>
        <v>N-HEXANE</v>
      </c>
    </row>
    <row r="1378" spans="1:13" ht="30" x14ac:dyDescent="0.25">
      <c r="A1378" s="359" t="s">
        <v>1863</v>
      </c>
      <c r="B1378" s="359" t="s">
        <v>702</v>
      </c>
      <c r="C1378" s="359" t="s">
        <v>1384</v>
      </c>
      <c r="D1378" s="359" t="s">
        <v>1385</v>
      </c>
      <c r="E1378" s="360"/>
      <c r="F1378" s="359" t="s">
        <v>1346</v>
      </c>
      <c r="G1378" s="361">
        <v>1.2091898428053204E-5</v>
      </c>
      <c r="H1378" s="359" t="s">
        <v>1286</v>
      </c>
      <c r="I1378" s="361">
        <v>0</v>
      </c>
      <c r="J1378" s="359" t="s">
        <v>1384</v>
      </c>
      <c r="K1378" s="359" t="s">
        <v>1272</v>
      </c>
      <c r="M1378" t="str">
        <f t="shared" si="22"/>
        <v>NICKEL AND NICKEL COMPOUNDS</v>
      </c>
    </row>
    <row r="1379" spans="1:13" ht="30" x14ac:dyDescent="0.25">
      <c r="A1379" s="359" t="s">
        <v>1863</v>
      </c>
      <c r="B1379" s="359" t="s">
        <v>702</v>
      </c>
      <c r="C1379" s="359" t="s">
        <v>1319</v>
      </c>
      <c r="D1379" s="359" t="s">
        <v>1320</v>
      </c>
      <c r="E1379" s="360"/>
      <c r="F1379" s="359" t="s">
        <v>1346</v>
      </c>
      <c r="G1379" s="361">
        <v>1.2091898428053204E-5</v>
      </c>
      <c r="H1379" s="359" t="s">
        <v>1286</v>
      </c>
      <c r="I1379" s="361">
        <v>0</v>
      </c>
      <c r="J1379" s="359" t="s">
        <v>1319</v>
      </c>
      <c r="K1379" s="359" t="s">
        <v>1272</v>
      </c>
      <c r="M1379" t="str">
        <f t="shared" si="22"/>
        <v>POLYCYCLIC AROMATIC COMPOUNDS</v>
      </c>
    </row>
    <row r="1380" spans="1:13" ht="30" x14ac:dyDescent="0.25">
      <c r="A1380" s="359" t="s">
        <v>1863</v>
      </c>
      <c r="B1380" s="359" t="s">
        <v>702</v>
      </c>
      <c r="C1380" s="359" t="s">
        <v>1425</v>
      </c>
      <c r="D1380" s="359" t="s">
        <v>1426</v>
      </c>
      <c r="E1380" s="360"/>
      <c r="F1380" s="359" t="s">
        <v>1346</v>
      </c>
      <c r="G1380" s="361">
        <v>1.2091898428053204E-5</v>
      </c>
      <c r="H1380" s="359" t="s">
        <v>1286</v>
      </c>
      <c r="I1380" s="361">
        <v>0</v>
      </c>
      <c r="J1380" s="359" t="s">
        <v>1425</v>
      </c>
      <c r="K1380" s="359" t="s">
        <v>1272</v>
      </c>
      <c r="M1380" t="str">
        <f t="shared" si="22"/>
        <v>PROPYLENE</v>
      </c>
    </row>
    <row r="1381" spans="1:13" ht="30" x14ac:dyDescent="0.25">
      <c r="A1381" s="359" t="s">
        <v>1863</v>
      </c>
      <c r="B1381" s="359" t="s">
        <v>702</v>
      </c>
      <c r="C1381" s="359" t="s">
        <v>1396</v>
      </c>
      <c r="D1381" s="359" t="s">
        <v>1397</v>
      </c>
      <c r="E1381" s="360"/>
      <c r="F1381" s="359" t="s">
        <v>1346</v>
      </c>
      <c r="G1381" s="361">
        <v>1.2091898428053204E-5</v>
      </c>
      <c r="H1381" s="359" t="s">
        <v>1286</v>
      </c>
      <c r="I1381" s="361">
        <v>0</v>
      </c>
      <c r="J1381" s="359" t="s">
        <v>1398</v>
      </c>
      <c r="K1381" s="359" t="s">
        <v>1272</v>
      </c>
      <c r="M1381" t="str">
        <f t="shared" si="22"/>
        <v>PERCHLOROETHYLENE</v>
      </c>
    </row>
    <row r="1382" spans="1:13" ht="30" x14ac:dyDescent="0.25">
      <c r="A1382" s="359" t="s">
        <v>1863</v>
      </c>
      <c r="B1382" s="359" t="s">
        <v>702</v>
      </c>
      <c r="C1382" s="359" t="s">
        <v>1325</v>
      </c>
      <c r="D1382" s="359" t="s">
        <v>1326</v>
      </c>
      <c r="E1382" s="360"/>
      <c r="F1382" s="359" t="s">
        <v>1346</v>
      </c>
      <c r="G1382" s="361">
        <v>1.2091898428053204E-5</v>
      </c>
      <c r="H1382" s="359" t="s">
        <v>1286</v>
      </c>
      <c r="I1382" s="361">
        <v>0</v>
      </c>
      <c r="J1382" s="359" t="s">
        <v>1325</v>
      </c>
      <c r="K1382" s="359" t="s">
        <v>1272</v>
      </c>
      <c r="M1382" t="str">
        <f t="shared" si="22"/>
        <v>TOLUENE</v>
      </c>
    </row>
    <row r="1383" spans="1:13" ht="30" x14ac:dyDescent="0.25">
      <c r="A1383" s="359" t="s">
        <v>1863</v>
      </c>
      <c r="B1383" s="359" t="s">
        <v>702</v>
      </c>
      <c r="C1383" s="359" t="s">
        <v>1327</v>
      </c>
      <c r="D1383" s="359" t="s">
        <v>1328</v>
      </c>
      <c r="E1383" s="360"/>
      <c r="F1383" s="359" t="s">
        <v>1346</v>
      </c>
      <c r="G1383" s="361">
        <v>1.2091898428053204E-5</v>
      </c>
      <c r="H1383" s="359" t="s">
        <v>1286</v>
      </c>
      <c r="I1383" s="361">
        <v>0</v>
      </c>
      <c r="J1383" s="359" t="s">
        <v>1329</v>
      </c>
      <c r="K1383" s="359" t="s">
        <v>1272</v>
      </c>
      <c r="M1383" t="str">
        <f t="shared" si="22"/>
        <v>XYLENES</v>
      </c>
    </row>
    <row r="1384" spans="1:13" ht="30" x14ac:dyDescent="0.25">
      <c r="A1384" s="359" t="s">
        <v>1863</v>
      </c>
      <c r="B1384" s="359" t="s">
        <v>702</v>
      </c>
      <c r="C1384" s="359" t="s">
        <v>1342</v>
      </c>
      <c r="D1384" s="359" t="s">
        <v>1343</v>
      </c>
      <c r="E1384" s="360"/>
      <c r="F1384" s="359" t="s">
        <v>1346</v>
      </c>
      <c r="G1384" s="361">
        <v>1.2091898428053204E-5</v>
      </c>
      <c r="H1384" s="359" t="s">
        <v>1286</v>
      </c>
      <c r="I1384" s="361">
        <v>0</v>
      </c>
      <c r="J1384" s="359" t="s">
        <v>1342</v>
      </c>
      <c r="K1384" s="359" t="s">
        <v>1272</v>
      </c>
      <c r="M1384" t="str">
        <f t="shared" si="22"/>
        <v>ZINC AND ZINC COMPOUNDS</v>
      </c>
    </row>
    <row r="1385" spans="1:13" x14ac:dyDescent="0.25">
      <c r="A1385" s="359" t="s">
        <v>1864</v>
      </c>
      <c r="B1385" s="359" t="s">
        <v>899</v>
      </c>
      <c r="C1385" s="359" t="s">
        <v>1313</v>
      </c>
      <c r="D1385" s="359" t="s">
        <v>1312</v>
      </c>
      <c r="E1385" s="360"/>
      <c r="F1385" s="359" t="s">
        <v>1270</v>
      </c>
      <c r="G1385" s="361">
        <v>7.8266104756170981E-5</v>
      </c>
      <c r="H1385" s="359" t="s">
        <v>1865</v>
      </c>
      <c r="I1385" s="361">
        <v>55.2281399141186</v>
      </c>
      <c r="J1385" s="359" t="s">
        <v>1313</v>
      </c>
      <c r="K1385" s="359" t="s">
        <v>1272</v>
      </c>
      <c r="M1385" t="str">
        <f t="shared" si="22"/>
        <v>AMMONIA</v>
      </c>
    </row>
    <row r="1386" spans="1:13" ht="30" x14ac:dyDescent="0.25">
      <c r="A1386" s="359" t="s">
        <v>1866</v>
      </c>
      <c r="B1386" s="359" t="s">
        <v>853</v>
      </c>
      <c r="C1386" s="359" t="s">
        <v>1273</v>
      </c>
      <c r="D1386" s="359" t="s">
        <v>1274</v>
      </c>
      <c r="E1386" s="360"/>
      <c r="F1386" s="359" t="s">
        <v>1412</v>
      </c>
      <c r="G1386" s="361">
        <v>8.4410134427104247E-6</v>
      </c>
      <c r="H1386" s="359" t="s">
        <v>1867</v>
      </c>
      <c r="I1386" s="361">
        <v>1.9425511068489221E-3</v>
      </c>
      <c r="J1386" s="359" t="s">
        <v>1273</v>
      </c>
      <c r="K1386" s="359" t="s">
        <v>1272</v>
      </c>
      <c r="M1386" t="str">
        <f t="shared" si="22"/>
        <v>BENZENE</v>
      </c>
    </row>
    <row r="1387" spans="1:13" ht="30" x14ac:dyDescent="0.25">
      <c r="A1387" s="359" t="s">
        <v>1866</v>
      </c>
      <c r="B1387" s="359" t="s">
        <v>853</v>
      </c>
      <c r="C1387" s="359" t="s">
        <v>1295</v>
      </c>
      <c r="D1387" s="359" t="s">
        <v>1296</v>
      </c>
      <c r="E1387" s="360"/>
      <c r="F1387" s="359" t="s">
        <v>1412</v>
      </c>
      <c r="G1387" s="361">
        <v>8.4410134427104247E-6</v>
      </c>
      <c r="H1387" s="359" t="s">
        <v>1868</v>
      </c>
      <c r="I1387" s="361">
        <v>3.7173999598691604E-3</v>
      </c>
      <c r="J1387" s="359" t="s">
        <v>1295</v>
      </c>
      <c r="K1387" s="359" t="s">
        <v>1272</v>
      </c>
      <c r="M1387" t="str">
        <f t="shared" si="22"/>
        <v>ETHYLBENZENE</v>
      </c>
    </row>
    <row r="1388" spans="1:13" ht="30" x14ac:dyDescent="0.25">
      <c r="A1388" s="359" t="s">
        <v>1866</v>
      </c>
      <c r="B1388" s="359" t="s">
        <v>853</v>
      </c>
      <c r="C1388" s="359" t="s">
        <v>1325</v>
      </c>
      <c r="D1388" s="359" t="s">
        <v>1326</v>
      </c>
      <c r="E1388" s="360"/>
      <c r="F1388" s="359" t="s">
        <v>1412</v>
      </c>
      <c r="G1388" s="361">
        <v>8.4410134427104247E-6</v>
      </c>
      <c r="H1388" s="359" t="s">
        <v>1869</v>
      </c>
      <c r="I1388" s="361">
        <v>1.4534195331819275E-3</v>
      </c>
      <c r="J1388" s="359" t="s">
        <v>1325</v>
      </c>
      <c r="K1388" s="359" t="s">
        <v>1272</v>
      </c>
      <c r="M1388" t="str">
        <f t="shared" si="22"/>
        <v>TOLUENE</v>
      </c>
    </row>
    <row r="1389" spans="1:13" ht="30" x14ac:dyDescent="0.25">
      <c r="A1389" s="359" t="s">
        <v>1866</v>
      </c>
      <c r="B1389" s="359" t="s">
        <v>853</v>
      </c>
      <c r="C1389" s="359" t="s">
        <v>1327</v>
      </c>
      <c r="D1389" s="359" t="s">
        <v>1328</v>
      </c>
      <c r="E1389" s="360"/>
      <c r="F1389" s="359" t="s">
        <v>1412</v>
      </c>
      <c r="G1389" s="361">
        <v>8.4410134427104247E-6</v>
      </c>
      <c r="H1389" s="359" t="s">
        <v>1870</v>
      </c>
      <c r="I1389" s="361">
        <v>9.1956735849395028E-3</v>
      </c>
      <c r="J1389" s="359" t="s">
        <v>1329</v>
      </c>
      <c r="K1389" s="359" t="s">
        <v>1272</v>
      </c>
      <c r="M1389" t="str">
        <f t="shared" si="22"/>
        <v>XYLENES</v>
      </c>
    </row>
    <row r="1390" spans="1:13" ht="30" x14ac:dyDescent="0.25">
      <c r="A1390" s="359" t="s">
        <v>1871</v>
      </c>
      <c r="B1390" s="359" t="s">
        <v>772</v>
      </c>
      <c r="C1390" s="359" t="s">
        <v>1268</v>
      </c>
      <c r="D1390" s="359" t="s">
        <v>1269</v>
      </c>
      <c r="E1390" s="360"/>
      <c r="F1390" s="359" t="s">
        <v>1412</v>
      </c>
      <c r="G1390" s="361">
        <v>3.9258236338528303E-6</v>
      </c>
      <c r="H1390" s="359" t="s">
        <v>1872</v>
      </c>
      <c r="I1390" s="361">
        <v>8.7096087241105832E-2</v>
      </c>
      <c r="J1390" s="359" t="s">
        <v>1268</v>
      </c>
      <c r="K1390" s="359" t="s">
        <v>1272</v>
      </c>
      <c r="M1390" t="str">
        <f t="shared" si="22"/>
        <v>1,2,4-TRIMETHYLBENZENE</v>
      </c>
    </row>
    <row r="1391" spans="1:13" ht="30" x14ac:dyDescent="0.25">
      <c r="A1391" s="359" t="s">
        <v>1871</v>
      </c>
      <c r="B1391" s="359" t="s">
        <v>772</v>
      </c>
      <c r="C1391" s="359" t="s">
        <v>1347</v>
      </c>
      <c r="D1391" s="359" t="s">
        <v>1348</v>
      </c>
      <c r="E1391" s="360"/>
      <c r="F1391" s="359" t="s">
        <v>1412</v>
      </c>
      <c r="G1391" s="361">
        <v>3.9258236338528303E-6</v>
      </c>
      <c r="H1391" s="359" t="s">
        <v>1286</v>
      </c>
      <c r="I1391" s="361">
        <v>0</v>
      </c>
      <c r="J1391" s="359" t="s">
        <v>1347</v>
      </c>
      <c r="K1391" s="359" t="s">
        <v>1272</v>
      </c>
      <c r="M1391" t="str">
        <f t="shared" si="22"/>
        <v>1,3-BUTADIENE</v>
      </c>
    </row>
    <row r="1392" spans="1:13" ht="30" x14ac:dyDescent="0.25">
      <c r="A1392" s="359" t="s">
        <v>1871</v>
      </c>
      <c r="B1392" s="359" t="s">
        <v>772</v>
      </c>
      <c r="C1392" s="359" t="s">
        <v>1313</v>
      </c>
      <c r="D1392" s="359" t="s">
        <v>1312</v>
      </c>
      <c r="E1392" s="360"/>
      <c r="F1392" s="359" t="s">
        <v>1412</v>
      </c>
      <c r="G1392" s="361">
        <v>3.9258236338528303E-6</v>
      </c>
      <c r="H1392" s="359" t="s">
        <v>1873</v>
      </c>
      <c r="I1392" s="361">
        <v>1.4266859066733379</v>
      </c>
      <c r="J1392" s="359" t="s">
        <v>1313</v>
      </c>
      <c r="K1392" s="359" t="s">
        <v>1272</v>
      </c>
      <c r="M1392" t="str">
        <f t="shared" si="22"/>
        <v>AMMONIA</v>
      </c>
    </row>
    <row r="1393" spans="1:13" ht="30" x14ac:dyDescent="0.25">
      <c r="A1393" s="359" t="s">
        <v>1871</v>
      </c>
      <c r="B1393" s="359" t="s">
        <v>772</v>
      </c>
      <c r="C1393" s="359" t="s">
        <v>1273</v>
      </c>
      <c r="D1393" s="359" t="s">
        <v>1274</v>
      </c>
      <c r="E1393" s="360"/>
      <c r="F1393" s="359" t="s">
        <v>1412</v>
      </c>
      <c r="G1393" s="361">
        <v>3.9258236338528303E-6</v>
      </c>
      <c r="H1393" s="359" t="s">
        <v>1351</v>
      </c>
      <c r="I1393" s="361">
        <v>8.4496204039878793E-3</v>
      </c>
      <c r="J1393" s="359" t="s">
        <v>1273</v>
      </c>
      <c r="K1393" s="359" t="s">
        <v>1272</v>
      </c>
      <c r="M1393" t="str">
        <f t="shared" si="22"/>
        <v>BENZENE</v>
      </c>
    </row>
    <row r="1394" spans="1:13" ht="30" x14ac:dyDescent="0.25">
      <c r="A1394" s="359" t="s">
        <v>1871</v>
      </c>
      <c r="B1394" s="359" t="s">
        <v>772</v>
      </c>
      <c r="C1394" s="359" t="s">
        <v>1352</v>
      </c>
      <c r="D1394" s="359" t="s">
        <v>1353</v>
      </c>
      <c r="E1394" s="360"/>
      <c r="F1394" s="359" t="s">
        <v>1412</v>
      </c>
      <c r="G1394" s="361">
        <v>3.9258236338528303E-6</v>
      </c>
      <c r="H1394" s="359" t="s">
        <v>1872</v>
      </c>
      <c r="I1394" s="361">
        <v>8.7096087241105832E-2</v>
      </c>
      <c r="J1394" s="359" t="s">
        <v>1352</v>
      </c>
      <c r="K1394" s="359" t="s">
        <v>1272</v>
      </c>
      <c r="M1394" t="str">
        <f t="shared" si="22"/>
        <v>BENZO(G,H,I)PERYLENE</v>
      </c>
    </row>
    <row r="1395" spans="1:13" ht="30" x14ac:dyDescent="0.25">
      <c r="A1395" s="359" t="s">
        <v>1871</v>
      </c>
      <c r="B1395" s="359" t="s">
        <v>772</v>
      </c>
      <c r="C1395" s="359" t="s">
        <v>1874</v>
      </c>
      <c r="D1395" s="359" t="s">
        <v>490</v>
      </c>
      <c r="E1395" s="361">
        <v>3698.2443935000001</v>
      </c>
      <c r="F1395" s="359" t="s">
        <v>1412</v>
      </c>
      <c r="G1395" s="361">
        <v>3.9258236338528303E-6</v>
      </c>
      <c r="H1395" s="359" t="s">
        <v>490</v>
      </c>
      <c r="I1395" s="361">
        <v>3.97771376541535E-5</v>
      </c>
      <c r="J1395" s="359" t="s">
        <v>1874</v>
      </c>
      <c r="K1395" s="359" t="s">
        <v>1277</v>
      </c>
      <c r="M1395" t="str">
        <f t="shared" si="22"/>
        <v>Chlorine produced oxidants</v>
      </c>
    </row>
    <row r="1396" spans="1:13" ht="30" x14ac:dyDescent="0.25">
      <c r="A1396" s="359" t="s">
        <v>1871</v>
      </c>
      <c r="B1396" s="359" t="s">
        <v>772</v>
      </c>
      <c r="C1396" s="359" t="s">
        <v>1485</v>
      </c>
      <c r="D1396" s="359" t="s">
        <v>1486</v>
      </c>
      <c r="E1396" s="360"/>
      <c r="F1396" s="359" t="s">
        <v>1412</v>
      </c>
      <c r="G1396" s="361">
        <v>3.9258236338528303E-6</v>
      </c>
      <c r="H1396" s="359" t="s">
        <v>1875</v>
      </c>
      <c r="I1396" s="361">
        <v>4.3548043620552916E-2</v>
      </c>
      <c r="J1396" s="359" t="s">
        <v>1485</v>
      </c>
      <c r="K1396" s="359" t="s">
        <v>1272</v>
      </c>
      <c r="M1396" t="str">
        <f t="shared" si="22"/>
        <v>COBALT AND COBALT COMPOUNDS</v>
      </c>
    </row>
    <row r="1397" spans="1:13" ht="30" x14ac:dyDescent="0.25">
      <c r="A1397" s="359" t="s">
        <v>1871</v>
      </c>
      <c r="B1397" s="359" t="s">
        <v>772</v>
      </c>
      <c r="C1397" s="359" t="s">
        <v>1284</v>
      </c>
      <c r="D1397" s="359" t="s">
        <v>1285</v>
      </c>
      <c r="E1397" s="360"/>
      <c r="F1397" s="359" t="s">
        <v>1412</v>
      </c>
      <c r="G1397" s="361">
        <v>3.9258236338528303E-6</v>
      </c>
      <c r="H1397" s="359" t="s">
        <v>1872</v>
      </c>
      <c r="I1397" s="361">
        <v>8.7096087241105832E-2</v>
      </c>
      <c r="J1397" s="359" t="s">
        <v>1287</v>
      </c>
      <c r="K1397" s="359" t="s">
        <v>1272</v>
      </c>
      <c r="M1397" t="str">
        <f t="shared" si="22"/>
        <v>ISOPROPYLBENZENE</v>
      </c>
    </row>
    <row r="1398" spans="1:13" ht="30" x14ac:dyDescent="0.25">
      <c r="A1398" s="359" t="s">
        <v>1871</v>
      </c>
      <c r="B1398" s="359" t="s">
        <v>772</v>
      </c>
      <c r="C1398" s="359" t="s">
        <v>1291</v>
      </c>
      <c r="D1398" s="359" t="s">
        <v>1292</v>
      </c>
      <c r="E1398" s="360"/>
      <c r="F1398" s="359" t="s">
        <v>1412</v>
      </c>
      <c r="G1398" s="361">
        <v>3.9258236338528303E-6</v>
      </c>
      <c r="H1398" s="359" t="s">
        <v>1872</v>
      </c>
      <c r="I1398" s="361">
        <v>8.7096087241105832E-2</v>
      </c>
      <c r="J1398" s="359" t="s">
        <v>1291</v>
      </c>
      <c r="K1398" s="359" t="s">
        <v>1272</v>
      </c>
      <c r="M1398" t="str">
        <f t="shared" si="22"/>
        <v>CYCLOHEXANE</v>
      </c>
    </row>
    <row r="1399" spans="1:13" ht="30" x14ac:dyDescent="0.25">
      <c r="A1399" s="359" t="s">
        <v>1871</v>
      </c>
      <c r="B1399" s="359" t="s">
        <v>772</v>
      </c>
      <c r="C1399" s="359" t="s">
        <v>1293</v>
      </c>
      <c r="D1399" s="359" t="s">
        <v>1294</v>
      </c>
      <c r="E1399" s="360"/>
      <c r="F1399" s="359" t="s">
        <v>1412</v>
      </c>
      <c r="G1399" s="361">
        <v>3.9258236338528303E-6</v>
      </c>
      <c r="H1399" s="359" t="s">
        <v>1351</v>
      </c>
      <c r="I1399" s="361">
        <v>8.4496204039878793E-3</v>
      </c>
      <c r="J1399" s="359" t="s">
        <v>1293</v>
      </c>
      <c r="K1399" s="359" t="s">
        <v>1272</v>
      </c>
      <c r="M1399" t="str">
        <f t="shared" si="22"/>
        <v>DIETHANOLAMINE</v>
      </c>
    </row>
    <row r="1400" spans="1:13" ht="30" x14ac:dyDescent="0.25">
      <c r="A1400" s="359" t="s">
        <v>1871</v>
      </c>
      <c r="B1400" s="359" t="s">
        <v>772</v>
      </c>
      <c r="C1400" s="359" t="s">
        <v>1362</v>
      </c>
      <c r="D1400" s="359" t="s">
        <v>1363</v>
      </c>
      <c r="E1400" s="360"/>
      <c r="F1400" s="359" t="s">
        <v>1412</v>
      </c>
      <c r="G1400" s="361">
        <v>3.9258236338528303E-6</v>
      </c>
      <c r="H1400" s="359" t="s">
        <v>1286</v>
      </c>
      <c r="I1400" s="361">
        <v>0</v>
      </c>
      <c r="J1400" s="359" t="s">
        <v>1362</v>
      </c>
      <c r="K1400" s="359" t="s">
        <v>1272</v>
      </c>
      <c r="M1400" t="str">
        <f t="shared" si="22"/>
        <v>DIOXIN AND DIOXIN-LIKE COMPOUNDS</v>
      </c>
    </row>
    <row r="1401" spans="1:13" ht="30" x14ac:dyDescent="0.25">
      <c r="A1401" s="359" t="s">
        <v>1871</v>
      </c>
      <c r="B1401" s="359" t="s">
        <v>772</v>
      </c>
      <c r="C1401" s="359" t="s">
        <v>1295</v>
      </c>
      <c r="D1401" s="359" t="s">
        <v>1296</v>
      </c>
      <c r="E1401" s="360"/>
      <c r="F1401" s="359" t="s">
        <v>1412</v>
      </c>
      <c r="G1401" s="361">
        <v>3.9258236338528303E-6</v>
      </c>
      <c r="H1401" s="359" t="s">
        <v>1351</v>
      </c>
      <c r="I1401" s="361">
        <v>8.4496204039878793E-3</v>
      </c>
      <c r="J1401" s="359" t="s">
        <v>1295</v>
      </c>
      <c r="K1401" s="359" t="s">
        <v>1272</v>
      </c>
      <c r="M1401" t="str">
        <f t="shared" si="22"/>
        <v>ETHYLBENZENE</v>
      </c>
    </row>
    <row r="1402" spans="1:13" ht="30" x14ac:dyDescent="0.25">
      <c r="A1402" s="359" t="s">
        <v>1871</v>
      </c>
      <c r="B1402" s="359" t="s">
        <v>772</v>
      </c>
      <c r="C1402" s="359" t="s">
        <v>1488</v>
      </c>
      <c r="D1402" s="359" t="s">
        <v>1489</v>
      </c>
      <c r="E1402" s="360"/>
      <c r="F1402" s="359" t="s">
        <v>1412</v>
      </c>
      <c r="G1402" s="361">
        <v>3.9258236338528303E-6</v>
      </c>
      <c r="H1402" s="359" t="s">
        <v>1286</v>
      </c>
      <c r="I1402" s="361">
        <v>0</v>
      </c>
      <c r="J1402" s="359" t="s">
        <v>1490</v>
      </c>
      <c r="K1402" s="359" t="s">
        <v>1272</v>
      </c>
      <c r="M1402" t="str">
        <f t="shared" si="22"/>
        <v>HYDROFLUORIC ACID</v>
      </c>
    </row>
    <row r="1403" spans="1:13" ht="30" x14ac:dyDescent="0.25">
      <c r="A1403" s="359" t="s">
        <v>1871</v>
      </c>
      <c r="B1403" s="359" t="s">
        <v>772</v>
      </c>
      <c r="C1403" s="359" t="s">
        <v>1297</v>
      </c>
      <c r="D1403" s="359" t="s">
        <v>1298</v>
      </c>
      <c r="E1403" s="360"/>
      <c r="F1403" s="359" t="s">
        <v>1412</v>
      </c>
      <c r="G1403" s="361">
        <v>3.9258236338528303E-6</v>
      </c>
      <c r="H1403" s="359" t="s">
        <v>1876</v>
      </c>
      <c r="I1403" s="361">
        <v>4.3678037780614271E-2</v>
      </c>
      <c r="J1403" s="359" t="s">
        <v>1297</v>
      </c>
      <c r="K1403" s="359" t="s">
        <v>1272</v>
      </c>
      <c r="M1403" t="str">
        <f t="shared" si="22"/>
        <v>LEAD AND LEAD COMPOUNDS</v>
      </c>
    </row>
    <row r="1404" spans="1:13" ht="30" x14ac:dyDescent="0.25">
      <c r="A1404" s="359" t="s">
        <v>1871</v>
      </c>
      <c r="B1404" s="359" t="s">
        <v>772</v>
      </c>
      <c r="C1404" s="359" t="s">
        <v>1300</v>
      </c>
      <c r="D1404" s="359" t="s">
        <v>1301</v>
      </c>
      <c r="E1404" s="360"/>
      <c r="F1404" s="359" t="s">
        <v>1412</v>
      </c>
      <c r="G1404" s="361">
        <v>3.9258236338528303E-6</v>
      </c>
      <c r="H1404" s="359" t="s">
        <v>1877</v>
      </c>
      <c r="I1404" s="361">
        <v>1.754921160828252E-3</v>
      </c>
      <c r="J1404" s="359" t="s">
        <v>1300</v>
      </c>
      <c r="K1404" s="359" t="s">
        <v>1272</v>
      </c>
      <c r="M1404" t="str">
        <f t="shared" si="22"/>
        <v>MERCURY AND MERCURY COMPOUNDS</v>
      </c>
    </row>
    <row r="1405" spans="1:13" ht="30" x14ac:dyDescent="0.25">
      <c r="A1405" s="359" t="s">
        <v>1871</v>
      </c>
      <c r="B1405" s="359" t="s">
        <v>772</v>
      </c>
      <c r="C1405" s="359" t="s">
        <v>1375</v>
      </c>
      <c r="D1405" s="359" t="s">
        <v>1376</v>
      </c>
      <c r="E1405" s="360"/>
      <c r="F1405" s="359" t="s">
        <v>1412</v>
      </c>
      <c r="G1405" s="361">
        <v>3.9258236338528303E-6</v>
      </c>
      <c r="H1405" s="359" t="s">
        <v>1286</v>
      </c>
      <c r="I1405" s="361">
        <v>0</v>
      </c>
      <c r="J1405" s="359" t="s">
        <v>1375</v>
      </c>
      <c r="K1405" s="359" t="s">
        <v>1272</v>
      </c>
      <c r="M1405" t="str">
        <f t="shared" si="22"/>
        <v>METHANOL</v>
      </c>
    </row>
    <row r="1406" spans="1:13" ht="30" x14ac:dyDescent="0.25">
      <c r="A1406" s="359" t="s">
        <v>1871</v>
      </c>
      <c r="B1406" s="359" t="s">
        <v>772</v>
      </c>
      <c r="C1406" s="359" t="s">
        <v>1303</v>
      </c>
      <c r="D1406" s="359" t="s">
        <v>1304</v>
      </c>
      <c r="E1406" s="360"/>
      <c r="F1406" s="359" t="s">
        <v>1412</v>
      </c>
      <c r="G1406" s="361">
        <v>3.9258236338528303E-6</v>
      </c>
      <c r="H1406" s="359" t="s">
        <v>1872</v>
      </c>
      <c r="I1406" s="361">
        <v>8.7096087241105832E-2</v>
      </c>
      <c r="J1406" s="359" t="s">
        <v>1303</v>
      </c>
      <c r="K1406" s="359" t="s">
        <v>1272</v>
      </c>
      <c r="M1406" t="str">
        <f t="shared" si="22"/>
        <v>NAPHTHALENE</v>
      </c>
    </row>
    <row r="1407" spans="1:13" ht="30" x14ac:dyDescent="0.25">
      <c r="A1407" s="359" t="s">
        <v>1871</v>
      </c>
      <c r="B1407" s="359" t="s">
        <v>772</v>
      </c>
      <c r="C1407" s="359" t="s">
        <v>1305</v>
      </c>
      <c r="D1407" s="359" t="s">
        <v>1306</v>
      </c>
      <c r="E1407" s="360"/>
      <c r="F1407" s="359" t="s">
        <v>1412</v>
      </c>
      <c r="G1407" s="361">
        <v>3.9258236338528303E-6</v>
      </c>
      <c r="H1407" s="359" t="s">
        <v>1872</v>
      </c>
      <c r="I1407" s="361">
        <v>8.7096087241105832E-2</v>
      </c>
      <c r="J1407" s="359" t="s">
        <v>1305</v>
      </c>
      <c r="K1407" s="359" t="s">
        <v>1272</v>
      </c>
      <c r="M1407" t="str">
        <f t="shared" si="22"/>
        <v>N-HEXANE</v>
      </c>
    </row>
    <row r="1408" spans="1:13" ht="30" x14ac:dyDescent="0.25">
      <c r="A1408" s="359" t="s">
        <v>1871</v>
      </c>
      <c r="B1408" s="359" t="s">
        <v>772</v>
      </c>
      <c r="C1408" s="359" t="s">
        <v>1384</v>
      </c>
      <c r="D1408" s="359" t="s">
        <v>1385</v>
      </c>
      <c r="E1408" s="360"/>
      <c r="F1408" s="359" t="s">
        <v>1412</v>
      </c>
      <c r="G1408" s="361">
        <v>3.9258236338528303E-6</v>
      </c>
      <c r="H1408" s="359" t="s">
        <v>1496</v>
      </c>
      <c r="I1408" s="361">
        <v>7.8646466837117956E-2</v>
      </c>
      <c r="J1408" s="359" t="s">
        <v>1384</v>
      </c>
      <c r="K1408" s="359" t="s">
        <v>1272</v>
      </c>
      <c r="M1408" t="str">
        <f t="shared" si="22"/>
        <v>NICKEL AND NICKEL COMPOUNDS</v>
      </c>
    </row>
    <row r="1409" spans="1:13" ht="30" x14ac:dyDescent="0.25">
      <c r="A1409" s="359" t="s">
        <v>1871</v>
      </c>
      <c r="B1409" s="359" t="s">
        <v>772</v>
      </c>
      <c r="C1409" s="359" t="s">
        <v>1307</v>
      </c>
      <c r="D1409" s="359" t="s">
        <v>1308</v>
      </c>
      <c r="E1409" s="360"/>
      <c r="F1409" s="359" t="s">
        <v>1412</v>
      </c>
      <c r="G1409" s="361">
        <v>3.9258236338528303E-6</v>
      </c>
      <c r="H1409" s="359" t="s">
        <v>1878</v>
      </c>
      <c r="I1409" s="361">
        <v>515.815527181844</v>
      </c>
      <c r="J1409" s="359" t="s">
        <v>1310</v>
      </c>
      <c r="K1409" s="359" t="s">
        <v>1272</v>
      </c>
      <c r="M1409" t="str">
        <f t="shared" si="22"/>
        <v>NITRATE</v>
      </c>
    </row>
    <row r="1410" spans="1:13" ht="30" x14ac:dyDescent="0.25">
      <c r="A1410" s="359" t="s">
        <v>1871</v>
      </c>
      <c r="B1410" s="359" t="s">
        <v>772</v>
      </c>
      <c r="C1410" s="359" t="s">
        <v>1460</v>
      </c>
      <c r="D1410" s="359" t="s">
        <v>490</v>
      </c>
      <c r="E1410" s="361">
        <v>3969.1849130000001</v>
      </c>
      <c r="F1410" s="359" t="s">
        <v>1412</v>
      </c>
      <c r="G1410" s="361">
        <v>3.9258236338528303E-6</v>
      </c>
      <c r="H1410" s="359" t="s">
        <v>490</v>
      </c>
      <c r="I1410" s="361">
        <v>4.2691287502979426E-5</v>
      </c>
      <c r="J1410" s="359" t="s">
        <v>1460</v>
      </c>
      <c r="K1410" s="359" t="s">
        <v>1277</v>
      </c>
      <c r="M1410" t="str">
        <f t="shared" si="22"/>
        <v>Oil and grease, hexane extr method</v>
      </c>
    </row>
    <row r="1411" spans="1:13" ht="30" x14ac:dyDescent="0.25">
      <c r="A1411" s="359" t="s">
        <v>1871</v>
      </c>
      <c r="B1411" s="359" t="s">
        <v>772</v>
      </c>
      <c r="C1411" s="359" t="s">
        <v>1457</v>
      </c>
      <c r="D1411" s="359" t="s">
        <v>490</v>
      </c>
      <c r="E1411" s="361">
        <v>40083.005412999999</v>
      </c>
      <c r="F1411" s="359" t="s">
        <v>1412</v>
      </c>
      <c r="G1411" s="361">
        <v>3.9258236338528303E-6</v>
      </c>
      <c r="H1411" s="359" t="s">
        <v>490</v>
      </c>
      <c r="I1411" s="361">
        <v>4.3112002730467486E-4</v>
      </c>
      <c r="J1411" s="359" t="s">
        <v>1457</v>
      </c>
      <c r="K1411" s="359" t="s">
        <v>1277</v>
      </c>
      <c r="M1411" t="str">
        <f t="shared" si="22"/>
        <v>Chemical Oxygen Demand (COD)</v>
      </c>
    </row>
    <row r="1412" spans="1:13" ht="30" x14ac:dyDescent="0.25">
      <c r="A1412" s="359" t="s">
        <v>1871</v>
      </c>
      <c r="B1412" s="359" t="s">
        <v>772</v>
      </c>
      <c r="C1412" s="359" t="s">
        <v>1461</v>
      </c>
      <c r="D1412" s="359" t="s">
        <v>1462</v>
      </c>
      <c r="E1412" s="361">
        <v>5800.6</v>
      </c>
      <c r="F1412" s="359" t="s">
        <v>1412</v>
      </c>
      <c r="G1412" s="361">
        <v>3.9258236338528303E-6</v>
      </c>
      <c r="H1412" s="359" t="s">
        <v>490</v>
      </c>
      <c r="I1412" s="361">
        <v>6.2389404302812964E-5</v>
      </c>
      <c r="J1412" s="359" t="s">
        <v>1463</v>
      </c>
      <c r="K1412" s="359" t="s">
        <v>1277</v>
      </c>
      <c r="M1412" t="str">
        <f t="shared" si="22"/>
        <v>PHOSPHORUS</v>
      </c>
    </row>
    <row r="1413" spans="1:13" ht="30" x14ac:dyDescent="0.25">
      <c r="A1413" s="359" t="s">
        <v>1871</v>
      </c>
      <c r="B1413" s="359" t="s">
        <v>772</v>
      </c>
      <c r="C1413" s="359" t="s">
        <v>1319</v>
      </c>
      <c r="D1413" s="359" t="s">
        <v>1320</v>
      </c>
      <c r="E1413" s="360"/>
      <c r="F1413" s="359" t="s">
        <v>1412</v>
      </c>
      <c r="G1413" s="361">
        <v>3.9258236338528303E-6</v>
      </c>
      <c r="H1413" s="359" t="s">
        <v>1879</v>
      </c>
      <c r="I1413" s="361">
        <v>8.7096087241105829E-3</v>
      </c>
      <c r="J1413" s="359" t="s">
        <v>1319</v>
      </c>
      <c r="K1413" s="359" t="s">
        <v>1272</v>
      </c>
      <c r="M1413" t="str">
        <f t="shared" si="22"/>
        <v>POLYCYCLIC AROMATIC COMPOUNDS</v>
      </c>
    </row>
    <row r="1414" spans="1:13" ht="30" x14ac:dyDescent="0.25">
      <c r="A1414" s="359" t="s">
        <v>1871</v>
      </c>
      <c r="B1414" s="359" t="s">
        <v>772</v>
      </c>
      <c r="C1414" s="359" t="s">
        <v>1322</v>
      </c>
      <c r="D1414" s="359" t="s">
        <v>490</v>
      </c>
      <c r="E1414" s="361">
        <v>14366.588239999999</v>
      </c>
      <c r="F1414" s="359" t="s">
        <v>1412</v>
      </c>
      <c r="G1414" s="361">
        <v>3.9258236338528303E-6</v>
      </c>
      <c r="H1414" s="359" t="s">
        <v>490</v>
      </c>
      <c r="I1414" s="361">
        <v>1.5452244287787436E-4</v>
      </c>
      <c r="J1414" s="359" t="s">
        <v>1322</v>
      </c>
      <c r="K1414" s="359" t="s">
        <v>1277</v>
      </c>
      <c r="M1414" t="str">
        <f t="shared" ref="M1414:M1477" si="23">IF(J1414="",C1414,J1414)</f>
        <v>Solids, total suspended</v>
      </c>
    </row>
    <row r="1415" spans="1:13" ht="30" x14ac:dyDescent="0.25">
      <c r="A1415" s="359" t="s">
        <v>1871</v>
      </c>
      <c r="B1415" s="359" t="s">
        <v>772</v>
      </c>
      <c r="C1415" s="359" t="s">
        <v>1325</v>
      </c>
      <c r="D1415" s="359" t="s">
        <v>1326</v>
      </c>
      <c r="E1415" s="360"/>
      <c r="F1415" s="359" t="s">
        <v>1412</v>
      </c>
      <c r="G1415" s="361">
        <v>3.9258236338528303E-6</v>
      </c>
      <c r="H1415" s="359" t="s">
        <v>1351</v>
      </c>
      <c r="I1415" s="361">
        <v>8.4496204039878793E-3</v>
      </c>
      <c r="J1415" s="359" t="s">
        <v>1325</v>
      </c>
      <c r="K1415" s="359" t="s">
        <v>1272</v>
      </c>
      <c r="M1415" t="str">
        <f t="shared" si="23"/>
        <v>TOLUENE</v>
      </c>
    </row>
    <row r="1416" spans="1:13" ht="30" x14ac:dyDescent="0.25">
      <c r="A1416" s="359" t="s">
        <v>1871</v>
      </c>
      <c r="B1416" s="359" t="s">
        <v>772</v>
      </c>
      <c r="C1416" s="359" t="s">
        <v>1495</v>
      </c>
      <c r="D1416" s="359" t="s">
        <v>1465</v>
      </c>
      <c r="E1416" s="360"/>
      <c r="F1416" s="359" t="s">
        <v>1412</v>
      </c>
      <c r="G1416" s="361">
        <v>3.9258236338528303E-6</v>
      </c>
      <c r="H1416" s="359" t="s">
        <v>1875</v>
      </c>
      <c r="I1416" s="361">
        <v>4.3548043620552916E-2</v>
      </c>
      <c r="J1416" s="359" t="s">
        <v>1495</v>
      </c>
      <c r="K1416" s="359" t="s">
        <v>1272</v>
      </c>
      <c r="M1416" t="str">
        <f t="shared" si="23"/>
        <v>VANADIUM AND VANADIUM COMPOUNDS</v>
      </c>
    </row>
    <row r="1417" spans="1:13" ht="30" x14ac:dyDescent="0.25">
      <c r="A1417" s="359" t="s">
        <v>1871</v>
      </c>
      <c r="B1417" s="359" t="s">
        <v>772</v>
      </c>
      <c r="C1417" s="359" t="s">
        <v>1327</v>
      </c>
      <c r="D1417" s="359" t="s">
        <v>1328</v>
      </c>
      <c r="E1417" s="360"/>
      <c r="F1417" s="359" t="s">
        <v>1412</v>
      </c>
      <c r="G1417" s="361">
        <v>3.9258236338528303E-6</v>
      </c>
      <c r="H1417" s="359" t="s">
        <v>1351</v>
      </c>
      <c r="I1417" s="361">
        <v>8.4496204039878793E-3</v>
      </c>
      <c r="J1417" s="359" t="s">
        <v>1329</v>
      </c>
      <c r="K1417" s="359" t="s">
        <v>1272</v>
      </c>
      <c r="M1417" t="str">
        <f t="shared" si="23"/>
        <v>XYLENES</v>
      </c>
    </row>
    <row r="1418" spans="1:13" x14ac:dyDescent="0.25">
      <c r="A1418" s="359" t="s">
        <v>1880</v>
      </c>
      <c r="B1418" s="359" t="s">
        <v>710</v>
      </c>
      <c r="C1418" s="359" t="s">
        <v>1273</v>
      </c>
      <c r="D1418" s="359" t="s">
        <v>1274</v>
      </c>
      <c r="E1418" s="360"/>
      <c r="F1418" s="359" t="s">
        <v>1286</v>
      </c>
      <c r="G1418" s="361">
        <v>3.0716147127522115E-5</v>
      </c>
      <c r="H1418" s="359" t="s">
        <v>1881</v>
      </c>
      <c r="I1418" s="361">
        <v>8.3401459087973952E-3</v>
      </c>
      <c r="J1418" s="359" t="s">
        <v>1273</v>
      </c>
      <c r="K1418" s="359" t="s">
        <v>1272</v>
      </c>
      <c r="M1418" t="str">
        <f t="shared" si="23"/>
        <v>BENZENE</v>
      </c>
    </row>
    <row r="1419" spans="1:13" x14ac:dyDescent="0.25">
      <c r="A1419" s="359" t="s">
        <v>1880</v>
      </c>
      <c r="B1419" s="359" t="s">
        <v>710</v>
      </c>
      <c r="C1419" s="359" t="s">
        <v>1295</v>
      </c>
      <c r="D1419" s="359" t="s">
        <v>1296</v>
      </c>
      <c r="E1419" s="360"/>
      <c r="F1419" s="359" t="s">
        <v>1286</v>
      </c>
      <c r="G1419" s="361">
        <v>3.0716147127522115E-5</v>
      </c>
      <c r="H1419" s="359" t="s">
        <v>1882</v>
      </c>
      <c r="I1419" s="361">
        <v>1.3985000761702948E-2</v>
      </c>
      <c r="J1419" s="359" t="s">
        <v>1295</v>
      </c>
      <c r="K1419" s="359" t="s">
        <v>1272</v>
      </c>
      <c r="M1419" t="str">
        <f t="shared" si="23"/>
        <v>ETHYLBENZENE</v>
      </c>
    </row>
    <row r="1420" spans="1:13" x14ac:dyDescent="0.25">
      <c r="A1420" s="359" t="s">
        <v>1880</v>
      </c>
      <c r="B1420" s="359" t="s">
        <v>710</v>
      </c>
      <c r="C1420" s="359" t="s">
        <v>1315</v>
      </c>
      <c r="D1420" s="359" t="s">
        <v>1316</v>
      </c>
      <c r="E1420" s="360"/>
      <c r="F1420" s="359" t="s">
        <v>1286</v>
      </c>
      <c r="G1420" s="361">
        <v>3.0716147127522115E-5</v>
      </c>
      <c r="H1420" s="359" t="s">
        <v>1883</v>
      </c>
      <c r="I1420" s="361">
        <v>2.7970001523405902E-3</v>
      </c>
      <c r="J1420" s="359" t="s">
        <v>1315</v>
      </c>
      <c r="K1420" s="359" t="s">
        <v>1272</v>
      </c>
      <c r="M1420" t="str">
        <f t="shared" si="23"/>
        <v>PHENOL</v>
      </c>
    </row>
    <row r="1421" spans="1:13" x14ac:dyDescent="0.25">
      <c r="A1421" s="359" t="s">
        <v>1880</v>
      </c>
      <c r="B1421" s="359" t="s">
        <v>710</v>
      </c>
      <c r="C1421" s="359" t="s">
        <v>1325</v>
      </c>
      <c r="D1421" s="359" t="s">
        <v>1326</v>
      </c>
      <c r="E1421" s="360"/>
      <c r="F1421" s="359" t="s">
        <v>1286</v>
      </c>
      <c r="G1421" s="361">
        <v>3.0716147127522115E-5</v>
      </c>
      <c r="H1421" s="359" t="s">
        <v>1882</v>
      </c>
      <c r="I1421" s="361">
        <v>1.3985000761702948E-2</v>
      </c>
      <c r="J1421" s="359" t="s">
        <v>1325</v>
      </c>
      <c r="K1421" s="359" t="s">
        <v>1272</v>
      </c>
      <c r="M1421" t="str">
        <f t="shared" si="23"/>
        <v>TOLUENE</v>
      </c>
    </row>
    <row r="1422" spans="1:13" x14ac:dyDescent="0.25">
      <c r="A1422" s="359" t="s">
        <v>1880</v>
      </c>
      <c r="B1422" s="359" t="s">
        <v>710</v>
      </c>
      <c r="C1422" s="359" t="s">
        <v>1327</v>
      </c>
      <c r="D1422" s="359" t="s">
        <v>1328</v>
      </c>
      <c r="E1422" s="360"/>
      <c r="F1422" s="359" t="s">
        <v>1286</v>
      </c>
      <c r="G1422" s="361">
        <v>3.0716147127522115E-5</v>
      </c>
      <c r="H1422" s="359" t="s">
        <v>1286</v>
      </c>
      <c r="I1422" s="361">
        <v>0</v>
      </c>
      <c r="J1422" s="359" t="s">
        <v>1329</v>
      </c>
      <c r="K1422" s="359" t="s">
        <v>1272</v>
      </c>
      <c r="M1422" t="str">
        <f t="shared" si="23"/>
        <v>XYLENES</v>
      </c>
    </row>
    <row r="1423" spans="1:13" x14ac:dyDescent="0.25">
      <c r="A1423" s="359" t="s">
        <v>1884</v>
      </c>
      <c r="B1423" s="359" t="s">
        <v>777</v>
      </c>
      <c r="C1423" s="359" t="s">
        <v>1268</v>
      </c>
      <c r="D1423" s="359" t="s">
        <v>1269</v>
      </c>
      <c r="E1423" s="360"/>
      <c r="F1423" s="359" t="s">
        <v>1270</v>
      </c>
      <c r="G1423" s="361">
        <v>3.0515855977427466E-6</v>
      </c>
      <c r="H1423" s="359" t="s">
        <v>1451</v>
      </c>
      <c r="I1423" s="361">
        <v>7.5784410539968868E-3</v>
      </c>
      <c r="J1423" s="359" t="s">
        <v>1268</v>
      </c>
      <c r="K1423" s="359" t="s">
        <v>1272</v>
      </c>
      <c r="M1423" t="str">
        <f t="shared" si="23"/>
        <v>1,2,4-TRIMETHYLBENZENE</v>
      </c>
    </row>
    <row r="1424" spans="1:13" x14ac:dyDescent="0.25">
      <c r="A1424" s="359" t="s">
        <v>1884</v>
      </c>
      <c r="B1424" s="359" t="s">
        <v>777</v>
      </c>
      <c r="C1424" s="359" t="s">
        <v>1347</v>
      </c>
      <c r="D1424" s="359" t="s">
        <v>1348</v>
      </c>
      <c r="E1424" s="360"/>
      <c r="F1424" s="359" t="s">
        <v>1270</v>
      </c>
      <c r="G1424" s="361">
        <v>3.0515855977427466E-6</v>
      </c>
      <c r="H1424" s="359" t="s">
        <v>1286</v>
      </c>
      <c r="I1424" s="361">
        <v>0</v>
      </c>
      <c r="J1424" s="359" t="s">
        <v>1347</v>
      </c>
      <c r="K1424" s="359" t="s">
        <v>1272</v>
      </c>
      <c r="M1424" t="str">
        <f t="shared" si="23"/>
        <v>1,3-BUTADIENE</v>
      </c>
    </row>
    <row r="1425" spans="1:13" x14ac:dyDescent="0.25">
      <c r="A1425" s="359" t="s">
        <v>1884</v>
      </c>
      <c r="B1425" s="359" t="s">
        <v>777</v>
      </c>
      <c r="C1425" s="359" t="s">
        <v>1313</v>
      </c>
      <c r="D1425" s="359" t="s">
        <v>1312</v>
      </c>
      <c r="E1425" s="360"/>
      <c r="F1425" s="359" t="s">
        <v>1270</v>
      </c>
      <c r="G1425" s="361">
        <v>3.0515855977427466E-6</v>
      </c>
      <c r="H1425" s="359" t="s">
        <v>1514</v>
      </c>
      <c r="I1425" s="361">
        <v>5.052294035997925E-2</v>
      </c>
      <c r="J1425" s="359" t="s">
        <v>1313</v>
      </c>
      <c r="K1425" s="359" t="s">
        <v>1272</v>
      </c>
      <c r="M1425" t="str">
        <f t="shared" si="23"/>
        <v>AMMONIA</v>
      </c>
    </row>
    <row r="1426" spans="1:13" x14ac:dyDescent="0.25">
      <c r="A1426" s="359" t="s">
        <v>1884</v>
      </c>
      <c r="B1426" s="359" t="s">
        <v>777</v>
      </c>
      <c r="C1426" s="359" t="s">
        <v>1273</v>
      </c>
      <c r="D1426" s="359" t="s">
        <v>1274</v>
      </c>
      <c r="E1426" s="360"/>
      <c r="F1426" s="359" t="s">
        <v>1270</v>
      </c>
      <c r="G1426" s="361">
        <v>3.0515855977427466E-6</v>
      </c>
      <c r="H1426" s="359" t="s">
        <v>1885</v>
      </c>
      <c r="I1426" s="361">
        <v>0.15156882107993774</v>
      </c>
      <c r="J1426" s="359" t="s">
        <v>1273</v>
      </c>
      <c r="K1426" s="359" t="s">
        <v>1272</v>
      </c>
      <c r="M1426" t="str">
        <f t="shared" si="23"/>
        <v>BENZENE</v>
      </c>
    </row>
    <row r="1427" spans="1:13" x14ac:dyDescent="0.25">
      <c r="A1427" s="359" t="s">
        <v>1884</v>
      </c>
      <c r="B1427" s="359" t="s">
        <v>777</v>
      </c>
      <c r="C1427" s="359" t="s">
        <v>1284</v>
      </c>
      <c r="D1427" s="359" t="s">
        <v>1285</v>
      </c>
      <c r="E1427" s="360"/>
      <c r="F1427" s="359" t="s">
        <v>1270</v>
      </c>
      <c r="G1427" s="361">
        <v>3.0515855977427466E-6</v>
      </c>
      <c r="H1427" s="359" t="s">
        <v>1270</v>
      </c>
      <c r="I1427" s="361">
        <v>1.0104588071995851E-3</v>
      </c>
      <c r="J1427" s="359" t="s">
        <v>1287</v>
      </c>
      <c r="K1427" s="359" t="s">
        <v>1272</v>
      </c>
      <c r="M1427" t="str">
        <f t="shared" si="23"/>
        <v>ISOPROPYLBENZENE</v>
      </c>
    </row>
    <row r="1428" spans="1:13" x14ac:dyDescent="0.25">
      <c r="A1428" s="359" t="s">
        <v>1884</v>
      </c>
      <c r="B1428" s="359" t="s">
        <v>777</v>
      </c>
      <c r="C1428" s="359" t="s">
        <v>1291</v>
      </c>
      <c r="D1428" s="359" t="s">
        <v>1292</v>
      </c>
      <c r="E1428" s="360"/>
      <c r="F1428" s="359" t="s">
        <v>1270</v>
      </c>
      <c r="G1428" s="361">
        <v>3.0515855977427466E-6</v>
      </c>
      <c r="H1428" s="359" t="s">
        <v>1270</v>
      </c>
      <c r="I1428" s="361">
        <v>1.0104588071995851E-3</v>
      </c>
      <c r="J1428" s="359" t="s">
        <v>1291</v>
      </c>
      <c r="K1428" s="359" t="s">
        <v>1272</v>
      </c>
      <c r="M1428" t="str">
        <f t="shared" si="23"/>
        <v>CYCLOHEXANE</v>
      </c>
    </row>
    <row r="1429" spans="1:13" x14ac:dyDescent="0.25">
      <c r="A1429" s="359" t="s">
        <v>1884</v>
      </c>
      <c r="B1429" s="359" t="s">
        <v>777</v>
      </c>
      <c r="C1429" s="359" t="s">
        <v>1295</v>
      </c>
      <c r="D1429" s="359" t="s">
        <v>1296</v>
      </c>
      <c r="E1429" s="360"/>
      <c r="F1429" s="359" t="s">
        <v>1270</v>
      </c>
      <c r="G1429" s="361">
        <v>3.0515855977427466E-6</v>
      </c>
      <c r="H1429" s="359" t="s">
        <v>1886</v>
      </c>
      <c r="I1429" s="361">
        <v>0.1010458807199585</v>
      </c>
      <c r="J1429" s="359" t="s">
        <v>1295</v>
      </c>
      <c r="K1429" s="359" t="s">
        <v>1272</v>
      </c>
      <c r="M1429" t="str">
        <f t="shared" si="23"/>
        <v>ETHYLBENZENE</v>
      </c>
    </row>
    <row r="1430" spans="1:13" x14ac:dyDescent="0.25">
      <c r="A1430" s="359" t="s">
        <v>1884</v>
      </c>
      <c r="B1430" s="359" t="s">
        <v>777</v>
      </c>
      <c r="C1430" s="359" t="s">
        <v>1297</v>
      </c>
      <c r="D1430" s="359" t="s">
        <v>1298</v>
      </c>
      <c r="E1430" s="360"/>
      <c r="F1430" s="359" t="s">
        <v>1270</v>
      </c>
      <c r="G1430" s="361">
        <v>3.0515855977427466E-6</v>
      </c>
      <c r="H1430" s="359" t="s">
        <v>1887</v>
      </c>
      <c r="I1430" s="361">
        <v>5.5575234395977169E-2</v>
      </c>
      <c r="J1430" s="359" t="s">
        <v>1297</v>
      </c>
      <c r="K1430" s="359" t="s">
        <v>1272</v>
      </c>
      <c r="M1430" t="str">
        <f t="shared" si="23"/>
        <v>LEAD AND LEAD COMPOUNDS</v>
      </c>
    </row>
    <row r="1431" spans="1:13" x14ac:dyDescent="0.25">
      <c r="A1431" s="359" t="s">
        <v>1884</v>
      </c>
      <c r="B1431" s="359" t="s">
        <v>777</v>
      </c>
      <c r="C1431" s="359" t="s">
        <v>1303</v>
      </c>
      <c r="D1431" s="359" t="s">
        <v>1304</v>
      </c>
      <c r="E1431" s="360"/>
      <c r="F1431" s="359" t="s">
        <v>1270</v>
      </c>
      <c r="G1431" s="361">
        <v>3.0515855977427466E-6</v>
      </c>
      <c r="H1431" s="359" t="s">
        <v>1885</v>
      </c>
      <c r="I1431" s="361">
        <v>0.15156882107993774</v>
      </c>
      <c r="J1431" s="359" t="s">
        <v>1303</v>
      </c>
      <c r="K1431" s="359" t="s">
        <v>1272</v>
      </c>
      <c r="M1431" t="str">
        <f t="shared" si="23"/>
        <v>NAPHTHALENE</v>
      </c>
    </row>
    <row r="1432" spans="1:13" x14ac:dyDescent="0.25">
      <c r="A1432" s="359" t="s">
        <v>1884</v>
      </c>
      <c r="B1432" s="359" t="s">
        <v>777</v>
      </c>
      <c r="C1432" s="359" t="s">
        <v>1305</v>
      </c>
      <c r="D1432" s="359" t="s">
        <v>1306</v>
      </c>
      <c r="E1432" s="360"/>
      <c r="F1432" s="359" t="s">
        <v>1270</v>
      </c>
      <c r="G1432" s="361">
        <v>3.0515855977427466E-6</v>
      </c>
      <c r="H1432" s="359" t="s">
        <v>1473</v>
      </c>
      <c r="I1432" s="361">
        <v>1.5156882107993774E-3</v>
      </c>
      <c r="J1432" s="359" t="s">
        <v>1305</v>
      </c>
      <c r="K1432" s="359" t="s">
        <v>1272</v>
      </c>
      <c r="M1432" t="str">
        <f t="shared" si="23"/>
        <v>N-HEXANE</v>
      </c>
    </row>
    <row r="1433" spans="1:13" x14ac:dyDescent="0.25">
      <c r="A1433" s="359" t="s">
        <v>1884</v>
      </c>
      <c r="B1433" s="359" t="s">
        <v>777</v>
      </c>
      <c r="C1433" s="359" t="s">
        <v>1384</v>
      </c>
      <c r="D1433" s="359" t="s">
        <v>1385</v>
      </c>
      <c r="E1433" s="360"/>
      <c r="F1433" s="359" t="s">
        <v>1270</v>
      </c>
      <c r="G1433" s="361">
        <v>3.0515855977427466E-6</v>
      </c>
      <c r="H1433" s="359" t="s">
        <v>1888</v>
      </c>
      <c r="I1433" s="361">
        <v>0.2526147017998962</v>
      </c>
      <c r="J1433" s="359" t="s">
        <v>1384</v>
      </c>
      <c r="K1433" s="359" t="s">
        <v>1272</v>
      </c>
      <c r="M1433" t="str">
        <f t="shared" si="23"/>
        <v>NICKEL AND NICKEL COMPOUNDS</v>
      </c>
    </row>
    <row r="1434" spans="1:13" x14ac:dyDescent="0.25">
      <c r="A1434" s="359" t="s">
        <v>1884</v>
      </c>
      <c r="B1434" s="359" t="s">
        <v>777</v>
      </c>
      <c r="C1434" s="359" t="s">
        <v>1307</v>
      </c>
      <c r="D1434" s="359" t="s">
        <v>1308</v>
      </c>
      <c r="E1434" s="360"/>
      <c r="F1434" s="359" t="s">
        <v>1270</v>
      </c>
      <c r="G1434" s="361">
        <v>3.0515855977427466E-6</v>
      </c>
      <c r="H1434" s="359" t="s">
        <v>1889</v>
      </c>
      <c r="I1434" s="361">
        <v>1313.5964493594604</v>
      </c>
      <c r="J1434" s="359" t="s">
        <v>1310</v>
      </c>
      <c r="K1434" s="359" t="s">
        <v>1272</v>
      </c>
      <c r="M1434" t="str">
        <f t="shared" si="23"/>
        <v>NITRATE</v>
      </c>
    </row>
    <row r="1435" spans="1:13" x14ac:dyDescent="0.25">
      <c r="A1435" s="359" t="s">
        <v>1884</v>
      </c>
      <c r="B1435" s="359" t="s">
        <v>777</v>
      </c>
      <c r="C1435" s="359" t="s">
        <v>1315</v>
      </c>
      <c r="D1435" s="359" t="s">
        <v>1316</v>
      </c>
      <c r="E1435" s="360"/>
      <c r="F1435" s="359" t="s">
        <v>1270</v>
      </c>
      <c r="G1435" s="361">
        <v>3.0515855977427466E-6</v>
      </c>
      <c r="H1435" s="359" t="s">
        <v>1890</v>
      </c>
      <c r="I1435" s="361">
        <v>1.8188258529592528E-2</v>
      </c>
      <c r="J1435" s="359" t="s">
        <v>1315</v>
      </c>
      <c r="K1435" s="359" t="s">
        <v>1272</v>
      </c>
      <c r="M1435" t="str">
        <f t="shared" si="23"/>
        <v>PHENOL</v>
      </c>
    </row>
    <row r="1436" spans="1:13" x14ac:dyDescent="0.25">
      <c r="A1436" s="359" t="s">
        <v>1884</v>
      </c>
      <c r="B1436" s="359" t="s">
        <v>777</v>
      </c>
      <c r="C1436" s="359" t="s">
        <v>1319</v>
      </c>
      <c r="D1436" s="359" t="s">
        <v>1320</v>
      </c>
      <c r="E1436" s="360"/>
      <c r="F1436" s="359" t="s">
        <v>1270</v>
      </c>
      <c r="G1436" s="361">
        <v>3.0515855977427466E-6</v>
      </c>
      <c r="H1436" s="359" t="s">
        <v>1891</v>
      </c>
      <c r="I1436" s="361">
        <v>9.9530192509159109E-4</v>
      </c>
      <c r="J1436" s="359" t="s">
        <v>1319</v>
      </c>
      <c r="K1436" s="359" t="s">
        <v>1272</v>
      </c>
      <c r="M1436" t="str">
        <f t="shared" si="23"/>
        <v>POLYCYCLIC AROMATIC COMPOUNDS</v>
      </c>
    </row>
    <row r="1437" spans="1:13" x14ac:dyDescent="0.25">
      <c r="A1437" s="359" t="s">
        <v>1884</v>
      </c>
      <c r="B1437" s="359" t="s">
        <v>777</v>
      </c>
      <c r="C1437" s="359" t="s">
        <v>1325</v>
      </c>
      <c r="D1437" s="359" t="s">
        <v>1326</v>
      </c>
      <c r="E1437" s="360"/>
      <c r="F1437" s="359" t="s">
        <v>1270</v>
      </c>
      <c r="G1437" s="361">
        <v>3.0515855977427466E-6</v>
      </c>
      <c r="H1437" s="359" t="s">
        <v>1892</v>
      </c>
      <c r="I1437" s="361">
        <v>0.30313764215987549</v>
      </c>
      <c r="J1437" s="359" t="s">
        <v>1325</v>
      </c>
      <c r="K1437" s="359" t="s">
        <v>1272</v>
      </c>
      <c r="M1437" t="str">
        <f t="shared" si="23"/>
        <v>TOLUENE</v>
      </c>
    </row>
    <row r="1438" spans="1:13" x14ac:dyDescent="0.25">
      <c r="A1438" s="359" t="s">
        <v>1884</v>
      </c>
      <c r="B1438" s="359" t="s">
        <v>777</v>
      </c>
      <c r="C1438" s="359" t="s">
        <v>1327</v>
      </c>
      <c r="D1438" s="359" t="s">
        <v>1328</v>
      </c>
      <c r="E1438" s="360"/>
      <c r="F1438" s="359" t="s">
        <v>1270</v>
      </c>
      <c r="G1438" s="361">
        <v>3.0515855977427466E-6</v>
      </c>
      <c r="H1438" s="359" t="s">
        <v>1893</v>
      </c>
      <c r="I1438" s="361">
        <v>0.75784410539968872</v>
      </c>
      <c r="J1438" s="359" t="s">
        <v>1329</v>
      </c>
      <c r="K1438" s="359" t="s">
        <v>1272</v>
      </c>
      <c r="M1438" t="str">
        <f t="shared" si="23"/>
        <v>XYLENES</v>
      </c>
    </row>
    <row r="1439" spans="1:13" ht="30" x14ac:dyDescent="0.25">
      <c r="A1439" s="359" t="s">
        <v>1894</v>
      </c>
      <c r="B1439" s="359" t="s">
        <v>643</v>
      </c>
      <c r="C1439" s="359" t="s">
        <v>1268</v>
      </c>
      <c r="D1439" s="359" t="s">
        <v>1269</v>
      </c>
      <c r="E1439" s="360"/>
      <c r="F1439" s="359" t="s">
        <v>1346</v>
      </c>
      <c r="G1439" s="361">
        <v>6.8988587888980795E-6</v>
      </c>
      <c r="H1439" s="359" t="s">
        <v>1346</v>
      </c>
      <c r="I1439" s="361">
        <v>5.7109758186242379E-3</v>
      </c>
      <c r="J1439" s="359" t="s">
        <v>1268</v>
      </c>
      <c r="K1439" s="359" t="s">
        <v>1272</v>
      </c>
      <c r="M1439" t="str">
        <f t="shared" si="23"/>
        <v>1,2,4-TRIMETHYLBENZENE</v>
      </c>
    </row>
    <row r="1440" spans="1:13" ht="30" x14ac:dyDescent="0.25">
      <c r="A1440" s="359" t="s">
        <v>1895</v>
      </c>
      <c r="B1440" s="359" t="s">
        <v>643</v>
      </c>
      <c r="C1440" s="359" t="s">
        <v>1268</v>
      </c>
      <c r="D1440" s="359" t="s">
        <v>1269</v>
      </c>
      <c r="E1440" s="360"/>
      <c r="F1440" s="359" t="s">
        <v>1346</v>
      </c>
      <c r="G1440" s="361">
        <v>6.8988587888980795E-6</v>
      </c>
      <c r="H1440" s="359" t="s">
        <v>1286</v>
      </c>
      <c r="I1440" s="361">
        <v>0</v>
      </c>
      <c r="J1440" s="359" t="s">
        <v>1268</v>
      </c>
      <c r="K1440" s="359" t="s">
        <v>1272</v>
      </c>
      <c r="M1440" t="str">
        <f t="shared" si="23"/>
        <v>1,2,4-TRIMETHYLBENZENE</v>
      </c>
    </row>
    <row r="1441" spans="1:13" ht="30" x14ac:dyDescent="0.25">
      <c r="A1441" s="359" t="s">
        <v>1894</v>
      </c>
      <c r="B1441" s="359" t="s">
        <v>643</v>
      </c>
      <c r="C1441" s="359" t="s">
        <v>1584</v>
      </c>
      <c r="D1441" s="359" t="s">
        <v>1585</v>
      </c>
      <c r="E1441" s="361">
        <v>301.91703519999999</v>
      </c>
      <c r="F1441" s="359" t="s">
        <v>1346</v>
      </c>
      <c r="G1441" s="361">
        <v>6.8988587888980795E-6</v>
      </c>
      <c r="H1441" s="359" t="s">
        <v>490</v>
      </c>
      <c r="I1441" s="361">
        <v>5.7065287446782756E-6</v>
      </c>
      <c r="J1441" s="359" t="s">
        <v>1584</v>
      </c>
      <c r="K1441" s="359" t="s">
        <v>1277</v>
      </c>
      <c r="M1441" t="str">
        <f t="shared" si="23"/>
        <v>Aluminum, total (as Al)</v>
      </c>
    </row>
    <row r="1442" spans="1:13" ht="30" x14ac:dyDescent="0.25">
      <c r="A1442" s="359" t="s">
        <v>1894</v>
      </c>
      <c r="B1442" s="359" t="s">
        <v>643</v>
      </c>
      <c r="C1442" s="359" t="s">
        <v>1331</v>
      </c>
      <c r="D1442" s="359" t="s">
        <v>1332</v>
      </c>
      <c r="E1442" s="361">
        <v>48.702049199999998</v>
      </c>
      <c r="F1442" s="359" t="s">
        <v>1346</v>
      </c>
      <c r="G1442" s="361">
        <v>6.8988587888980795E-6</v>
      </c>
      <c r="H1442" s="359" t="s">
        <v>490</v>
      </c>
      <c r="I1442" s="361">
        <v>9.2051660318018254E-7</v>
      </c>
      <c r="J1442" s="359" t="s">
        <v>1331</v>
      </c>
      <c r="K1442" s="359" t="s">
        <v>1277</v>
      </c>
      <c r="M1442" t="str">
        <f t="shared" si="23"/>
        <v>Arsenic, total (as As)</v>
      </c>
    </row>
    <row r="1443" spans="1:13" ht="30" x14ac:dyDescent="0.25">
      <c r="A1443" s="359" t="s">
        <v>1894</v>
      </c>
      <c r="B1443" s="359" t="s">
        <v>643</v>
      </c>
      <c r="C1443" s="359" t="s">
        <v>1273</v>
      </c>
      <c r="D1443" s="359" t="s">
        <v>1274</v>
      </c>
      <c r="E1443" s="360"/>
      <c r="F1443" s="359" t="s">
        <v>1346</v>
      </c>
      <c r="G1443" s="361">
        <v>6.8988587888980795E-6</v>
      </c>
      <c r="H1443" s="359" t="s">
        <v>1270</v>
      </c>
      <c r="I1443" s="361">
        <v>2.2843903274496953E-3</v>
      </c>
      <c r="J1443" s="359" t="s">
        <v>1273</v>
      </c>
      <c r="K1443" s="359" t="s">
        <v>1272</v>
      </c>
      <c r="M1443" t="str">
        <f t="shared" si="23"/>
        <v>BENZENE</v>
      </c>
    </row>
    <row r="1444" spans="1:13" ht="30" x14ac:dyDescent="0.25">
      <c r="A1444" s="359" t="s">
        <v>1895</v>
      </c>
      <c r="B1444" s="359" t="s">
        <v>643</v>
      </c>
      <c r="C1444" s="359" t="s">
        <v>1273</v>
      </c>
      <c r="D1444" s="359" t="s">
        <v>1274</v>
      </c>
      <c r="E1444" s="360"/>
      <c r="F1444" s="359" t="s">
        <v>1346</v>
      </c>
      <c r="G1444" s="361">
        <v>6.8988587888980795E-6</v>
      </c>
      <c r="H1444" s="359" t="s">
        <v>1286</v>
      </c>
      <c r="I1444" s="361">
        <v>0</v>
      </c>
      <c r="J1444" s="359" t="s">
        <v>1273</v>
      </c>
      <c r="K1444" s="359" t="s">
        <v>1272</v>
      </c>
      <c r="M1444" t="str">
        <f t="shared" si="23"/>
        <v>BENZENE</v>
      </c>
    </row>
    <row r="1445" spans="1:13" ht="30" x14ac:dyDescent="0.25">
      <c r="A1445" s="359" t="s">
        <v>1894</v>
      </c>
      <c r="B1445" s="359" t="s">
        <v>643</v>
      </c>
      <c r="C1445" s="359" t="s">
        <v>1352</v>
      </c>
      <c r="D1445" s="359" t="s">
        <v>1353</v>
      </c>
      <c r="E1445" s="360"/>
      <c r="F1445" s="359" t="s">
        <v>1346</v>
      </c>
      <c r="G1445" s="361">
        <v>6.8988587888980795E-6</v>
      </c>
      <c r="H1445" s="359" t="s">
        <v>1286</v>
      </c>
      <c r="I1445" s="361">
        <v>0</v>
      </c>
      <c r="J1445" s="359" t="s">
        <v>1352</v>
      </c>
      <c r="K1445" s="359" t="s">
        <v>1272</v>
      </c>
      <c r="M1445" t="str">
        <f t="shared" si="23"/>
        <v>BENZO(G,H,I)PERYLENE</v>
      </c>
    </row>
    <row r="1446" spans="1:13" ht="30" x14ac:dyDescent="0.25">
      <c r="A1446" s="359" t="s">
        <v>1895</v>
      </c>
      <c r="B1446" s="359" t="s">
        <v>643</v>
      </c>
      <c r="C1446" s="359" t="s">
        <v>1352</v>
      </c>
      <c r="D1446" s="359" t="s">
        <v>1353</v>
      </c>
      <c r="E1446" s="360"/>
      <c r="F1446" s="359" t="s">
        <v>1346</v>
      </c>
      <c r="G1446" s="361">
        <v>6.8988587888980795E-6</v>
      </c>
      <c r="H1446" s="359" t="s">
        <v>1286</v>
      </c>
      <c r="I1446" s="361">
        <v>0</v>
      </c>
      <c r="J1446" s="359" t="s">
        <v>1352</v>
      </c>
      <c r="K1446" s="359" t="s">
        <v>1272</v>
      </c>
      <c r="M1446" t="str">
        <f t="shared" si="23"/>
        <v>BENZO(G,H,I)PERYLENE</v>
      </c>
    </row>
    <row r="1447" spans="1:13" ht="30" x14ac:dyDescent="0.25">
      <c r="A1447" s="359" t="s">
        <v>1895</v>
      </c>
      <c r="B1447" s="359" t="s">
        <v>643</v>
      </c>
      <c r="C1447" s="359" t="s">
        <v>1414</v>
      </c>
      <c r="D1447" s="359" t="s">
        <v>1415</v>
      </c>
      <c r="E1447" s="360"/>
      <c r="F1447" s="359" t="s">
        <v>1346</v>
      </c>
      <c r="G1447" s="361">
        <v>6.8988587888980795E-6</v>
      </c>
      <c r="H1447" s="359" t="s">
        <v>1534</v>
      </c>
      <c r="I1447" s="361">
        <v>6.8531709823490855E-4</v>
      </c>
      <c r="J1447" s="359" t="s">
        <v>1414</v>
      </c>
      <c r="K1447" s="359" t="s">
        <v>1272</v>
      </c>
      <c r="M1447" t="str">
        <f t="shared" si="23"/>
        <v>BIPHENYL</v>
      </c>
    </row>
    <row r="1448" spans="1:13" ht="30" x14ac:dyDescent="0.25">
      <c r="A1448" s="359" t="s">
        <v>1894</v>
      </c>
      <c r="B1448" s="359" t="s">
        <v>643</v>
      </c>
      <c r="C1448" s="359" t="s">
        <v>1276</v>
      </c>
      <c r="D1448" s="359" t="s">
        <v>490</v>
      </c>
      <c r="E1448" s="361">
        <v>24128.798185899999</v>
      </c>
      <c r="F1448" s="359" t="s">
        <v>1346</v>
      </c>
      <c r="G1448" s="361">
        <v>6.8988587888980795E-6</v>
      </c>
      <c r="H1448" s="359" t="s">
        <v>490</v>
      </c>
      <c r="I1448" s="361">
        <v>4.560580039187513E-4</v>
      </c>
      <c r="J1448" s="359" t="s">
        <v>1276</v>
      </c>
      <c r="K1448" s="359" t="s">
        <v>1277</v>
      </c>
      <c r="M1448" t="str">
        <f t="shared" si="23"/>
        <v>BOD, 5-day, 20 deg. C</v>
      </c>
    </row>
    <row r="1449" spans="1:13" ht="30" x14ac:dyDescent="0.25">
      <c r="A1449" s="359" t="s">
        <v>1895</v>
      </c>
      <c r="B1449" s="359" t="s">
        <v>643</v>
      </c>
      <c r="C1449" s="359" t="s">
        <v>1457</v>
      </c>
      <c r="D1449" s="359" t="s">
        <v>490</v>
      </c>
      <c r="E1449" s="361">
        <v>139861.22448999999</v>
      </c>
      <c r="F1449" s="359" t="s">
        <v>1346</v>
      </c>
      <c r="G1449" s="361">
        <v>6.8988587888980795E-6</v>
      </c>
      <c r="H1449" s="359" t="s">
        <v>490</v>
      </c>
      <c r="I1449" s="361">
        <v>2.6435146241065308E-3</v>
      </c>
      <c r="J1449" s="359" t="s">
        <v>1457</v>
      </c>
      <c r="K1449" s="359" t="s">
        <v>1277</v>
      </c>
      <c r="M1449" t="str">
        <f t="shared" si="23"/>
        <v>Chemical Oxygen Demand (COD)</v>
      </c>
    </row>
    <row r="1450" spans="1:13" ht="30" x14ac:dyDescent="0.25">
      <c r="A1450" s="359" t="s">
        <v>1894</v>
      </c>
      <c r="B1450" s="359" t="s">
        <v>643</v>
      </c>
      <c r="C1450" s="359" t="s">
        <v>1457</v>
      </c>
      <c r="D1450" s="359" t="s">
        <v>490</v>
      </c>
      <c r="E1450" s="361">
        <v>85480.272108799996</v>
      </c>
      <c r="F1450" s="359" t="s">
        <v>1346</v>
      </c>
      <c r="G1450" s="361">
        <v>6.8988587888980795E-6</v>
      </c>
      <c r="H1450" s="359" t="s">
        <v>490</v>
      </c>
      <c r="I1450" s="361">
        <v>1.6156611685347786E-3</v>
      </c>
      <c r="J1450" s="359" t="s">
        <v>1457</v>
      </c>
      <c r="K1450" s="359" t="s">
        <v>1277</v>
      </c>
      <c r="M1450" t="str">
        <f t="shared" si="23"/>
        <v>Chemical Oxygen Demand (COD)</v>
      </c>
    </row>
    <row r="1451" spans="1:13" ht="30" x14ac:dyDescent="0.25">
      <c r="A1451" s="359" t="s">
        <v>1894</v>
      </c>
      <c r="B1451" s="359" t="s">
        <v>643</v>
      </c>
      <c r="C1451" s="359" t="s">
        <v>1416</v>
      </c>
      <c r="D1451" s="359" t="s">
        <v>1417</v>
      </c>
      <c r="E1451" s="361">
        <v>1249.05</v>
      </c>
      <c r="F1451" s="359" t="s">
        <v>1346</v>
      </c>
      <c r="G1451" s="361">
        <v>6.8988587888980795E-6</v>
      </c>
      <c r="H1451" s="359" t="s">
        <v>490</v>
      </c>
      <c r="I1451" s="361">
        <v>2.3608272795268889E-5</v>
      </c>
      <c r="J1451" s="359" t="s">
        <v>1418</v>
      </c>
      <c r="K1451" s="359" t="s">
        <v>1277</v>
      </c>
      <c r="M1451" t="str">
        <f t="shared" si="23"/>
        <v>CHLORINE</v>
      </c>
    </row>
    <row r="1452" spans="1:13" ht="30" x14ac:dyDescent="0.25">
      <c r="A1452" s="359" t="s">
        <v>1894</v>
      </c>
      <c r="B1452" s="359" t="s">
        <v>643</v>
      </c>
      <c r="C1452" s="359" t="s">
        <v>1437</v>
      </c>
      <c r="D1452" s="359" t="s">
        <v>1438</v>
      </c>
      <c r="E1452" s="360"/>
      <c r="F1452" s="359" t="s">
        <v>1346</v>
      </c>
      <c r="G1452" s="361">
        <v>6.8988587888980795E-6</v>
      </c>
      <c r="H1452" s="359" t="s">
        <v>1647</v>
      </c>
      <c r="I1452" s="361">
        <v>7.1958295314665396E-2</v>
      </c>
      <c r="J1452" s="359" t="s">
        <v>1437</v>
      </c>
      <c r="K1452" s="359" t="s">
        <v>1272</v>
      </c>
      <c r="M1452" t="str">
        <f t="shared" si="23"/>
        <v>CHROMIUM AND CHROMIUM COMPOUNDS</v>
      </c>
    </row>
    <row r="1453" spans="1:13" ht="30" x14ac:dyDescent="0.25">
      <c r="A1453" s="359" t="s">
        <v>1894</v>
      </c>
      <c r="B1453" s="359" t="s">
        <v>643</v>
      </c>
      <c r="C1453" s="359" t="s">
        <v>1280</v>
      </c>
      <c r="D1453" s="359" t="s">
        <v>1281</v>
      </c>
      <c r="E1453" s="361">
        <v>0.38594104308400001</v>
      </c>
      <c r="F1453" s="359" t="s">
        <v>1346</v>
      </c>
      <c r="G1453" s="361">
        <v>6.8988587888980795E-6</v>
      </c>
      <c r="H1453" s="359" t="s">
        <v>490</v>
      </c>
      <c r="I1453" s="361">
        <v>7.2946650878809472E-9</v>
      </c>
      <c r="J1453" s="359" t="s">
        <v>1280</v>
      </c>
      <c r="K1453" s="359" t="s">
        <v>1277</v>
      </c>
      <c r="M1453" t="str">
        <f t="shared" si="23"/>
        <v>Chromium, hexavalent (as Cr)</v>
      </c>
    </row>
    <row r="1454" spans="1:13" ht="30" x14ac:dyDescent="0.25">
      <c r="A1454" s="359" t="s">
        <v>1894</v>
      </c>
      <c r="B1454" s="359" t="s">
        <v>643</v>
      </c>
      <c r="C1454" s="359" t="s">
        <v>1282</v>
      </c>
      <c r="D1454" s="359" t="s">
        <v>1283</v>
      </c>
      <c r="E1454" s="361">
        <v>1.0335600907</v>
      </c>
      <c r="F1454" s="359" t="s">
        <v>1346</v>
      </c>
      <c r="G1454" s="361">
        <v>6.8988587888980795E-6</v>
      </c>
      <c r="H1454" s="359" t="s">
        <v>490</v>
      </c>
      <c r="I1454" s="361">
        <v>1.9535301686520521E-8</v>
      </c>
      <c r="J1454" s="359" t="s">
        <v>1282</v>
      </c>
      <c r="K1454" s="359" t="s">
        <v>1277</v>
      </c>
      <c r="M1454" t="str">
        <f t="shared" si="23"/>
        <v>Chromium, total (as Cr)</v>
      </c>
    </row>
    <row r="1455" spans="1:13" ht="30" x14ac:dyDescent="0.25">
      <c r="A1455" s="359" t="s">
        <v>1894</v>
      </c>
      <c r="B1455" s="359" t="s">
        <v>643</v>
      </c>
      <c r="C1455" s="359" t="s">
        <v>1467</v>
      </c>
      <c r="D1455" s="359" t="s">
        <v>1441</v>
      </c>
      <c r="E1455" s="361">
        <v>211.71304767499998</v>
      </c>
      <c r="F1455" s="359" t="s">
        <v>1346</v>
      </c>
      <c r="G1455" s="361">
        <v>6.8988587888980795E-6</v>
      </c>
      <c r="H1455" s="359" t="s">
        <v>490</v>
      </c>
      <c r="I1455" s="361">
        <v>4.0015847114440317E-6</v>
      </c>
      <c r="J1455" s="359" t="s">
        <v>1467</v>
      </c>
      <c r="K1455" s="359" t="s">
        <v>1277</v>
      </c>
      <c r="M1455" t="str">
        <f t="shared" si="23"/>
        <v>Copper, total (as Cu)</v>
      </c>
    </row>
    <row r="1456" spans="1:13" ht="30" x14ac:dyDescent="0.25">
      <c r="A1456" s="359" t="s">
        <v>1895</v>
      </c>
      <c r="B1456" s="359" t="s">
        <v>643</v>
      </c>
      <c r="C1456" s="359" t="s">
        <v>1284</v>
      </c>
      <c r="D1456" s="359" t="s">
        <v>1285</v>
      </c>
      <c r="E1456" s="360"/>
      <c r="F1456" s="359" t="s">
        <v>1346</v>
      </c>
      <c r="G1456" s="361">
        <v>6.8988587888980795E-6</v>
      </c>
      <c r="H1456" s="359" t="s">
        <v>1286</v>
      </c>
      <c r="I1456" s="361">
        <v>0</v>
      </c>
      <c r="J1456" s="359" t="s">
        <v>1287</v>
      </c>
      <c r="K1456" s="359" t="s">
        <v>1272</v>
      </c>
      <c r="M1456" t="str">
        <f t="shared" si="23"/>
        <v>ISOPROPYLBENZENE</v>
      </c>
    </row>
    <row r="1457" spans="1:13" ht="30" x14ac:dyDescent="0.25">
      <c r="A1457" s="359" t="s">
        <v>1894</v>
      </c>
      <c r="B1457" s="359" t="s">
        <v>643</v>
      </c>
      <c r="C1457" s="359" t="s">
        <v>1291</v>
      </c>
      <c r="D1457" s="359" t="s">
        <v>1292</v>
      </c>
      <c r="E1457" s="360"/>
      <c r="F1457" s="359" t="s">
        <v>1346</v>
      </c>
      <c r="G1457" s="361">
        <v>6.8988587888980795E-6</v>
      </c>
      <c r="H1457" s="359" t="s">
        <v>1286</v>
      </c>
      <c r="I1457" s="361">
        <v>0</v>
      </c>
      <c r="J1457" s="359" t="s">
        <v>1291</v>
      </c>
      <c r="K1457" s="359" t="s">
        <v>1272</v>
      </c>
      <c r="M1457" t="str">
        <f t="shared" si="23"/>
        <v>CYCLOHEXANE</v>
      </c>
    </row>
    <row r="1458" spans="1:13" ht="30" x14ac:dyDescent="0.25">
      <c r="A1458" s="359" t="s">
        <v>1895</v>
      </c>
      <c r="B1458" s="359" t="s">
        <v>643</v>
      </c>
      <c r="C1458" s="359" t="s">
        <v>1291</v>
      </c>
      <c r="D1458" s="359" t="s">
        <v>1292</v>
      </c>
      <c r="E1458" s="360"/>
      <c r="F1458" s="359" t="s">
        <v>1346</v>
      </c>
      <c r="G1458" s="361">
        <v>6.8988587888980795E-6</v>
      </c>
      <c r="H1458" s="359" t="s">
        <v>1286</v>
      </c>
      <c r="I1458" s="361">
        <v>0</v>
      </c>
      <c r="J1458" s="359" t="s">
        <v>1291</v>
      </c>
      <c r="K1458" s="359" t="s">
        <v>1272</v>
      </c>
      <c r="M1458" t="str">
        <f t="shared" si="23"/>
        <v>CYCLOHEXANE</v>
      </c>
    </row>
    <row r="1459" spans="1:13" ht="30" x14ac:dyDescent="0.25">
      <c r="A1459" s="359" t="s">
        <v>1895</v>
      </c>
      <c r="B1459" s="359" t="s">
        <v>643</v>
      </c>
      <c r="C1459" s="359" t="s">
        <v>1362</v>
      </c>
      <c r="D1459" s="359" t="s">
        <v>1363</v>
      </c>
      <c r="E1459" s="360"/>
      <c r="F1459" s="359" t="s">
        <v>1346</v>
      </c>
      <c r="G1459" s="361">
        <v>6.8988587888980795E-6</v>
      </c>
      <c r="H1459" s="359" t="s">
        <v>1896</v>
      </c>
      <c r="I1459" s="361">
        <v>3.5293830559097785E-8</v>
      </c>
      <c r="J1459" s="359" t="s">
        <v>1362</v>
      </c>
      <c r="K1459" s="359" t="s">
        <v>1272</v>
      </c>
      <c r="M1459" t="str">
        <f t="shared" si="23"/>
        <v>DIOXIN AND DIOXIN-LIKE COMPOUNDS</v>
      </c>
    </row>
    <row r="1460" spans="1:13" ht="30" x14ac:dyDescent="0.25">
      <c r="A1460" s="359" t="s">
        <v>1894</v>
      </c>
      <c r="B1460" s="359" t="s">
        <v>643</v>
      </c>
      <c r="C1460" s="359" t="s">
        <v>1362</v>
      </c>
      <c r="D1460" s="359" t="s">
        <v>1363</v>
      </c>
      <c r="E1460" s="360"/>
      <c r="F1460" s="359" t="s">
        <v>1346</v>
      </c>
      <c r="G1460" s="361">
        <v>6.8988587888980795E-6</v>
      </c>
      <c r="H1460" s="359" t="s">
        <v>1897</v>
      </c>
      <c r="I1460" s="361">
        <v>4.3168695115398749E-7</v>
      </c>
      <c r="J1460" s="359" t="s">
        <v>1362</v>
      </c>
      <c r="K1460" s="359" t="s">
        <v>1272</v>
      </c>
      <c r="M1460" t="str">
        <f t="shared" si="23"/>
        <v>DIOXIN AND DIOXIN-LIKE COMPOUNDS</v>
      </c>
    </row>
    <row r="1461" spans="1:13" ht="30" x14ac:dyDescent="0.25">
      <c r="A1461" s="359" t="s">
        <v>1895</v>
      </c>
      <c r="B1461" s="359" t="s">
        <v>643</v>
      </c>
      <c r="C1461" s="359" t="s">
        <v>1295</v>
      </c>
      <c r="D1461" s="359" t="s">
        <v>1296</v>
      </c>
      <c r="E1461" s="360"/>
      <c r="F1461" s="359" t="s">
        <v>1346</v>
      </c>
      <c r="G1461" s="361">
        <v>6.8988587888980795E-6</v>
      </c>
      <c r="H1461" s="359" t="s">
        <v>1286</v>
      </c>
      <c r="I1461" s="361">
        <v>0</v>
      </c>
      <c r="J1461" s="359" t="s">
        <v>1295</v>
      </c>
      <c r="K1461" s="359" t="s">
        <v>1272</v>
      </c>
      <c r="M1461" t="str">
        <f t="shared" si="23"/>
        <v>ETHYLBENZENE</v>
      </c>
    </row>
    <row r="1462" spans="1:13" ht="30" x14ac:dyDescent="0.25">
      <c r="A1462" s="359" t="s">
        <v>1894</v>
      </c>
      <c r="B1462" s="359" t="s">
        <v>643</v>
      </c>
      <c r="C1462" s="359" t="s">
        <v>1295</v>
      </c>
      <c r="D1462" s="359" t="s">
        <v>1296</v>
      </c>
      <c r="E1462" s="360"/>
      <c r="F1462" s="359" t="s">
        <v>1346</v>
      </c>
      <c r="G1462" s="361">
        <v>6.8988587888980795E-6</v>
      </c>
      <c r="H1462" s="359" t="s">
        <v>1270</v>
      </c>
      <c r="I1462" s="361">
        <v>2.2843903274496953E-3</v>
      </c>
      <c r="J1462" s="359" t="s">
        <v>1295</v>
      </c>
      <c r="K1462" s="359" t="s">
        <v>1272</v>
      </c>
      <c r="M1462" t="str">
        <f t="shared" si="23"/>
        <v>ETHYLBENZENE</v>
      </c>
    </row>
    <row r="1463" spans="1:13" ht="30" x14ac:dyDescent="0.25">
      <c r="A1463" s="359" t="s">
        <v>1894</v>
      </c>
      <c r="B1463" s="359" t="s">
        <v>643</v>
      </c>
      <c r="C1463" s="359" t="s">
        <v>1431</v>
      </c>
      <c r="D1463" s="359" t="s">
        <v>1298</v>
      </c>
      <c r="E1463" s="361">
        <v>54.542659989999997</v>
      </c>
      <c r="F1463" s="359" t="s">
        <v>1346</v>
      </c>
      <c r="G1463" s="361">
        <v>6.8988587888980795E-6</v>
      </c>
      <c r="H1463" s="359" t="s">
        <v>490</v>
      </c>
      <c r="I1463" s="361">
        <v>1.0309098883339483E-6</v>
      </c>
      <c r="J1463" s="359" t="s">
        <v>1431</v>
      </c>
      <c r="K1463" s="359" t="s">
        <v>1277</v>
      </c>
      <c r="M1463" t="str">
        <f t="shared" si="23"/>
        <v>Lead, total (as Pb)</v>
      </c>
    </row>
    <row r="1464" spans="1:13" ht="30" x14ac:dyDescent="0.25">
      <c r="A1464" s="359" t="s">
        <v>1895</v>
      </c>
      <c r="B1464" s="359" t="s">
        <v>643</v>
      </c>
      <c r="C1464" s="359" t="s">
        <v>1300</v>
      </c>
      <c r="D1464" s="359" t="s">
        <v>1301</v>
      </c>
      <c r="E1464" s="360"/>
      <c r="F1464" s="359" t="s">
        <v>1346</v>
      </c>
      <c r="G1464" s="361">
        <v>6.8988587888980795E-6</v>
      </c>
      <c r="H1464" s="359" t="s">
        <v>1286</v>
      </c>
      <c r="I1464" s="361">
        <v>0</v>
      </c>
      <c r="J1464" s="359" t="s">
        <v>1300</v>
      </c>
      <c r="K1464" s="359" t="s">
        <v>1272</v>
      </c>
      <c r="M1464" t="str">
        <f t="shared" si="23"/>
        <v>MERCURY AND MERCURY COMPOUNDS</v>
      </c>
    </row>
    <row r="1465" spans="1:13" ht="30" x14ac:dyDescent="0.25">
      <c r="A1465" s="359" t="s">
        <v>1894</v>
      </c>
      <c r="B1465" s="359" t="s">
        <v>643</v>
      </c>
      <c r="C1465" s="359" t="s">
        <v>1300</v>
      </c>
      <c r="D1465" s="359" t="s">
        <v>1301</v>
      </c>
      <c r="E1465" s="360"/>
      <c r="F1465" s="359" t="s">
        <v>1346</v>
      </c>
      <c r="G1465" s="361">
        <v>6.8988587888980795E-6</v>
      </c>
      <c r="H1465" s="359" t="s">
        <v>1898</v>
      </c>
      <c r="I1465" s="361">
        <v>6.853170982349085E-5</v>
      </c>
      <c r="J1465" s="359" t="s">
        <v>1300</v>
      </c>
      <c r="K1465" s="359" t="s">
        <v>1272</v>
      </c>
      <c r="M1465" t="str">
        <f t="shared" si="23"/>
        <v>MERCURY AND MERCURY COMPOUNDS</v>
      </c>
    </row>
    <row r="1466" spans="1:13" ht="30" x14ac:dyDescent="0.25">
      <c r="A1466" s="359" t="s">
        <v>1894</v>
      </c>
      <c r="B1466" s="359" t="s">
        <v>643</v>
      </c>
      <c r="C1466" s="359" t="s">
        <v>1468</v>
      </c>
      <c r="D1466" s="359" t="s">
        <v>1459</v>
      </c>
      <c r="E1466" s="361">
        <v>2.0907931219999999E-2</v>
      </c>
      <c r="F1466" s="359" t="s">
        <v>1346</v>
      </c>
      <c r="G1466" s="361">
        <v>6.8988587888980795E-6</v>
      </c>
      <c r="H1466" s="359" t="s">
        <v>490</v>
      </c>
      <c r="I1466" s="361">
        <v>3.9518045220485898E-10</v>
      </c>
      <c r="J1466" s="359" t="s">
        <v>1468</v>
      </c>
      <c r="K1466" s="359" t="s">
        <v>1277</v>
      </c>
      <c r="M1466" t="str">
        <f t="shared" si="23"/>
        <v>Mercury, total (as Hg)</v>
      </c>
    </row>
    <row r="1467" spans="1:13" ht="30" x14ac:dyDescent="0.25">
      <c r="A1467" s="359" t="s">
        <v>1894</v>
      </c>
      <c r="B1467" s="359" t="s">
        <v>643</v>
      </c>
      <c r="C1467" s="359" t="s">
        <v>1375</v>
      </c>
      <c r="D1467" s="359" t="s">
        <v>1376</v>
      </c>
      <c r="E1467" s="360"/>
      <c r="F1467" s="359" t="s">
        <v>1346</v>
      </c>
      <c r="G1467" s="361">
        <v>6.8988587888980795E-6</v>
      </c>
      <c r="H1467" s="359" t="s">
        <v>1317</v>
      </c>
      <c r="I1467" s="361">
        <v>1.0279756473523628E-2</v>
      </c>
      <c r="J1467" s="359" t="s">
        <v>1375</v>
      </c>
      <c r="K1467" s="359" t="s">
        <v>1272</v>
      </c>
      <c r="M1467" t="str">
        <f t="shared" si="23"/>
        <v>METHANOL</v>
      </c>
    </row>
    <row r="1468" spans="1:13" ht="30" x14ac:dyDescent="0.25">
      <c r="A1468" s="359" t="s">
        <v>1895</v>
      </c>
      <c r="B1468" s="359" t="s">
        <v>643</v>
      </c>
      <c r="C1468" s="359" t="s">
        <v>1303</v>
      </c>
      <c r="D1468" s="359" t="s">
        <v>1304</v>
      </c>
      <c r="E1468" s="360"/>
      <c r="F1468" s="359" t="s">
        <v>1346</v>
      </c>
      <c r="G1468" s="361">
        <v>6.8988587888980795E-6</v>
      </c>
      <c r="H1468" s="359" t="s">
        <v>1286</v>
      </c>
      <c r="I1468" s="361">
        <v>0</v>
      </c>
      <c r="J1468" s="359" t="s">
        <v>1303</v>
      </c>
      <c r="K1468" s="359" t="s">
        <v>1272</v>
      </c>
      <c r="M1468" t="str">
        <f t="shared" si="23"/>
        <v>NAPHTHALENE</v>
      </c>
    </row>
    <row r="1469" spans="1:13" ht="30" x14ac:dyDescent="0.25">
      <c r="A1469" s="359" t="s">
        <v>1894</v>
      </c>
      <c r="B1469" s="359" t="s">
        <v>643</v>
      </c>
      <c r="C1469" s="359" t="s">
        <v>1303</v>
      </c>
      <c r="D1469" s="359" t="s">
        <v>1304</v>
      </c>
      <c r="E1469" s="360"/>
      <c r="F1469" s="359" t="s">
        <v>1346</v>
      </c>
      <c r="G1469" s="361">
        <v>6.8988587888980795E-6</v>
      </c>
      <c r="H1469" s="359" t="s">
        <v>1286</v>
      </c>
      <c r="I1469" s="361">
        <v>0</v>
      </c>
      <c r="J1469" s="359" t="s">
        <v>1303</v>
      </c>
      <c r="K1469" s="359" t="s">
        <v>1272</v>
      </c>
      <c r="M1469" t="str">
        <f t="shared" si="23"/>
        <v>NAPHTHALENE</v>
      </c>
    </row>
    <row r="1470" spans="1:13" ht="30" x14ac:dyDescent="0.25">
      <c r="A1470" s="359" t="s">
        <v>1894</v>
      </c>
      <c r="B1470" s="359" t="s">
        <v>643</v>
      </c>
      <c r="C1470" s="359" t="s">
        <v>1305</v>
      </c>
      <c r="D1470" s="359" t="s">
        <v>1306</v>
      </c>
      <c r="E1470" s="360"/>
      <c r="F1470" s="359" t="s">
        <v>1346</v>
      </c>
      <c r="G1470" s="361">
        <v>6.8988587888980795E-6</v>
      </c>
      <c r="H1470" s="359" t="s">
        <v>1286</v>
      </c>
      <c r="I1470" s="361">
        <v>0</v>
      </c>
      <c r="J1470" s="359" t="s">
        <v>1305</v>
      </c>
      <c r="K1470" s="359" t="s">
        <v>1272</v>
      </c>
      <c r="M1470" t="str">
        <f t="shared" si="23"/>
        <v>N-HEXANE</v>
      </c>
    </row>
    <row r="1471" spans="1:13" ht="30" x14ac:dyDescent="0.25">
      <c r="A1471" s="359" t="s">
        <v>1895</v>
      </c>
      <c r="B1471" s="359" t="s">
        <v>643</v>
      </c>
      <c r="C1471" s="359" t="s">
        <v>1305</v>
      </c>
      <c r="D1471" s="359" t="s">
        <v>1306</v>
      </c>
      <c r="E1471" s="360"/>
      <c r="F1471" s="359" t="s">
        <v>1346</v>
      </c>
      <c r="G1471" s="361">
        <v>6.8988587888980795E-6</v>
      </c>
      <c r="H1471" s="359" t="s">
        <v>1499</v>
      </c>
      <c r="I1471" s="361">
        <v>3.4265854911745428E-4</v>
      </c>
      <c r="J1471" s="359" t="s">
        <v>1305</v>
      </c>
      <c r="K1471" s="359" t="s">
        <v>1272</v>
      </c>
      <c r="M1471" t="str">
        <f t="shared" si="23"/>
        <v>N-HEXANE</v>
      </c>
    </row>
    <row r="1472" spans="1:13" ht="30" x14ac:dyDescent="0.25">
      <c r="A1472" s="359" t="s">
        <v>1894</v>
      </c>
      <c r="B1472" s="359" t="s">
        <v>643</v>
      </c>
      <c r="C1472" s="359" t="s">
        <v>1633</v>
      </c>
      <c r="D1472" s="359" t="s">
        <v>1479</v>
      </c>
      <c r="E1472" s="361">
        <v>249.69157491999999</v>
      </c>
      <c r="F1472" s="359" t="s">
        <v>1346</v>
      </c>
      <c r="G1472" s="361">
        <v>6.8988587888980795E-6</v>
      </c>
      <c r="H1472" s="359" t="s">
        <v>490</v>
      </c>
      <c r="I1472" s="361">
        <v>4.7194162086319039E-6</v>
      </c>
      <c r="J1472" s="359" t="s">
        <v>1633</v>
      </c>
      <c r="K1472" s="359" t="s">
        <v>1277</v>
      </c>
      <c r="M1472" t="str">
        <f t="shared" si="23"/>
        <v>Nickel, total (as Ni)</v>
      </c>
    </row>
    <row r="1473" spans="1:13" ht="30" x14ac:dyDescent="0.25">
      <c r="A1473" s="359" t="s">
        <v>1894</v>
      </c>
      <c r="B1473" s="359" t="s">
        <v>643</v>
      </c>
      <c r="C1473" s="359" t="s">
        <v>1307</v>
      </c>
      <c r="D1473" s="359" t="s">
        <v>1308</v>
      </c>
      <c r="E1473" s="360"/>
      <c r="F1473" s="359" t="s">
        <v>1346</v>
      </c>
      <c r="G1473" s="361">
        <v>6.8988587888980795E-6</v>
      </c>
      <c r="H1473" s="359" t="s">
        <v>1899</v>
      </c>
      <c r="I1473" s="361">
        <v>810.81122306852114</v>
      </c>
      <c r="J1473" s="359" t="s">
        <v>1310</v>
      </c>
      <c r="K1473" s="359" t="s">
        <v>1272</v>
      </c>
      <c r="M1473" t="str">
        <f t="shared" si="23"/>
        <v>NITRATE</v>
      </c>
    </row>
    <row r="1474" spans="1:13" ht="30" x14ac:dyDescent="0.25">
      <c r="A1474" s="359" t="s">
        <v>1895</v>
      </c>
      <c r="B1474" s="359" t="s">
        <v>643</v>
      </c>
      <c r="C1474" s="359" t="s">
        <v>1311</v>
      </c>
      <c r="D1474" s="359" t="s">
        <v>1312</v>
      </c>
      <c r="E1474" s="361">
        <v>898.897959184</v>
      </c>
      <c r="F1474" s="359" t="s">
        <v>1346</v>
      </c>
      <c r="G1474" s="361">
        <v>6.8988587888980795E-6</v>
      </c>
      <c r="H1474" s="359" t="s">
        <v>490</v>
      </c>
      <c r="I1474" s="361">
        <v>1.6990055030244069E-5</v>
      </c>
      <c r="J1474" s="359" t="s">
        <v>1313</v>
      </c>
      <c r="K1474" s="359" t="s">
        <v>1277</v>
      </c>
      <c r="M1474" t="str">
        <f t="shared" si="23"/>
        <v>AMMONIA</v>
      </c>
    </row>
    <row r="1475" spans="1:13" ht="30" x14ac:dyDescent="0.25">
      <c r="A1475" s="359" t="s">
        <v>1894</v>
      </c>
      <c r="B1475" s="359" t="s">
        <v>643</v>
      </c>
      <c r="C1475" s="359" t="s">
        <v>1311</v>
      </c>
      <c r="D1475" s="359" t="s">
        <v>1312</v>
      </c>
      <c r="E1475" s="361">
        <v>172.33560090700001</v>
      </c>
      <c r="F1475" s="359" t="s">
        <v>1346</v>
      </c>
      <c r="G1475" s="361">
        <v>6.8988587888980795E-6</v>
      </c>
      <c r="H1475" s="359" t="s">
        <v>490</v>
      </c>
      <c r="I1475" s="361">
        <v>3.2573122601569558E-6</v>
      </c>
      <c r="J1475" s="359" t="s">
        <v>1313</v>
      </c>
      <c r="K1475" s="359" t="s">
        <v>1277</v>
      </c>
      <c r="M1475" t="str">
        <f t="shared" si="23"/>
        <v>AMMONIA</v>
      </c>
    </row>
    <row r="1476" spans="1:13" ht="30" x14ac:dyDescent="0.25">
      <c r="A1476" s="359" t="s">
        <v>1895</v>
      </c>
      <c r="B1476" s="359" t="s">
        <v>643</v>
      </c>
      <c r="C1476" s="359" t="s">
        <v>1314</v>
      </c>
      <c r="D1476" s="359" t="s">
        <v>490</v>
      </c>
      <c r="E1476" s="361">
        <v>713.28798185899996</v>
      </c>
      <c r="F1476" s="359" t="s">
        <v>1346</v>
      </c>
      <c r="G1476" s="361">
        <v>6.8988587888980795E-6</v>
      </c>
      <c r="H1476" s="359" t="s">
        <v>490</v>
      </c>
      <c r="I1476" s="361">
        <v>1.3481844007296808E-5</v>
      </c>
      <c r="J1476" s="359" t="s">
        <v>1314</v>
      </c>
      <c r="K1476" s="359" t="s">
        <v>1277</v>
      </c>
      <c r="M1476" t="str">
        <f t="shared" si="23"/>
        <v>Oil and grease</v>
      </c>
    </row>
    <row r="1477" spans="1:13" ht="30" x14ac:dyDescent="0.25">
      <c r="A1477" s="359" t="s">
        <v>1895</v>
      </c>
      <c r="B1477" s="359" t="s">
        <v>643</v>
      </c>
      <c r="C1477" s="359" t="s">
        <v>1315</v>
      </c>
      <c r="D1477" s="359" t="s">
        <v>1316</v>
      </c>
      <c r="E1477" s="360"/>
      <c r="F1477" s="359" t="s">
        <v>1346</v>
      </c>
      <c r="G1477" s="361">
        <v>6.8988587888980795E-6</v>
      </c>
      <c r="H1477" s="359" t="s">
        <v>1608</v>
      </c>
      <c r="I1477" s="361">
        <v>8.1095856624464183E-2</v>
      </c>
      <c r="J1477" s="359" t="s">
        <v>1315</v>
      </c>
      <c r="K1477" s="359" t="s">
        <v>1272</v>
      </c>
      <c r="M1477" t="str">
        <f t="shared" si="23"/>
        <v>PHENOL</v>
      </c>
    </row>
    <row r="1478" spans="1:13" ht="30" x14ac:dyDescent="0.25">
      <c r="A1478" s="359" t="s">
        <v>1894</v>
      </c>
      <c r="B1478" s="359" t="s">
        <v>643</v>
      </c>
      <c r="C1478" s="359" t="s">
        <v>1315</v>
      </c>
      <c r="D1478" s="359" t="s">
        <v>1316</v>
      </c>
      <c r="E1478" s="360"/>
      <c r="F1478" s="359" t="s">
        <v>1346</v>
      </c>
      <c r="G1478" s="361">
        <v>6.8988587888980795E-6</v>
      </c>
      <c r="H1478" s="359" t="s">
        <v>1471</v>
      </c>
      <c r="I1478" s="361">
        <v>6.8531709823490853E-3</v>
      </c>
      <c r="J1478" s="359" t="s">
        <v>1315</v>
      </c>
      <c r="K1478" s="359" t="s">
        <v>1272</v>
      </c>
      <c r="M1478" t="str">
        <f t="shared" ref="M1478:M1541" si="24">IF(J1478="",C1478,J1478)</f>
        <v>PHENOL</v>
      </c>
    </row>
    <row r="1479" spans="1:13" ht="30" x14ac:dyDescent="0.25">
      <c r="A1479" s="359" t="s">
        <v>1894</v>
      </c>
      <c r="B1479" s="359" t="s">
        <v>643</v>
      </c>
      <c r="C1479" s="359" t="s">
        <v>1319</v>
      </c>
      <c r="D1479" s="359" t="s">
        <v>1320</v>
      </c>
      <c r="E1479" s="360"/>
      <c r="F1479" s="359" t="s">
        <v>1346</v>
      </c>
      <c r="G1479" s="361">
        <v>6.8988587888980795E-6</v>
      </c>
      <c r="H1479" s="359" t="s">
        <v>1900</v>
      </c>
      <c r="I1479" s="361">
        <v>2.9697074256846036E-4</v>
      </c>
      <c r="J1479" s="359" t="s">
        <v>1319</v>
      </c>
      <c r="K1479" s="359" t="s">
        <v>1272</v>
      </c>
      <c r="M1479" t="str">
        <f t="shared" si="24"/>
        <v>POLYCYCLIC AROMATIC COMPOUNDS</v>
      </c>
    </row>
    <row r="1480" spans="1:13" ht="30" x14ac:dyDescent="0.25">
      <c r="A1480" s="359" t="s">
        <v>1895</v>
      </c>
      <c r="B1480" s="359" t="s">
        <v>643</v>
      </c>
      <c r="C1480" s="359" t="s">
        <v>1319</v>
      </c>
      <c r="D1480" s="359" t="s">
        <v>1320</v>
      </c>
      <c r="E1480" s="360"/>
      <c r="F1480" s="359" t="s">
        <v>1346</v>
      </c>
      <c r="G1480" s="361">
        <v>6.8988587888980795E-6</v>
      </c>
      <c r="H1480" s="359" t="s">
        <v>1412</v>
      </c>
      <c r="I1480" s="361">
        <v>4.5687806548993905E-3</v>
      </c>
      <c r="J1480" s="359" t="s">
        <v>1319</v>
      </c>
      <c r="K1480" s="359" t="s">
        <v>1272</v>
      </c>
      <c r="M1480" t="str">
        <f t="shared" si="24"/>
        <v>POLYCYCLIC AROMATIC COMPOUNDS</v>
      </c>
    </row>
    <row r="1481" spans="1:13" ht="30" x14ac:dyDescent="0.25">
      <c r="A1481" s="359" t="s">
        <v>1894</v>
      </c>
      <c r="B1481" s="359" t="s">
        <v>643</v>
      </c>
      <c r="C1481" s="359" t="s">
        <v>1432</v>
      </c>
      <c r="D1481" s="359" t="s">
        <v>1427</v>
      </c>
      <c r="E1481" s="361">
        <v>127.409433428</v>
      </c>
      <c r="F1481" s="359" t="s">
        <v>1346</v>
      </c>
      <c r="G1481" s="361">
        <v>6.8988587888980795E-6</v>
      </c>
      <c r="H1481" s="359" t="s">
        <v>490</v>
      </c>
      <c r="I1481" s="361">
        <v>2.408163533132281E-6</v>
      </c>
      <c r="J1481" s="359" t="s">
        <v>1432</v>
      </c>
      <c r="K1481" s="359" t="s">
        <v>1277</v>
      </c>
      <c r="M1481" t="str">
        <f t="shared" si="24"/>
        <v>Selenium, total (as Se)</v>
      </c>
    </row>
    <row r="1482" spans="1:13" ht="30" x14ac:dyDescent="0.25">
      <c r="A1482" s="359" t="s">
        <v>1894</v>
      </c>
      <c r="B1482" s="359" t="s">
        <v>643</v>
      </c>
      <c r="C1482" s="359" t="s">
        <v>1322</v>
      </c>
      <c r="D1482" s="359" t="s">
        <v>490</v>
      </c>
      <c r="E1482" s="361">
        <v>18731.519274400001</v>
      </c>
      <c r="F1482" s="359" t="s">
        <v>1346</v>
      </c>
      <c r="G1482" s="361">
        <v>6.8988587888980795E-6</v>
      </c>
      <c r="H1482" s="359" t="s">
        <v>490</v>
      </c>
      <c r="I1482" s="361">
        <v>3.5404412705646087E-4</v>
      </c>
      <c r="J1482" s="359" t="s">
        <v>1322</v>
      </c>
      <c r="K1482" s="359" t="s">
        <v>1277</v>
      </c>
      <c r="M1482" t="str">
        <f t="shared" si="24"/>
        <v>Solids, total suspended</v>
      </c>
    </row>
    <row r="1483" spans="1:13" ht="30" x14ac:dyDescent="0.25">
      <c r="A1483" s="359" t="s">
        <v>1895</v>
      </c>
      <c r="B1483" s="359" t="s">
        <v>643</v>
      </c>
      <c r="C1483" s="359" t="s">
        <v>1322</v>
      </c>
      <c r="D1483" s="359" t="s">
        <v>490</v>
      </c>
      <c r="E1483" s="361">
        <v>7145.4875283399997</v>
      </c>
      <c r="F1483" s="359" t="s">
        <v>1346</v>
      </c>
      <c r="G1483" s="361">
        <v>6.8988587888980795E-6</v>
      </c>
      <c r="H1483" s="359" t="s">
        <v>490</v>
      </c>
      <c r="I1483" s="361">
        <v>1.3505673818041102E-4</v>
      </c>
      <c r="J1483" s="359" t="s">
        <v>1322</v>
      </c>
      <c r="K1483" s="359" t="s">
        <v>1277</v>
      </c>
      <c r="M1483" t="str">
        <f t="shared" si="24"/>
        <v>Solids, total suspended</v>
      </c>
    </row>
    <row r="1484" spans="1:13" ht="30" x14ac:dyDescent="0.25">
      <c r="A1484" s="359" t="s">
        <v>1895</v>
      </c>
      <c r="B1484" s="359" t="s">
        <v>643</v>
      </c>
      <c r="C1484" s="359" t="s">
        <v>1392</v>
      </c>
      <c r="D1484" s="359" t="s">
        <v>1393</v>
      </c>
      <c r="E1484" s="360"/>
      <c r="F1484" s="359" t="s">
        <v>1346</v>
      </c>
      <c r="G1484" s="361">
        <v>6.8988587888980795E-6</v>
      </c>
      <c r="H1484" s="359" t="s">
        <v>1286</v>
      </c>
      <c r="I1484" s="361">
        <v>0</v>
      </c>
      <c r="J1484" s="359" t="s">
        <v>1392</v>
      </c>
      <c r="K1484" s="359" t="s">
        <v>1272</v>
      </c>
      <c r="M1484" t="str">
        <f t="shared" si="24"/>
        <v>STYRENE</v>
      </c>
    </row>
    <row r="1485" spans="1:13" ht="30" x14ac:dyDescent="0.25">
      <c r="A1485" s="359" t="s">
        <v>1895</v>
      </c>
      <c r="B1485" s="359" t="s">
        <v>643</v>
      </c>
      <c r="C1485" s="359" t="s">
        <v>1325</v>
      </c>
      <c r="D1485" s="359" t="s">
        <v>1326</v>
      </c>
      <c r="E1485" s="360"/>
      <c r="F1485" s="359" t="s">
        <v>1346</v>
      </c>
      <c r="G1485" s="361">
        <v>6.8988587888980795E-6</v>
      </c>
      <c r="H1485" s="359" t="s">
        <v>1286</v>
      </c>
      <c r="I1485" s="361">
        <v>0</v>
      </c>
      <c r="J1485" s="359" t="s">
        <v>1325</v>
      </c>
      <c r="K1485" s="359" t="s">
        <v>1272</v>
      </c>
      <c r="M1485" t="str">
        <f t="shared" si="24"/>
        <v>TOLUENE</v>
      </c>
    </row>
    <row r="1486" spans="1:13" ht="30" x14ac:dyDescent="0.25">
      <c r="A1486" s="359" t="s">
        <v>1894</v>
      </c>
      <c r="B1486" s="359" t="s">
        <v>643</v>
      </c>
      <c r="C1486" s="359" t="s">
        <v>1325</v>
      </c>
      <c r="D1486" s="359" t="s">
        <v>1326</v>
      </c>
      <c r="E1486" s="360"/>
      <c r="F1486" s="359" t="s">
        <v>1346</v>
      </c>
      <c r="G1486" s="361">
        <v>6.8988587888980795E-6</v>
      </c>
      <c r="H1486" s="359" t="s">
        <v>1286</v>
      </c>
      <c r="I1486" s="361">
        <v>0</v>
      </c>
      <c r="J1486" s="359" t="s">
        <v>1325</v>
      </c>
      <c r="K1486" s="359" t="s">
        <v>1272</v>
      </c>
      <c r="M1486" t="str">
        <f t="shared" si="24"/>
        <v>TOLUENE</v>
      </c>
    </row>
    <row r="1487" spans="1:13" ht="30" x14ac:dyDescent="0.25">
      <c r="A1487" s="359" t="s">
        <v>1894</v>
      </c>
      <c r="B1487" s="359" t="s">
        <v>643</v>
      </c>
      <c r="C1487" s="359" t="s">
        <v>1495</v>
      </c>
      <c r="D1487" s="359" t="s">
        <v>1465</v>
      </c>
      <c r="E1487" s="360"/>
      <c r="F1487" s="359" t="s">
        <v>1346</v>
      </c>
      <c r="G1487" s="361">
        <v>6.8988587888980795E-6</v>
      </c>
      <c r="H1487" s="359" t="s">
        <v>1901</v>
      </c>
      <c r="I1487" s="361">
        <v>0.87949027606813257</v>
      </c>
      <c r="J1487" s="359" t="s">
        <v>1495</v>
      </c>
      <c r="K1487" s="359" t="s">
        <v>1272</v>
      </c>
      <c r="M1487" t="str">
        <f t="shared" si="24"/>
        <v>VANADIUM AND VANADIUM COMPOUNDS</v>
      </c>
    </row>
    <row r="1488" spans="1:13" ht="30" x14ac:dyDescent="0.25">
      <c r="A1488" s="359" t="s">
        <v>1894</v>
      </c>
      <c r="B1488" s="359" t="s">
        <v>643</v>
      </c>
      <c r="C1488" s="359" t="s">
        <v>1327</v>
      </c>
      <c r="D1488" s="359" t="s">
        <v>1328</v>
      </c>
      <c r="E1488" s="360"/>
      <c r="F1488" s="359" t="s">
        <v>1346</v>
      </c>
      <c r="G1488" s="361">
        <v>6.8988587888980795E-6</v>
      </c>
      <c r="H1488" s="359" t="s">
        <v>1286</v>
      </c>
      <c r="I1488" s="361">
        <v>0</v>
      </c>
      <c r="J1488" s="359" t="s">
        <v>1329</v>
      </c>
      <c r="K1488" s="359" t="s">
        <v>1272</v>
      </c>
      <c r="M1488" t="str">
        <f t="shared" si="24"/>
        <v>XYLENES</v>
      </c>
    </row>
    <row r="1489" spans="1:13" ht="30" x14ac:dyDescent="0.25">
      <c r="A1489" s="359" t="s">
        <v>1895</v>
      </c>
      <c r="B1489" s="359" t="s">
        <v>643</v>
      </c>
      <c r="C1489" s="359" t="s">
        <v>1327</v>
      </c>
      <c r="D1489" s="359" t="s">
        <v>1328</v>
      </c>
      <c r="E1489" s="360"/>
      <c r="F1489" s="359" t="s">
        <v>1346</v>
      </c>
      <c r="G1489" s="361">
        <v>6.8988587888980795E-6</v>
      </c>
      <c r="H1489" s="359" t="s">
        <v>1286</v>
      </c>
      <c r="I1489" s="361">
        <v>0</v>
      </c>
      <c r="J1489" s="359" t="s">
        <v>1329</v>
      </c>
      <c r="K1489" s="359" t="s">
        <v>1272</v>
      </c>
      <c r="M1489" t="str">
        <f t="shared" si="24"/>
        <v>XYLENES</v>
      </c>
    </row>
    <row r="1490" spans="1:13" ht="30" x14ac:dyDescent="0.25">
      <c r="A1490" s="359" t="s">
        <v>1894</v>
      </c>
      <c r="B1490" s="359" t="s">
        <v>643</v>
      </c>
      <c r="C1490" s="359" t="s">
        <v>2035</v>
      </c>
      <c r="D1490" s="359" t="s">
        <v>1343</v>
      </c>
      <c r="E1490" s="361">
        <v>853.82408499999997</v>
      </c>
      <c r="F1490" s="359" t="s">
        <v>1346</v>
      </c>
      <c r="G1490" s="361">
        <v>6.8988587888980795E-6</v>
      </c>
      <c r="H1490" s="359" t="s">
        <v>490</v>
      </c>
      <c r="I1490" s="361">
        <v>1.6138114501301673E-5</v>
      </c>
      <c r="J1490" s="359" t="s">
        <v>2035</v>
      </c>
      <c r="K1490" s="359" t="s">
        <v>1277</v>
      </c>
      <c r="M1490" t="str">
        <f t="shared" si="24"/>
        <v>Zinc, total (as Cr)</v>
      </c>
    </row>
    <row r="1491" spans="1:13" ht="30" x14ac:dyDescent="0.25">
      <c r="A1491" s="359" t="s">
        <v>1902</v>
      </c>
      <c r="B1491" s="359" t="s">
        <v>716</v>
      </c>
      <c r="C1491" s="359" t="s">
        <v>260</v>
      </c>
      <c r="D1491" s="359" t="s">
        <v>1274</v>
      </c>
      <c r="E1491" s="361">
        <v>0</v>
      </c>
      <c r="F1491" s="359" t="s">
        <v>1270</v>
      </c>
      <c r="G1491" s="361">
        <v>1.7536426549165166E-5</v>
      </c>
      <c r="H1491" s="359" t="s">
        <v>490</v>
      </c>
      <c r="I1491" s="361">
        <v>0</v>
      </c>
      <c r="J1491" s="359" t="s">
        <v>1273</v>
      </c>
      <c r="K1491" s="359" t="s">
        <v>1277</v>
      </c>
      <c r="M1491" t="str">
        <f t="shared" si="24"/>
        <v>BENZENE</v>
      </c>
    </row>
    <row r="1492" spans="1:13" ht="30" x14ac:dyDescent="0.25">
      <c r="A1492" s="359" t="s">
        <v>1902</v>
      </c>
      <c r="B1492" s="359" t="s">
        <v>716</v>
      </c>
      <c r="C1492" s="359" t="s">
        <v>1276</v>
      </c>
      <c r="D1492" s="359" t="s">
        <v>490</v>
      </c>
      <c r="E1492" s="361">
        <v>26638.9569161</v>
      </c>
      <c r="F1492" s="359" t="s">
        <v>1270</v>
      </c>
      <c r="G1492" s="361">
        <v>1.7536426549165166E-5</v>
      </c>
      <c r="H1492" s="359" t="s">
        <v>490</v>
      </c>
      <c r="I1492" s="361">
        <v>1.279868798097433E-3</v>
      </c>
      <c r="J1492" s="359" t="s">
        <v>1276</v>
      </c>
      <c r="K1492" s="359" t="s">
        <v>1277</v>
      </c>
      <c r="M1492" t="str">
        <f t="shared" si="24"/>
        <v>BOD, 5-day, 20 deg. C</v>
      </c>
    </row>
    <row r="1493" spans="1:13" ht="30" x14ac:dyDescent="0.25">
      <c r="A1493" s="359" t="s">
        <v>1902</v>
      </c>
      <c r="B1493" s="359" t="s">
        <v>716</v>
      </c>
      <c r="C1493" s="359" t="s">
        <v>1484</v>
      </c>
      <c r="D1493" s="359" t="s">
        <v>490</v>
      </c>
      <c r="E1493" s="361">
        <v>0</v>
      </c>
      <c r="F1493" s="359" t="s">
        <v>1270</v>
      </c>
      <c r="G1493" s="361">
        <v>1.7536426549165166E-5</v>
      </c>
      <c r="H1493" s="359" t="s">
        <v>490</v>
      </c>
      <c r="I1493" s="361">
        <v>0</v>
      </c>
      <c r="J1493" s="359" t="s">
        <v>1484</v>
      </c>
      <c r="K1493" s="359" t="s">
        <v>1277</v>
      </c>
      <c r="M1493" t="str">
        <f t="shared" si="24"/>
        <v>BTEX</v>
      </c>
    </row>
    <row r="1494" spans="1:13" ht="30" x14ac:dyDescent="0.25">
      <c r="A1494" s="359" t="s">
        <v>1902</v>
      </c>
      <c r="B1494" s="359" t="s">
        <v>716</v>
      </c>
      <c r="C1494" s="359" t="s">
        <v>1278</v>
      </c>
      <c r="D1494" s="359" t="s">
        <v>1279</v>
      </c>
      <c r="E1494" s="361">
        <v>14659.413894450001</v>
      </c>
      <c r="F1494" s="359" t="s">
        <v>1270</v>
      </c>
      <c r="G1494" s="361">
        <v>1.7536426549165166E-5</v>
      </c>
      <c r="H1494" s="359" t="s">
        <v>490</v>
      </c>
      <c r="I1494" s="361">
        <v>7.0431160277762664E-4</v>
      </c>
      <c r="J1494" s="359" t="s">
        <v>1278</v>
      </c>
      <c r="K1494" s="359" t="s">
        <v>1277</v>
      </c>
      <c r="M1494" t="str">
        <f t="shared" si="24"/>
        <v>Carbon, tot organic (TOC)</v>
      </c>
    </row>
    <row r="1495" spans="1:13" ht="30" x14ac:dyDescent="0.25">
      <c r="A1495" s="359" t="s">
        <v>1902</v>
      </c>
      <c r="B1495" s="359" t="s">
        <v>716</v>
      </c>
      <c r="C1495" s="359" t="s">
        <v>1295</v>
      </c>
      <c r="D1495" s="359" t="s">
        <v>1296</v>
      </c>
      <c r="E1495" s="360"/>
      <c r="F1495" s="359" t="s">
        <v>1270</v>
      </c>
      <c r="G1495" s="361">
        <v>1.7536426549165166E-5</v>
      </c>
      <c r="H1495" s="359" t="s">
        <v>1455</v>
      </c>
      <c r="I1495" s="361">
        <v>4.0647346306011974E-2</v>
      </c>
      <c r="J1495" s="359" t="s">
        <v>1295</v>
      </c>
      <c r="K1495" s="359" t="s">
        <v>1272</v>
      </c>
      <c r="M1495" t="str">
        <f t="shared" si="24"/>
        <v>ETHYLBENZENE</v>
      </c>
    </row>
    <row r="1496" spans="1:13" ht="30" x14ac:dyDescent="0.25">
      <c r="A1496" s="359" t="s">
        <v>1902</v>
      </c>
      <c r="B1496" s="359" t="s">
        <v>716</v>
      </c>
      <c r="C1496" s="359" t="s">
        <v>1365</v>
      </c>
      <c r="D1496" s="359" t="s">
        <v>1366</v>
      </c>
      <c r="E1496" s="360"/>
      <c r="F1496" s="359" t="s">
        <v>1270</v>
      </c>
      <c r="G1496" s="361">
        <v>1.7536426549165166E-5</v>
      </c>
      <c r="H1496" s="359" t="s">
        <v>1903</v>
      </c>
      <c r="I1496" s="361">
        <v>1.6723479623044926</v>
      </c>
      <c r="J1496" s="359" t="s">
        <v>1028</v>
      </c>
      <c r="K1496" s="359" t="s">
        <v>1272</v>
      </c>
      <c r="M1496" t="str">
        <f t="shared" si="24"/>
        <v>ETHENE</v>
      </c>
    </row>
    <row r="1497" spans="1:13" ht="30" x14ac:dyDescent="0.25">
      <c r="A1497" s="359" t="s">
        <v>1902</v>
      </c>
      <c r="B1497" s="359" t="s">
        <v>716</v>
      </c>
      <c r="C1497" s="359" t="s">
        <v>1488</v>
      </c>
      <c r="D1497" s="359" t="s">
        <v>1489</v>
      </c>
      <c r="E1497" s="360"/>
      <c r="F1497" s="359" t="s">
        <v>1270</v>
      </c>
      <c r="G1497" s="361">
        <v>1.7536426549165166E-5</v>
      </c>
      <c r="H1497" s="359" t="s">
        <v>1904</v>
      </c>
      <c r="I1497" s="361">
        <v>0.54873917513116166</v>
      </c>
      <c r="J1497" s="359" t="s">
        <v>1490</v>
      </c>
      <c r="K1497" s="359" t="s">
        <v>1272</v>
      </c>
      <c r="M1497" t="str">
        <f t="shared" si="24"/>
        <v>HYDROFLUORIC ACID</v>
      </c>
    </row>
    <row r="1498" spans="1:13" ht="30" x14ac:dyDescent="0.25">
      <c r="A1498" s="359" t="s">
        <v>1902</v>
      </c>
      <c r="B1498" s="359" t="s">
        <v>716</v>
      </c>
      <c r="C1498" s="359" t="s">
        <v>1431</v>
      </c>
      <c r="D1498" s="359" t="s">
        <v>1298</v>
      </c>
      <c r="E1498" s="361">
        <v>0</v>
      </c>
      <c r="F1498" s="359" t="s">
        <v>1270</v>
      </c>
      <c r="G1498" s="361">
        <v>1.7536426549165166E-5</v>
      </c>
      <c r="H1498" s="359" t="s">
        <v>490</v>
      </c>
      <c r="I1498" s="361">
        <v>0</v>
      </c>
      <c r="J1498" s="359" t="s">
        <v>1431</v>
      </c>
      <c r="K1498" s="359" t="s">
        <v>1277</v>
      </c>
      <c r="M1498" t="str">
        <f t="shared" si="24"/>
        <v>Lead, total (as Pb)</v>
      </c>
    </row>
    <row r="1499" spans="1:13" ht="30" x14ac:dyDescent="0.25">
      <c r="A1499" s="359" t="s">
        <v>1902</v>
      </c>
      <c r="B1499" s="359" t="s">
        <v>716</v>
      </c>
      <c r="C1499" s="359" t="s">
        <v>1303</v>
      </c>
      <c r="D1499" s="359" t="s">
        <v>1304</v>
      </c>
      <c r="E1499" s="360"/>
      <c r="F1499" s="359" t="s">
        <v>1270</v>
      </c>
      <c r="G1499" s="361">
        <v>1.7536426549165166E-5</v>
      </c>
      <c r="H1499" s="359" t="s">
        <v>1905</v>
      </c>
      <c r="I1499" s="361">
        <v>8.4198074491024802E-2</v>
      </c>
      <c r="J1499" s="359" t="s">
        <v>1303</v>
      </c>
      <c r="K1499" s="359" t="s">
        <v>1272</v>
      </c>
      <c r="M1499" t="str">
        <f t="shared" si="24"/>
        <v>NAPHTHALENE</v>
      </c>
    </row>
    <row r="1500" spans="1:13" ht="30" x14ac:dyDescent="0.25">
      <c r="A1500" s="359" t="s">
        <v>1902</v>
      </c>
      <c r="B1500" s="359" t="s">
        <v>716</v>
      </c>
      <c r="C1500" s="359" t="s">
        <v>1305</v>
      </c>
      <c r="D1500" s="359" t="s">
        <v>1306</v>
      </c>
      <c r="E1500" s="360"/>
      <c r="F1500" s="359" t="s">
        <v>1270</v>
      </c>
      <c r="G1500" s="361">
        <v>1.7536426549165166E-5</v>
      </c>
      <c r="H1500" s="359" t="s">
        <v>1903</v>
      </c>
      <c r="I1500" s="361">
        <v>1.6723479623044926</v>
      </c>
      <c r="J1500" s="359" t="s">
        <v>1305</v>
      </c>
      <c r="K1500" s="359" t="s">
        <v>1272</v>
      </c>
      <c r="M1500" t="str">
        <f t="shared" si="24"/>
        <v>N-HEXANE</v>
      </c>
    </row>
    <row r="1501" spans="1:13" ht="30" x14ac:dyDescent="0.25">
      <c r="A1501" s="359" t="s">
        <v>1902</v>
      </c>
      <c r="B1501" s="359" t="s">
        <v>716</v>
      </c>
      <c r="C1501" s="359" t="s">
        <v>1384</v>
      </c>
      <c r="D1501" s="359" t="s">
        <v>1385</v>
      </c>
      <c r="E1501" s="360"/>
      <c r="F1501" s="359" t="s">
        <v>1270</v>
      </c>
      <c r="G1501" s="361">
        <v>1.7536426549165166E-5</v>
      </c>
      <c r="H1501" s="359" t="s">
        <v>1471</v>
      </c>
      <c r="I1501" s="361">
        <v>1.7420291274005132E-2</v>
      </c>
      <c r="J1501" s="359" t="s">
        <v>1384</v>
      </c>
      <c r="K1501" s="359" t="s">
        <v>1272</v>
      </c>
      <c r="M1501" t="str">
        <f t="shared" si="24"/>
        <v>NICKEL AND NICKEL COMPOUNDS</v>
      </c>
    </row>
    <row r="1502" spans="1:13" ht="30" x14ac:dyDescent="0.25">
      <c r="A1502" s="359" t="s">
        <v>1902</v>
      </c>
      <c r="B1502" s="359" t="s">
        <v>716</v>
      </c>
      <c r="C1502" s="359" t="s">
        <v>1311</v>
      </c>
      <c r="D1502" s="359" t="s">
        <v>1312</v>
      </c>
      <c r="E1502" s="361">
        <v>1886.4399093</v>
      </c>
      <c r="F1502" s="359" t="s">
        <v>1270</v>
      </c>
      <c r="G1502" s="361">
        <v>1.7536426549165166E-5</v>
      </c>
      <c r="H1502" s="359" t="s">
        <v>490</v>
      </c>
      <c r="I1502" s="361">
        <v>9.0634013448913004E-5</v>
      </c>
      <c r="J1502" s="359" t="s">
        <v>1313</v>
      </c>
      <c r="K1502" s="359" t="s">
        <v>1277</v>
      </c>
      <c r="M1502" t="str">
        <f t="shared" si="24"/>
        <v>AMMONIA</v>
      </c>
    </row>
    <row r="1503" spans="1:13" ht="30" x14ac:dyDescent="0.25">
      <c r="A1503" s="359" t="s">
        <v>1902</v>
      </c>
      <c r="B1503" s="359" t="s">
        <v>716</v>
      </c>
      <c r="C1503" s="359" t="s">
        <v>1314</v>
      </c>
      <c r="D1503" s="359" t="s">
        <v>490</v>
      </c>
      <c r="E1503" s="361">
        <v>5590.6172488699995</v>
      </c>
      <c r="F1503" s="359" t="s">
        <v>1270</v>
      </c>
      <c r="G1503" s="361">
        <v>1.7536426549165166E-5</v>
      </c>
      <c r="H1503" s="359" t="s">
        <v>490</v>
      </c>
      <c r="I1503" s="361">
        <v>2.6860122945014951E-4</v>
      </c>
      <c r="J1503" s="359" t="s">
        <v>1314</v>
      </c>
      <c r="K1503" s="359" t="s">
        <v>1277</v>
      </c>
      <c r="M1503" t="str">
        <f t="shared" si="24"/>
        <v>Oil and grease</v>
      </c>
    </row>
    <row r="1504" spans="1:13" ht="30" x14ac:dyDescent="0.25">
      <c r="A1504" s="359" t="s">
        <v>1902</v>
      </c>
      <c r="B1504" s="359" t="s">
        <v>716</v>
      </c>
      <c r="C1504" s="359" t="s">
        <v>1457</v>
      </c>
      <c r="D1504" s="359" t="s">
        <v>490</v>
      </c>
      <c r="E1504" s="361">
        <v>180580.90702899999</v>
      </c>
      <c r="F1504" s="359" t="s">
        <v>1270</v>
      </c>
      <c r="G1504" s="361">
        <v>1.7536426549165166E-5</v>
      </c>
      <c r="H1504" s="359" t="s">
        <v>490</v>
      </c>
      <c r="I1504" s="361">
        <v>8.6760104446457036E-3</v>
      </c>
      <c r="J1504" s="359" t="s">
        <v>1457</v>
      </c>
      <c r="K1504" s="359" t="s">
        <v>1277</v>
      </c>
      <c r="M1504" t="str">
        <f t="shared" si="24"/>
        <v>Chemical Oxygen Demand (COD)</v>
      </c>
    </row>
    <row r="1505" spans="1:13" ht="30" x14ac:dyDescent="0.25">
      <c r="A1505" s="359" t="s">
        <v>1902</v>
      </c>
      <c r="B1505" s="359" t="s">
        <v>716</v>
      </c>
      <c r="C1505" s="359" t="s">
        <v>1315</v>
      </c>
      <c r="D1505" s="359" t="s">
        <v>1316</v>
      </c>
      <c r="E1505" s="360"/>
      <c r="F1505" s="359" t="s">
        <v>1270</v>
      </c>
      <c r="G1505" s="361">
        <v>1.7536426549165166E-5</v>
      </c>
      <c r="H1505" s="359" t="s">
        <v>1906</v>
      </c>
      <c r="I1505" s="361">
        <v>0.45583095500313425</v>
      </c>
      <c r="J1505" s="359" t="s">
        <v>1315</v>
      </c>
      <c r="K1505" s="359" t="s">
        <v>1272</v>
      </c>
      <c r="M1505" t="str">
        <f t="shared" si="24"/>
        <v>PHENOL</v>
      </c>
    </row>
    <row r="1506" spans="1:13" ht="30" x14ac:dyDescent="0.25">
      <c r="A1506" s="359" t="s">
        <v>1902</v>
      </c>
      <c r="B1506" s="359" t="s">
        <v>716</v>
      </c>
      <c r="C1506" s="359" t="s">
        <v>1318</v>
      </c>
      <c r="D1506" s="359" t="s">
        <v>490</v>
      </c>
      <c r="E1506" s="361">
        <v>11.2471655329</v>
      </c>
      <c r="F1506" s="359" t="s">
        <v>1270</v>
      </c>
      <c r="G1506" s="361">
        <v>1.7536426549165166E-5</v>
      </c>
      <c r="H1506" s="359" t="s">
        <v>490</v>
      </c>
      <c r="I1506" s="361">
        <v>5.403701157643916E-7</v>
      </c>
      <c r="J1506" s="359" t="s">
        <v>1318</v>
      </c>
      <c r="K1506" s="359" t="s">
        <v>1277</v>
      </c>
      <c r="M1506" t="str">
        <f t="shared" si="24"/>
        <v>Phenolics, total recoverable</v>
      </c>
    </row>
    <row r="1507" spans="1:13" ht="30" x14ac:dyDescent="0.25">
      <c r="A1507" s="359" t="s">
        <v>1902</v>
      </c>
      <c r="B1507" s="359" t="s">
        <v>716</v>
      </c>
      <c r="C1507" s="359" t="s">
        <v>1425</v>
      </c>
      <c r="D1507" s="359" t="s">
        <v>1426</v>
      </c>
      <c r="E1507" s="360"/>
      <c r="F1507" s="359" t="s">
        <v>1270</v>
      </c>
      <c r="G1507" s="361">
        <v>1.7536426549165166E-5</v>
      </c>
      <c r="H1507" s="359" t="s">
        <v>1903</v>
      </c>
      <c r="I1507" s="361">
        <v>1.6723479623044926</v>
      </c>
      <c r="J1507" s="359" t="s">
        <v>1425</v>
      </c>
      <c r="K1507" s="359" t="s">
        <v>1272</v>
      </c>
      <c r="M1507" t="str">
        <f t="shared" si="24"/>
        <v>PROPYLENE</v>
      </c>
    </row>
    <row r="1508" spans="1:13" ht="30" x14ac:dyDescent="0.25">
      <c r="A1508" s="359" t="s">
        <v>1902</v>
      </c>
      <c r="B1508" s="359" t="s">
        <v>716</v>
      </c>
      <c r="C1508" s="359" t="s">
        <v>1322</v>
      </c>
      <c r="D1508" s="359" t="s">
        <v>490</v>
      </c>
      <c r="E1508" s="361">
        <v>25174.2131519</v>
      </c>
      <c r="F1508" s="359" t="s">
        <v>1270</v>
      </c>
      <c r="G1508" s="361">
        <v>1.7536426549165166E-5</v>
      </c>
      <c r="H1508" s="359" t="s">
        <v>490</v>
      </c>
      <c r="I1508" s="361">
        <v>1.2094951777296495E-3</v>
      </c>
      <c r="J1508" s="359" t="s">
        <v>1322</v>
      </c>
      <c r="K1508" s="359" t="s">
        <v>1277</v>
      </c>
      <c r="M1508" t="str">
        <f t="shared" si="24"/>
        <v>Solids, total suspended</v>
      </c>
    </row>
    <row r="1509" spans="1:13" ht="30" x14ac:dyDescent="0.25">
      <c r="A1509" s="359" t="s">
        <v>1902</v>
      </c>
      <c r="B1509" s="359" t="s">
        <v>716</v>
      </c>
      <c r="C1509" s="359" t="s">
        <v>1392</v>
      </c>
      <c r="D1509" s="359" t="s">
        <v>1393</v>
      </c>
      <c r="E1509" s="360"/>
      <c r="F1509" s="359" t="s">
        <v>1270</v>
      </c>
      <c r="G1509" s="361">
        <v>1.7536426549165166E-5</v>
      </c>
      <c r="H1509" s="359" t="s">
        <v>1903</v>
      </c>
      <c r="I1509" s="361">
        <v>1.6723479623044926</v>
      </c>
      <c r="J1509" s="359" t="s">
        <v>1392</v>
      </c>
      <c r="K1509" s="359" t="s">
        <v>1272</v>
      </c>
      <c r="M1509" t="str">
        <f t="shared" si="24"/>
        <v>STYRENE</v>
      </c>
    </row>
    <row r="1510" spans="1:13" ht="30" x14ac:dyDescent="0.25">
      <c r="A1510" s="359" t="s">
        <v>1902</v>
      </c>
      <c r="B1510" s="359" t="s">
        <v>716</v>
      </c>
      <c r="C1510" s="359" t="s">
        <v>1323</v>
      </c>
      <c r="D1510" s="359" t="s">
        <v>1324</v>
      </c>
      <c r="E1510" s="361">
        <v>15.147392290200001</v>
      </c>
      <c r="F1510" s="359" t="s">
        <v>1270</v>
      </c>
      <c r="G1510" s="361">
        <v>1.7536426549165166E-5</v>
      </c>
      <c r="H1510" s="359" t="s">
        <v>490</v>
      </c>
      <c r="I1510" s="361">
        <v>7.2775652687255627E-7</v>
      </c>
      <c r="J1510" s="359" t="s">
        <v>1323</v>
      </c>
      <c r="K1510" s="359" t="s">
        <v>1277</v>
      </c>
      <c r="M1510" t="str">
        <f t="shared" si="24"/>
        <v>Sulfide, total (as S)</v>
      </c>
    </row>
    <row r="1511" spans="1:13" ht="30" x14ac:dyDescent="0.25">
      <c r="A1511" s="359" t="s">
        <v>1902</v>
      </c>
      <c r="B1511" s="359" t="s">
        <v>716</v>
      </c>
      <c r="C1511" s="359" t="s">
        <v>1325</v>
      </c>
      <c r="D1511" s="359" t="s">
        <v>1326</v>
      </c>
      <c r="E1511" s="360"/>
      <c r="F1511" s="359" t="s">
        <v>1270</v>
      </c>
      <c r="G1511" s="361">
        <v>1.7536426549165166E-5</v>
      </c>
      <c r="H1511" s="359" t="s">
        <v>1455</v>
      </c>
      <c r="I1511" s="361">
        <v>4.0647346306011974E-2</v>
      </c>
      <c r="J1511" s="359" t="s">
        <v>1325</v>
      </c>
      <c r="K1511" s="359" t="s">
        <v>1272</v>
      </c>
      <c r="M1511" t="str">
        <f t="shared" si="24"/>
        <v>TOLUENE</v>
      </c>
    </row>
    <row r="1512" spans="1:13" ht="30" x14ac:dyDescent="0.25">
      <c r="A1512" s="359" t="s">
        <v>1902</v>
      </c>
      <c r="B1512" s="359" t="s">
        <v>716</v>
      </c>
      <c r="C1512" s="359" t="s">
        <v>1327</v>
      </c>
      <c r="D1512" s="359" t="s">
        <v>1328</v>
      </c>
      <c r="E1512" s="360"/>
      <c r="F1512" s="359" t="s">
        <v>1270</v>
      </c>
      <c r="G1512" s="361">
        <v>1.7536426549165166E-5</v>
      </c>
      <c r="H1512" s="359" t="s">
        <v>1907</v>
      </c>
      <c r="I1512" s="361">
        <v>3.3417925427299844</v>
      </c>
      <c r="J1512" s="359" t="s">
        <v>1329</v>
      </c>
      <c r="K1512" s="359" t="s">
        <v>1272</v>
      </c>
      <c r="M1512" t="str">
        <f t="shared" si="24"/>
        <v>XYLENES</v>
      </c>
    </row>
    <row r="1513" spans="1:13" x14ac:dyDescent="0.25">
      <c r="A1513" s="359" t="s">
        <v>1908</v>
      </c>
      <c r="B1513" s="359" t="s">
        <v>804</v>
      </c>
      <c r="C1513" s="359" t="s">
        <v>260</v>
      </c>
      <c r="D1513" s="359" t="s">
        <v>1274</v>
      </c>
      <c r="E1513" s="361">
        <v>0</v>
      </c>
      <c r="F1513" s="359" t="s">
        <v>1412</v>
      </c>
      <c r="G1513" s="361">
        <v>5.2243534772709303E-6</v>
      </c>
      <c r="H1513" s="359" t="s">
        <v>490</v>
      </c>
      <c r="I1513" s="361">
        <v>0</v>
      </c>
      <c r="J1513" s="359" t="s">
        <v>1273</v>
      </c>
      <c r="K1513" s="359" t="s">
        <v>1277</v>
      </c>
      <c r="M1513" t="str">
        <f t="shared" si="24"/>
        <v>BENZENE</v>
      </c>
    </row>
    <row r="1514" spans="1:13" x14ac:dyDescent="0.25">
      <c r="A1514" s="359" t="s">
        <v>1908</v>
      </c>
      <c r="B1514" s="359" t="s">
        <v>804</v>
      </c>
      <c r="C1514" s="359" t="s">
        <v>1276</v>
      </c>
      <c r="D1514" s="359" t="s">
        <v>490</v>
      </c>
      <c r="E1514" s="361">
        <v>15023.582766400001</v>
      </c>
      <c r="F1514" s="359" t="s">
        <v>1412</v>
      </c>
      <c r="G1514" s="361">
        <v>5.2243534772709303E-6</v>
      </c>
      <c r="H1514" s="359" t="s">
        <v>490</v>
      </c>
      <c r="I1514" s="361">
        <v>2.1503700511427251E-4</v>
      </c>
      <c r="J1514" s="359" t="s">
        <v>1276</v>
      </c>
      <c r="K1514" s="359" t="s">
        <v>1277</v>
      </c>
      <c r="M1514" t="str">
        <f t="shared" si="24"/>
        <v>BOD, 5-day, 20 deg. C</v>
      </c>
    </row>
    <row r="1515" spans="1:13" x14ac:dyDescent="0.25">
      <c r="A1515" s="359" t="s">
        <v>1908</v>
      </c>
      <c r="B1515" s="359" t="s">
        <v>804</v>
      </c>
      <c r="C1515" s="359" t="s">
        <v>1278</v>
      </c>
      <c r="D1515" s="359" t="s">
        <v>1279</v>
      </c>
      <c r="E1515" s="361">
        <v>57126.291257099998</v>
      </c>
      <c r="F1515" s="359" t="s">
        <v>1412</v>
      </c>
      <c r="G1515" s="361">
        <v>5.2243534772709303E-6</v>
      </c>
      <c r="H1515" s="359" t="s">
        <v>490</v>
      </c>
      <c r="I1515" s="361">
        <v>8.1766558458252689E-4</v>
      </c>
      <c r="J1515" s="359" t="s">
        <v>1278</v>
      </c>
      <c r="K1515" s="359" t="s">
        <v>1277</v>
      </c>
      <c r="M1515" t="str">
        <f t="shared" si="24"/>
        <v>Carbon, tot organic (TOC)</v>
      </c>
    </row>
    <row r="1516" spans="1:13" x14ac:dyDescent="0.25">
      <c r="A1516" s="359" t="s">
        <v>1908</v>
      </c>
      <c r="B1516" s="359" t="s">
        <v>804</v>
      </c>
      <c r="C1516" s="359" t="s">
        <v>1280</v>
      </c>
      <c r="D1516" s="359" t="s">
        <v>1281</v>
      </c>
      <c r="E1516" s="361">
        <v>0</v>
      </c>
      <c r="F1516" s="359" t="s">
        <v>1412</v>
      </c>
      <c r="G1516" s="361">
        <v>5.2243534772709303E-6</v>
      </c>
      <c r="H1516" s="359" t="s">
        <v>490</v>
      </c>
      <c r="I1516" s="361">
        <v>0</v>
      </c>
      <c r="J1516" s="359" t="s">
        <v>1280</v>
      </c>
      <c r="K1516" s="359" t="s">
        <v>1277</v>
      </c>
      <c r="M1516" t="str">
        <f t="shared" si="24"/>
        <v>Chromium, hexavalent (as Cr)</v>
      </c>
    </row>
    <row r="1517" spans="1:13" x14ac:dyDescent="0.25">
      <c r="A1517" s="359" t="s">
        <v>1908</v>
      </c>
      <c r="B1517" s="359" t="s">
        <v>804</v>
      </c>
      <c r="C1517" s="359" t="s">
        <v>1282</v>
      </c>
      <c r="D1517" s="359" t="s">
        <v>1283</v>
      </c>
      <c r="E1517" s="361">
        <v>4.6258503401400004</v>
      </c>
      <c r="F1517" s="359" t="s">
        <v>1412</v>
      </c>
      <c r="G1517" s="361">
        <v>5.2243534772709303E-6</v>
      </c>
      <c r="H1517" s="359" t="s">
        <v>490</v>
      </c>
      <c r="I1517" s="361">
        <v>6.6211170711905005E-8</v>
      </c>
      <c r="J1517" s="359" t="s">
        <v>1282</v>
      </c>
      <c r="K1517" s="359" t="s">
        <v>1277</v>
      </c>
      <c r="M1517" t="str">
        <f t="shared" si="24"/>
        <v>Chromium, total (as Cr)</v>
      </c>
    </row>
    <row r="1518" spans="1:13" x14ac:dyDescent="0.25">
      <c r="A1518" s="359" t="s">
        <v>1908</v>
      </c>
      <c r="B1518" s="359" t="s">
        <v>804</v>
      </c>
      <c r="C1518" s="359" t="s">
        <v>1311</v>
      </c>
      <c r="D1518" s="359" t="s">
        <v>1312</v>
      </c>
      <c r="E1518" s="361">
        <v>2353.14780458</v>
      </c>
      <c r="F1518" s="359" t="s">
        <v>1412</v>
      </c>
      <c r="G1518" s="361">
        <v>5.2243534772709303E-6</v>
      </c>
      <c r="H1518" s="359" t="s">
        <v>490</v>
      </c>
      <c r="I1518" s="361">
        <v>3.3681303877780759E-5</v>
      </c>
      <c r="J1518" s="359" t="s">
        <v>1313</v>
      </c>
      <c r="K1518" s="359" t="s">
        <v>1277</v>
      </c>
      <c r="M1518" t="str">
        <f t="shared" si="24"/>
        <v>AMMONIA</v>
      </c>
    </row>
    <row r="1519" spans="1:13" x14ac:dyDescent="0.25">
      <c r="A1519" s="359" t="s">
        <v>1908</v>
      </c>
      <c r="B1519" s="359" t="s">
        <v>804</v>
      </c>
      <c r="C1519" s="359" t="s">
        <v>1460</v>
      </c>
      <c r="D1519" s="359" t="s">
        <v>490</v>
      </c>
      <c r="E1519" s="361">
        <v>0</v>
      </c>
      <c r="F1519" s="359" t="s">
        <v>1412</v>
      </c>
      <c r="G1519" s="361">
        <v>5.2243534772709303E-6</v>
      </c>
      <c r="H1519" s="359" t="s">
        <v>490</v>
      </c>
      <c r="I1519" s="361">
        <v>0</v>
      </c>
      <c r="J1519" s="359" t="s">
        <v>1460</v>
      </c>
      <c r="K1519" s="359" t="s">
        <v>1277</v>
      </c>
      <c r="M1519" t="str">
        <f t="shared" si="24"/>
        <v>Oil and grease, hexane extr method</v>
      </c>
    </row>
    <row r="1520" spans="1:13" x14ac:dyDescent="0.25">
      <c r="A1520" s="359" t="s">
        <v>1908</v>
      </c>
      <c r="B1520" s="359" t="s">
        <v>804</v>
      </c>
      <c r="C1520" s="359" t="s">
        <v>1457</v>
      </c>
      <c r="D1520" s="359" t="s">
        <v>490</v>
      </c>
      <c r="E1520" s="361">
        <v>317979.197109</v>
      </c>
      <c r="F1520" s="359" t="s">
        <v>1412</v>
      </c>
      <c r="G1520" s="361">
        <v>5.2243534772709303E-6</v>
      </c>
      <c r="H1520" s="359" t="s">
        <v>490</v>
      </c>
      <c r="I1520" s="361">
        <v>4.5513307510033499E-3</v>
      </c>
      <c r="J1520" s="359" t="s">
        <v>1457</v>
      </c>
      <c r="K1520" s="359" t="s">
        <v>1277</v>
      </c>
      <c r="M1520" t="str">
        <f t="shared" si="24"/>
        <v>Chemical Oxygen Demand (COD)</v>
      </c>
    </row>
    <row r="1521" spans="1:13" x14ac:dyDescent="0.25">
      <c r="A1521" s="359" t="s">
        <v>1908</v>
      </c>
      <c r="B1521" s="359" t="s">
        <v>804</v>
      </c>
      <c r="C1521" s="359" t="s">
        <v>1318</v>
      </c>
      <c r="D1521" s="359" t="s">
        <v>490</v>
      </c>
      <c r="E1521" s="361">
        <v>31.4739229025</v>
      </c>
      <c r="F1521" s="359" t="s">
        <v>1412</v>
      </c>
      <c r="G1521" s="361">
        <v>5.2243534772709303E-6</v>
      </c>
      <c r="H1521" s="359" t="s">
        <v>490</v>
      </c>
      <c r="I1521" s="361">
        <v>4.5049561249050146E-7</v>
      </c>
      <c r="J1521" s="359" t="s">
        <v>1318</v>
      </c>
      <c r="K1521" s="359" t="s">
        <v>1277</v>
      </c>
      <c r="M1521" t="str">
        <f t="shared" si="24"/>
        <v>Phenolics, total recoverable</v>
      </c>
    </row>
    <row r="1522" spans="1:13" x14ac:dyDescent="0.25">
      <c r="A1522" s="359" t="s">
        <v>1908</v>
      </c>
      <c r="B1522" s="359" t="s">
        <v>804</v>
      </c>
      <c r="C1522" s="359" t="s">
        <v>1432</v>
      </c>
      <c r="D1522" s="359" t="s">
        <v>1427</v>
      </c>
      <c r="E1522" s="361">
        <v>290.19102040799999</v>
      </c>
      <c r="F1522" s="359" t="s">
        <v>1412</v>
      </c>
      <c r="G1522" s="361">
        <v>5.2243534772709303E-6</v>
      </c>
      <c r="H1522" s="359" t="s">
        <v>490</v>
      </c>
      <c r="I1522" s="361">
        <v>4.1535903192913265E-6</v>
      </c>
      <c r="J1522" s="359" t="s">
        <v>1432</v>
      </c>
      <c r="K1522" s="359" t="s">
        <v>1277</v>
      </c>
      <c r="M1522" t="str">
        <f t="shared" si="24"/>
        <v>Selenium, total (as Se)</v>
      </c>
    </row>
    <row r="1523" spans="1:13" x14ac:dyDescent="0.25">
      <c r="A1523" s="359" t="s">
        <v>1908</v>
      </c>
      <c r="B1523" s="359" t="s">
        <v>804</v>
      </c>
      <c r="C1523" s="359" t="s">
        <v>1909</v>
      </c>
      <c r="D1523" s="359" t="s">
        <v>490</v>
      </c>
      <c r="E1523" s="361">
        <v>19524765.986400001</v>
      </c>
      <c r="F1523" s="359" t="s">
        <v>1412</v>
      </c>
      <c r="G1523" s="361">
        <v>5.2243534772709303E-6</v>
      </c>
      <c r="H1523" s="359" t="s">
        <v>490</v>
      </c>
      <c r="I1523" s="361">
        <v>0.27946377828479457</v>
      </c>
      <c r="J1523" s="359" t="s">
        <v>1605</v>
      </c>
      <c r="K1523" s="359" t="s">
        <v>1277</v>
      </c>
      <c r="M1523" t="str">
        <f t="shared" si="24"/>
        <v>Solids, total dissolved</v>
      </c>
    </row>
    <row r="1524" spans="1:13" x14ac:dyDescent="0.25">
      <c r="A1524" s="359" t="s">
        <v>1908</v>
      </c>
      <c r="B1524" s="359" t="s">
        <v>804</v>
      </c>
      <c r="C1524" s="359" t="s">
        <v>1322</v>
      </c>
      <c r="D1524" s="359" t="s">
        <v>490</v>
      </c>
      <c r="E1524" s="361">
        <v>332738.6472531</v>
      </c>
      <c r="F1524" s="359" t="s">
        <v>1412</v>
      </c>
      <c r="G1524" s="361">
        <v>5.2243534772709303E-6</v>
      </c>
      <c r="H1524" s="359" t="s">
        <v>490</v>
      </c>
      <c r="I1524" s="361">
        <v>4.7625871473949543E-3</v>
      </c>
      <c r="J1524" s="359" t="s">
        <v>1322</v>
      </c>
      <c r="K1524" s="359" t="s">
        <v>1277</v>
      </c>
      <c r="M1524" t="str">
        <f t="shared" si="24"/>
        <v>Solids, total suspended</v>
      </c>
    </row>
    <row r="1525" spans="1:13" x14ac:dyDescent="0.25">
      <c r="A1525" s="359" t="s">
        <v>1908</v>
      </c>
      <c r="B1525" s="359" t="s">
        <v>804</v>
      </c>
      <c r="C1525" s="359" t="s">
        <v>1323</v>
      </c>
      <c r="D1525" s="359" t="s">
        <v>1324</v>
      </c>
      <c r="E1525" s="361">
        <v>0</v>
      </c>
      <c r="F1525" s="359" t="s">
        <v>1412</v>
      </c>
      <c r="G1525" s="361">
        <v>5.2243534772709303E-6</v>
      </c>
      <c r="H1525" s="359" t="s">
        <v>490</v>
      </c>
      <c r="I1525" s="361">
        <v>0</v>
      </c>
      <c r="J1525" s="359" t="s">
        <v>1323</v>
      </c>
      <c r="K1525" s="359" t="s">
        <v>1277</v>
      </c>
      <c r="M1525" t="str">
        <f t="shared" si="24"/>
        <v>Sulfide, total (as S)</v>
      </c>
    </row>
    <row r="1526" spans="1:13" x14ac:dyDescent="0.25">
      <c r="A1526" s="359" t="s">
        <v>1908</v>
      </c>
      <c r="B1526" s="359" t="s">
        <v>804</v>
      </c>
      <c r="C1526" s="359" t="s">
        <v>291</v>
      </c>
      <c r="D1526" s="359" t="s">
        <v>1326</v>
      </c>
      <c r="E1526" s="361">
        <v>9.9469799999999999</v>
      </c>
      <c r="F1526" s="359" t="s">
        <v>1412</v>
      </c>
      <c r="G1526" s="361">
        <v>5.2243534772709303E-6</v>
      </c>
      <c r="H1526" s="359" t="s">
        <v>490</v>
      </c>
      <c r="I1526" s="361">
        <v>1.4237408096258738E-7</v>
      </c>
      <c r="J1526" s="359" t="s">
        <v>1325</v>
      </c>
      <c r="K1526" s="359" t="s">
        <v>1277</v>
      </c>
      <c r="M1526" t="str">
        <f t="shared" si="24"/>
        <v>TOLUENE</v>
      </c>
    </row>
    <row r="1527" spans="1:13" x14ac:dyDescent="0.25">
      <c r="A1527" s="359" t="s">
        <v>1910</v>
      </c>
      <c r="B1527" s="359" t="s">
        <v>848</v>
      </c>
      <c r="C1527" s="359" t="s">
        <v>1276</v>
      </c>
      <c r="D1527" s="359" t="s">
        <v>490</v>
      </c>
      <c r="E1527" s="361">
        <v>153500.2267574</v>
      </c>
      <c r="F1527" s="359" t="s">
        <v>1346</v>
      </c>
      <c r="G1527" s="361">
        <v>3.4652581501653321E-6</v>
      </c>
      <c r="H1527" s="359" t="s">
        <v>490</v>
      </c>
      <c r="I1527" s="361">
        <v>1.4573093474611149E-3</v>
      </c>
      <c r="J1527" s="359" t="s">
        <v>1276</v>
      </c>
      <c r="K1527" s="359" t="s">
        <v>1277</v>
      </c>
      <c r="M1527" t="str">
        <f t="shared" si="24"/>
        <v>BOD, 5-day, 20 deg. C</v>
      </c>
    </row>
    <row r="1528" spans="1:13" x14ac:dyDescent="0.25">
      <c r="A1528" s="359" t="s">
        <v>1910</v>
      </c>
      <c r="B1528" s="359" t="s">
        <v>848</v>
      </c>
      <c r="C1528" s="359" t="s">
        <v>1276</v>
      </c>
      <c r="D1528" s="359" t="s">
        <v>490</v>
      </c>
      <c r="E1528" s="361">
        <v>153500.2267574</v>
      </c>
      <c r="F1528" s="359" t="s">
        <v>1412</v>
      </c>
      <c r="G1528" s="361">
        <v>5.6892923675873452E-6</v>
      </c>
      <c r="H1528" s="359" t="s">
        <v>490</v>
      </c>
      <c r="I1528" s="361">
        <v>2.3926237493528835E-3</v>
      </c>
      <c r="J1528" s="359" t="s">
        <v>1276</v>
      </c>
      <c r="K1528" s="359" t="s">
        <v>1277</v>
      </c>
      <c r="M1528" t="str">
        <f t="shared" si="24"/>
        <v>BOD, 5-day, 20 deg. C</v>
      </c>
    </row>
    <row r="1529" spans="1:13" x14ac:dyDescent="0.25">
      <c r="A1529" s="359" t="s">
        <v>1910</v>
      </c>
      <c r="B1529" s="359" t="s">
        <v>848</v>
      </c>
      <c r="C1529" s="359" t="s">
        <v>1476</v>
      </c>
      <c r="D1529" s="359" t="s">
        <v>1477</v>
      </c>
      <c r="E1529" s="361">
        <v>547377.57058000006</v>
      </c>
      <c r="F1529" s="359" t="s">
        <v>1412</v>
      </c>
      <c r="G1529" s="361">
        <v>5.6892923675873452E-6</v>
      </c>
      <c r="H1529" s="359" t="s">
        <v>490</v>
      </c>
      <c r="I1529" s="361">
        <v>8.5320302314775276E-3</v>
      </c>
      <c r="J1529" s="359" t="s">
        <v>1476</v>
      </c>
      <c r="K1529" s="359" t="s">
        <v>1277</v>
      </c>
      <c r="M1529" t="str">
        <f t="shared" si="24"/>
        <v>Chloride (as Cl)</v>
      </c>
    </row>
    <row r="1530" spans="1:13" x14ac:dyDescent="0.25">
      <c r="A1530" s="359" t="s">
        <v>1910</v>
      </c>
      <c r="B1530" s="359" t="s">
        <v>848</v>
      </c>
      <c r="C1530" s="359" t="s">
        <v>1476</v>
      </c>
      <c r="D1530" s="359" t="s">
        <v>1477</v>
      </c>
      <c r="E1530" s="361">
        <v>547377.57058000006</v>
      </c>
      <c r="F1530" s="359" t="s">
        <v>1346</v>
      </c>
      <c r="G1530" s="361">
        <v>3.4652581501653321E-6</v>
      </c>
      <c r="H1530" s="359" t="s">
        <v>490</v>
      </c>
      <c r="I1530" s="361">
        <v>5.1967248977261493E-3</v>
      </c>
      <c r="J1530" s="359" t="s">
        <v>1476</v>
      </c>
      <c r="K1530" s="359" t="s">
        <v>1277</v>
      </c>
      <c r="M1530" t="str">
        <f t="shared" si="24"/>
        <v>Chloride (as Cl)</v>
      </c>
    </row>
    <row r="1531" spans="1:13" x14ac:dyDescent="0.25">
      <c r="A1531" s="359" t="s">
        <v>1910</v>
      </c>
      <c r="B1531" s="359" t="s">
        <v>848</v>
      </c>
      <c r="C1531" s="359" t="s">
        <v>1280</v>
      </c>
      <c r="D1531" s="359" t="s">
        <v>1281</v>
      </c>
      <c r="E1531" s="361">
        <v>1.9047619047619999</v>
      </c>
      <c r="F1531" s="359" t="s">
        <v>1346</v>
      </c>
      <c r="G1531" s="361">
        <v>3.4652581501653321E-6</v>
      </c>
      <c r="H1531" s="359" t="s">
        <v>490</v>
      </c>
      <c r="I1531" s="361">
        <v>1.8083538944112224E-8</v>
      </c>
      <c r="J1531" s="359" t="s">
        <v>1280</v>
      </c>
      <c r="K1531" s="359" t="s">
        <v>1277</v>
      </c>
      <c r="M1531" t="str">
        <f t="shared" si="24"/>
        <v>Chromium, hexavalent (as Cr)</v>
      </c>
    </row>
    <row r="1532" spans="1:13" x14ac:dyDescent="0.25">
      <c r="A1532" s="359" t="s">
        <v>1910</v>
      </c>
      <c r="B1532" s="359" t="s">
        <v>848</v>
      </c>
      <c r="C1532" s="359" t="s">
        <v>1280</v>
      </c>
      <c r="D1532" s="359" t="s">
        <v>1281</v>
      </c>
      <c r="E1532" s="361">
        <v>1.9047619047619999</v>
      </c>
      <c r="F1532" s="359" t="s">
        <v>1412</v>
      </c>
      <c r="G1532" s="361">
        <v>5.6892923675873452E-6</v>
      </c>
      <c r="H1532" s="359" t="s">
        <v>490</v>
      </c>
      <c r="I1532" s="361">
        <v>2.9689718813242685E-8</v>
      </c>
      <c r="J1532" s="359" t="s">
        <v>1280</v>
      </c>
      <c r="K1532" s="359" t="s">
        <v>1277</v>
      </c>
      <c r="M1532" t="str">
        <f t="shared" si="24"/>
        <v>Chromium, hexavalent (as Cr)</v>
      </c>
    </row>
    <row r="1533" spans="1:13" x14ac:dyDescent="0.25">
      <c r="A1533" s="359" t="s">
        <v>1910</v>
      </c>
      <c r="B1533" s="359" t="s">
        <v>848</v>
      </c>
      <c r="C1533" s="359" t="s">
        <v>1282</v>
      </c>
      <c r="D1533" s="359" t="s">
        <v>1283</v>
      </c>
      <c r="E1533" s="361">
        <v>0</v>
      </c>
      <c r="F1533" s="359" t="s">
        <v>1346</v>
      </c>
      <c r="G1533" s="361">
        <v>3.4652581501653321E-6</v>
      </c>
      <c r="H1533" s="359" t="s">
        <v>490</v>
      </c>
      <c r="I1533" s="361">
        <v>0</v>
      </c>
      <c r="J1533" s="359" t="s">
        <v>1282</v>
      </c>
      <c r="K1533" s="359" t="s">
        <v>1277</v>
      </c>
      <c r="M1533" t="str">
        <f t="shared" si="24"/>
        <v>Chromium, total (as Cr)</v>
      </c>
    </row>
    <row r="1534" spans="1:13" x14ac:dyDescent="0.25">
      <c r="A1534" s="359" t="s">
        <v>1910</v>
      </c>
      <c r="B1534" s="359" t="s">
        <v>848</v>
      </c>
      <c r="C1534" s="359" t="s">
        <v>1282</v>
      </c>
      <c r="D1534" s="359" t="s">
        <v>1283</v>
      </c>
      <c r="E1534" s="361">
        <v>0</v>
      </c>
      <c r="F1534" s="359" t="s">
        <v>1412</v>
      </c>
      <c r="G1534" s="361">
        <v>5.6892923675873452E-6</v>
      </c>
      <c r="H1534" s="359" t="s">
        <v>490</v>
      </c>
      <c r="I1534" s="361">
        <v>0</v>
      </c>
      <c r="J1534" s="359" t="s">
        <v>1282</v>
      </c>
      <c r="K1534" s="359" t="s">
        <v>1277</v>
      </c>
      <c r="M1534" t="str">
        <f t="shared" si="24"/>
        <v>Chromium, total (as Cr)</v>
      </c>
    </row>
    <row r="1535" spans="1:13" x14ac:dyDescent="0.25">
      <c r="A1535" s="359" t="s">
        <v>1910</v>
      </c>
      <c r="B1535" s="359" t="s">
        <v>848</v>
      </c>
      <c r="C1535" s="359" t="s">
        <v>1467</v>
      </c>
      <c r="D1535" s="359" t="s">
        <v>1441</v>
      </c>
      <c r="E1535" s="361">
        <v>6.3501702</v>
      </c>
      <c r="F1535" s="359" t="s">
        <v>1346</v>
      </c>
      <c r="G1535" s="361">
        <v>3.4652581501653321E-6</v>
      </c>
      <c r="H1535" s="359" t="s">
        <v>490</v>
      </c>
      <c r="I1535" s="361">
        <v>6.0287613809553476E-8</v>
      </c>
      <c r="J1535" s="359" t="s">
        <v>1467</v>
      </c>
      <c r="K1535" s="359" t="s">
        <v>1277</v>
      </c>
      <c r="M1535" t="str">
        <f t="shared" si="24"/>
        <v>Copper, total (as Cu)</v>
      </c>
    </row>
    <row r="1536" spans="1:13" x14ac:dyDescent="0.25">
      <c r="A1536" s="359" t="s">
        <v>1910</v>
      </c>
      <c r="B1536" s="359" t="s">
        <v>848</v>
      </c>
      <c r="C1536" s="359" t="s">
        <v>1467</v>
      </c>
      <c r="D1536" s="359" t="s">
        <v>1441</v>
      </c>
      <c r="E1536" s="361">
        <v>6.3501702</v>
      </c>
      <c r="F1536" s="359" t="s">
        <v>1412</v>
      </c>
      <c r="G1536" s="361">
        <v>5.6892923675873452E-6</v>
      </c>
      <c r="H1536" s="359" t="s">
        <v>490</v>
      </c>
      <c r="I1536" s="361">
        <v>9.8980753018467405E-8</v>
      </c>
      <c r="J1536" s="359" t="s">
        <v>1467</v>
      </c>
      <c r="K1536" s="359" t="s">
        <v>1277</v>
      </c>
      <c r="M1536" t="str">
        <f t="shared" si="24"/>
        <v>Copper, total (as Cu)</v>
      </c>
    </row>
    <row r="1537" spans="1:13" x14ac:dyDescent="0.25">
      <c r="A1537" s="359" t="s">
        <v>1910</v>
      </c>
      <c r="B1537" s="359" t="s">
        <v>848</v>
      </c>
      <c r="C1537" s="359" t="s">
        <v>1311</v>
      </c>
      <c r="D1537" s="359" t="s">
        <v>1312</v>
      </c>
      <c r="E1537" s="361">
        <v>53393.197279</v>
      </c>
      <c r="F1537" s="359" t="s">
        <v>1412</v>
      </c>
      <c r="G1537" s="361">
        <v>5.6892923675873452E-6</v>
      </c>
      <c r="H1537" s="359" t="s">
        <v>490</v>
      </c>
      <c r="I1537" s="361">
        <v>8.3224523222054825E-4</v>
      </c>
      <c r="J1537" s="359" t="s">
        <v>1313</v>
      </c>
      <c r="K1537" s="359" t="s">
        <v>1277</v>
      </c>
      <c r="M1537" t="str">
        <f t="shared" si="24"/>
        <v>AMMONIA</v>
      </c>
    </row>
    <row r="1538" spans="1:13" x14ac:dyDescent="0.25">
      <c r="A1538" s="359" t="s">
        <v>1910</v>
      </c>
      <c r="B1538" s="359" t="s">
        <v>848</v>
      </c>
      <c r="C1538" s="359" t="s">
        <v>1311</v>
      </c>
      <c r="D1538" s="359" t="s">
        <v>1312</v>
      </c>
      <c r="E1538" s="361">
        <v>53393.197279</v>
      </c>
      <c r="F1538" s="359" t="s">
        <v>1346</v>
      </c>
      <c r="G1538" s="361">
        <v>3.4652581501653321E-6</v>
      </c>
      <c r="H1538" s="359" t="s">
        <v>490</v>
      </c>
      <c r="I1538" s="361">
        <v>5.0690743023134297E-4</v>
      </c>
      <c r="J1538" s="359" t="s">
        <v>1313</v>
      </c>
      <c r="K1538" s="359" t="s">
        <v>1277</v>
      </c>
      <c r="M1538" t="str">
        <f t="shared" si="24"/>
        <v>AMMONIA</v>
      </c>
    </row>
    <row r="1539" spans="1:13" x14ac:dyDescent="0.25">
      <c r="A1539" s="359" t="s">
        <v>1910</v>
      </c>
      <c r="B1539" s="359" t="s">
        <v>848</v>
      </c>
      <c r="C1539" s="359" t="s">
        <v>1341</v>
      </c>
      <c r="D1539" s="359" t="s">
        <v>490</v>
      </c>
      <c r="E1539" s="361">
        <v>110000.9070294</v>
      </c>
      <c r="F1539" s="359" t="s">
        <v>1346</v>
      </c>
      <c r="G1539" s="361">
        <v>3.4652581501653321E-6</v>
      </c>
      <c r="H1539" s="359" t="s">
        <v>490</v>
      </c>
      <c r="I1539" s="361">
        <v>1.044332985230705E-3</v>
      </c>
      <c r="J1539" s="359" t="s">
        <v>1341</v>
      </c>
      <c r="K1539" s="359" t="s">
        <v>1277</v>
      </c>
      <c r="M1539" t="str">
        <f t="shared" si="24"/>
        <v>Oil &amp; grease</v>
      </c>
    </row>
    <row r="1540" spans="1:13" x14ac:dyDescent="0.25">
      <c r="A1540" s="359" t="s">
        <v>1910</v>
      </c>
      <c r="B1540" s="359" t="s">
        <v>848</v>
      </c>
      <c r="C1540" s="359" t="s">
        <v>1341</v>
      </c>
      <c r="D1540" s="359" t="s">
        <v>490</v>
      </c>
      <c r="E1540" s="361">
        <v>110000.9070294</v>
      </c>
      <c r="F1540" s="359" t="s">
        <v>1412</v>
      </c>
      <c r="G1540" s="361">
        <v>5.6892923675873452E-6</v>
      </c>
      <c r="H1540" s="359" t="s">
        <v>490</v>
      </c>
      <c r="I1540" s="361">
        <v>1.7145953994247959E-3</v>
      </c>
      <c r="J1540" s="359" t="s">
        <v>1341</v>
      </c>
      <c r="K1540" s="359" t="s">
        <v>1277</v>
      </c>
      <c r="M1540" t="str">
        <f t="shared" si="24"/>
        <v>Oil &amp; grease</v>
      </c>
    </row>
    <row r="1541" spans="1:13" x14ac:dyDescent="0.25">
      <c r="A1541" s="359" t="s">
        <v>1910</v>
      </c>
      <c r="B1541" s="359" t="s">
        <v>848</v>
      </c>
      <c r="C1541" s="359" t="s">
        <v>1457</v>
      </c>
      <c r="D1541" s="359" t="s">
        <v>490</v>
      </c>
      <c r="E1541" s="361">
        <v>2452782.7664399999</v>
      </c>
      <c r="F1541" s="359" t="s">
        <v>1346</v>
      </c>
      <c r="G1541" s="361">
        <v>3.4652581501653321E-6</v>
      </c>
      <c r="H1541" s="359" t="s">
        <v>490</v>
      </c>
      <c r="I1541" s="361">
        <v>2.3286371156140493E-2</v>
      </c>
      <c r="J1541" s="359" t="s">
        <v>1457</v>
      </c>
      <c r="K1541" s="359" t="s">
        <v>1277</v>
      </c>
      <c r="M1541" t="str">
        <f t="shared" si="24"/>
        <v>Chemical Oxygen Demand (COD)</v>
      </c>
    </row>
    <row r="1542" spans="1:13" x14ac:dyDescent="0.25">
      <c r="A1542" s="359" t="s">
        <v>1910</v>
      </c>
      <c r="B1542" s="359" t="s">
        <v>848</v>
      </c>
      <c r="C1542" s="359" t="s">
        <v>1457</v>
      </c>
      <c r="D1542" s="359" t="s">
        <v>490</v>
      </c>
      <c r="E1542" s="361">
        <v>2452782.7664399999</v>
      </c>
      <c r="F1542" s="359" t="s">
        <v>1412</v>
      </c>
      <c r="G1542" s="361">
        <v>5.6892923675873452E-6</v>
      </c>
      <c r="H1542" s="359" t="s">
        <v>490</v>
      </c>
      <c r="I1542" s="361">
        <v>3.823177608892292E-2</v>
      </c>
      <c r="J1542" s="359" t="s">
        <v>1457</v>
      </c>
      <c r="K1542" s="359" t="s">
        <v>1277</v>
      </c>
      <c r="M1542" t="str">
        <f t="shared" ref="M1542:M1605" si="25">IF(J1542="",C1542,J1542)</f>
        <v>Chemical Oxygen Demand (COD)</v>
      </c>
    </row>
    <row r="1543" spans="1:13" x14ac:dyDescent="0.25">
      <c r="A1543" s="359" t="s">
        <v>1910</v>
      </c>
      <c r="B1543" s="359" t="s">
        <v>848</v>
      </c>
      <c r="C1543" s="359" t="s">
        <v>1391</v>
      </c>
      <c r="D1543" s="359" t="s">
        <v>490</v>
      </c>
      <c r="E1543" s="361">
        <v>134.69387755100001</v>
      </c>
      <c r="F1543" s="359" t="s">
        <v>1346</v>
      </c>
      <c r="G1543" s="361">
        <v>3.4652581501653321E-6</v>
      </c>
      <c r="H1543" s="359" t="s">
        <v>490</v>
      </c>
      <c r="I1543" s="361">
        <v>1.2787645396191069E-6</v>
      </c>
      <c r="J1543" s="359" t="s">
        <v>1391</v>
      </c>
      <c r="K1543" s="359" t="s">
        <v>1277</v>
      </c>
      <c r="M1543" t="str">
        <f t="shared" si="25"/>
        <v>Phenolic compounds, total</v>
      </c>
    </row>
    <row r="1544" spans="1:13" x14ac:dyDescent="0.25">
      <c r="A1544" s="359" t="s">
        <v>1910</v>
      </c>
      <c r="B1544" s="359" t="s">
        <v>848</v>
      </c>
      <c r="C1544" s="359" t="s">
        <v>1391</v>
      </c>
      <c r="D1544" s="359" t="s">
        <v>490</v>
      </c>
      <c r="E1544" s="361">
        <v>134.69387755100001</v>
      </c>
      <c r="F1544" s="359" t="s">
        <v>1412</v>
      </c>
      <c r="G1544" s="361">
        <v>5.6892923675873452E-6</v>
      </c>
      <c r="H1544" s="359" t="s">
        <v>490</v>
      </c>
      <c r="I1544" s="361">
        <v>2.099487258936024E-6</v>
      </c>
      <c r="J1544" s="359" t="s">
        <v>1391</v>
      </c>
      <c r="K1544" s="359" t="s">
        <v>1277</v>
      </c>
      <c r="M1544" t="str">
        <f t="shared" si="25"/>
        <v>Phenolic compounds, total</v>
      </c>
    </row>
    <row r="1545" spans="1:13" x14ac:dyDescent="0.25">
      <c r="A1545" s="359" t="s">
        <v>1910</v>
      </c>
      <c r="B1545" s="359" t="s">
        <v>848</v>
      </c>
      <c r="C1545" s="359" t="s">
        <v>1911</v>
      </c>
      <c r="D1545" s="359" t="s">
        <v>1912</v>
      </c>
      <c r="E1545" s="361">
        <v>495388.94532</v>
      </c>
      <c r="F1545" s="359" t="s">
        <v>1346</v>
      </c>
      <c r="G1545" s="361">
        <v>3.4652581501653321E-6</v>
      </c>
      <c r="H1545" s="359" t="s">
        <v>490</v>
      </c>
      <c r="I1545" s="361">
        <v>4.7031522747176388E-3</v>
      </c>
      <c r="J1545" s="359" t="s">
        <v>1911</v>
      </c>
      <c r="K1545" s="359" t="s">
        <v>1277</v>
      </c>
      <c r="M1545" t="str">
        <f t="shared" si="25"/>
        <v>Sodium chloride (salt)</v>
      </c>
    </row>
    <row r="1546" spans="1:13" x14ac:dyDescent="0.25">
      <c r="A1546" s="359" t="s">
        <v>1910</v>
      </c>
      <c r="B1546" s="359" t="s">
        <v>848</v>
      </c>
      <c r="C1546" s="359" t="s">
        <v>1911</v>
      </c>
      <c r="D1546" s="359" t="s">
        <v>1912</v>
      </c>
      <c r="E1546" s="361">
        <v>495388.94532</v>
      </c>
      <c r="F1546" s="359" t="s">
        <v>1412</v>
      </c>
      <c r="G1546" s="361">
        <v>5.6892923675873452E-6</v>
      </c>
      <c r="H1546" s="359" t="s">
        <v>490</v>
      </c>
      <c r="I1546" s="361">
        <v>7.7216782071129328E-3</v>
      </c>
      <c r="J1546" s="359" t="s">
        <v>1911</v>
      </c>
      <c r="K1546" s="359" t="s">
        <v>1277</v>
      </c>
      <c r="M1546" t="str">
        <f t="shared" si="25"/>
        <v>Sodium chloride (salt)</v>
      </c>
    </row>
    <row r="1547" spans="1:13" x14ac:dyDescent="0.25">
      <c r="A1547" s="359" t="s">
        <v>1910</v>
      </c>
      <c r="B1547" s="359" t="s">
        <v>848</v>
      </c>
      <c r="C1547" s="359" t="s">
        <v>1605</v>
      </c>
      <c r="D1547" s="359" t="s">
        <v>490</v>
      </c>
      <c r="E1547" s="361">
        <v>543195.90257999999</v>
      </c>
      <c r="F1547" s="359" t="s">
        <v>1346</v>
      </c>
      <c r="G1547" s="361">
        <v>3.4652581501653321E-6</v>
      </c>
      <c r="H1547" s="359" t="s">
        <v>490</v>
      </c>
      <c r="I1547" s="361">
        <v>5.157024735758243E-3</v>
      </c>
      <c r="J1547" s="359" t="s">
        <v>1605</v>
      </c>
      <c r="K1547" s="359" t="s">
        <v>1277</v>
      </c>
      <c r="M1547" t="str">
        <f t="shared" si="25"/>
        <v>Solids, total dissolved</v>
      </c>
    </row>
    <row r="1548" spans="1:13" x14ac:dyDescent="0.25">
      <c r="A1548" s="359" t="s">
        <v>1910</v>
      </c>
      <c r="B1548" s="359" t="s">
        <v>848</v>
      </c>
      <c r="C1548" s="359" t="s">
        <v>1605</v>
      </c>
      <c r="D1548" s="359" t="s">
        <v>490</v>
      </c>
      <c r="E1548" s="361">
        <v>543195.90257999999</v>
      </c>
      <c r="F1548" s="359" t="s">
        <v>1412</v>
      </c>
      <c r="G1548" s="361">
        <v>5.6892923675873452E-6</v>
      </c>
      <c r="H1548" s="359" t="s">
        <v>490</v>
      </c>
      <c r="I1548" s="361">
        <v>8.4668501442551041E-3</v>
      </c>
      <c r="J1548" s="359" t="s">
        <v>1605</v>
      </c>
      <c r="K1548" s="359" t="s">
        <v>1277</v>
      </c>
      <c r="M1548" t="str">
        <f t="shared" si="25"/>
        <v>Solids, total dissolved</v>
      </c>
    </row>
    <row r="1549" spans="1:13" x14ac:dyDescent="0.25">
      <c r="A1549" s="359" t="s">
        <v>1910</v>
      </c>
      <c r="B1549" s="359" t="s">
        <v>848</v>
      </c>
      <c r="C1549" s="359" t="s">
        <v>1322</v>
      </c>
      <c r="D1549" s="359" t="s">
        <v>490</v>
      </c>
      <c r="E1549" s="361">
        <v>412032.653062</v>
      </c>
      <c r="F1549" s="359" t="s">
        <v>1412</v>
      </c>
      <c r="G1549" s="361">
        <v>5.6892923675873452E-6</v>
      </c>
      <c r="H1549" s="359" t="s">
        <v>490</v>
      </c>
      <c r="I1549" s="361">
        <v>6.4223951459243863E-3</v>
      </c>
      <c r="J1549" s="359" t="s">
        <v>1322</v>
      </c>
      <c r="K1549" s="359" t="s">
        <v>1277</v>
      </c>
      <c r="M1549" t="str">
        <f t="shared" si="25"/>
        <v>Solids, total suspended</v>
      </c>
    </row>
    <row r="1550" spans="1:13" x14ac:dyDescent="0.25">
      <c r="A1550" s="359" t="s">
        <v>1910</v>
      </c>
      <c r="B1550" s="359" t="s">
        <v>848</v>
      </c>
      <c r="C1550" s="359" t="s">
        <v>1322</v>
      </c>
      <c r="D1550" s="359" t="s">
        <v>490</v>
      </c>
      <c r="E1550" s="361">
        <v>412032.653062</v>
      </c>
      <c r="F1550" s="359" t="s">
        <v>1346</v>
      </c>
      <c r="G1550" s="361">
        <v>3.4652581501653321E-6</v>
      </c>
      <c r="H1550" s="359" t="s">
        <v>490</v>
      </c>
      <c r="I1550" s="361">
        <v>3.9117794771433975E-3</v>
      </c>
      <c r="J1550" s="359" t="s">
        <v>1322</v>
      </c>
      <c r="K1550" s="359" t="s">
        <v>1277</v>
      </c>
      <c r="M1550" t="str">
        <f t="shared" si="25"/>
        <v>Solids, total suspended</v>
      </c>
    </row>
    <row r="1551" spans="1:13" x14ac:dyDescent="0.25">
      <c r="A1551" s="359" t="s">
        <v>1910</v>
      </c>
      <c r="B1551" s="359" t="s">
        <v>848</v>
      </c>
      <c r="C1551" s="359" t="s">
        <v>1323</v>
      </c>
      <c r="D1551" s="359" t="s">
        <v>1324</v>
      </c>
      <c r="E1551" s="361">
        <v>311.74603174600003</v>
      </c>
      <c r="F1551" s="359" t="s">
        <v>1346</v>
      </c>
      <c r="G1551" s="361">
        <v>3.4652581501653321E-6</v>
      </c>
      <c r="H1551" s="359" t="s">
        <v>490</v>
      </c>
      <c r="I1551" s="361">
        <v>2.9596725405192521E-6</v>
      </c>
      <c r="J1551" s="359" t="s">
        <v>1323</v>
      </c>
      <c r="K1551" s="359" t="s">
        <v>1277</v>
      </c>
      <c r="M1551" t="str">
        <f t="shared" si="25"/>
        <v>Sulfide, total (as S)</v>
      </c>
    </row>
    <row r="1552" spans="1:13" x14ac:dyDescent="0.25">
      <c r="A1552" s="359" t="s">
        <v>1910</v>
      </c>
      <c r="B1552" s="359" t="s">
        <v>848</v>
      </c>
      <c r="C1552" s="359" t="s">
        <v>1323</v>
      </c>
      <c r="D1552" s="359" t="s">
        <v>1324</v>
      </c>
      <c r="E1552" s="361">
        <v>311.74603174600003</v>
      </c>
      <c r="F1552" s="359" t="s">
        <v>1412</v>
      </c>
      <c r="G1552" s="361">
        <v>5.6892923675873452E-6</v>
      </c>
      <c r="H1552" s="359" t="s">
        <v>490</v>
      </c>
      <c r="I1552" s="361">
        <v>4.8592173124333151E-6</v>
      </c>
      <c r="J1552" s="359" t="s">
        <v>1323</v>
      </c>
      <c r="K1552" s="359" t="s">
        <v>1277</v>
      </c>
      <c r="M1552" t="str">
        <f t="shared" si="25"/>
        <v>Sulfide, total (as S)</v>
      </c>
    </row>
    <row r="1553" spans="1:13" ht="30" x14ac:dyDescent="0.25">
      <c r="A1553" s="359" t="s">
        <v>1913</v>
      </c>
      <c r="B1553" s="359" t="s">
        <v>887</v>
      </c>
      <c r="C1553" s="359" t="s">
        <v>1313</v>
      </c>
      <c r="D1553" s="359" t="s">
        <v>1312</v>
      </c>
      <c r="E1553" s="360"/>
      <c r="F1553" s="359" t="s">
        <v>1412</v>
      </c>
      <c r="G1553" s="361">
        <v>6.7294751009421264E-6</v>
      </c>
      <c r="H1553" s="359" t="s">
        <v>1914</v>
      </c>
      <c r="I1553" s="361">
        <v>6.8999402814792363</v>
      </c>
      <c r="J1553" s="359" t="s">
        <v>1313</v>
      </c>
      <c r="K1553" s="359" t="s">
        <v>1272</v>
      </c>
      <c r="M1553" t="str">
        <f t="shared" si="25"/>
        <v>AMMONIA</v>
      </c>
    </row>
    <row r="1554" spans="1:13" ht="30" x14ac:dyDescent="0.25">
      <c r="A1554" s="359" t="s">
        <v>1913</v>
      </c>
      <c r="B1554" s="359" t="s">
        <v>887</v>
      </c>
      <c r="C1554" s="359" t="s">
        <v>1349</v>
      </c>
      <c r="D1554" s="359" t="s">
        <v>1350</v>
      </c>
      <c r="E1554" s="360"/>
      <c r="F1554" s="359" t="s">
        <v>1412</v>
      </c>
      <c r="G1554" s="361">
        <v>6.7294751009421264E-6</v>
      </c>
      <c r="H1554" s="359" t="s">
        <v>1286</v>
      </c>
      <c r="I1554" s="361">
        <v>0</v>
      </c>
      <c r="J1554" s="359" t="s">
        <v>1349</v>
      </c>
      <c r="K1554" s="359" t="s">
        <v>1272</v>
      </c>
      <c r="M1554" t="str">
        <f t="shared" si="25"/>
        <v>ANTHRACENE</v>
      </c>
    </row>
    <row r="1555" spans="1:13" ht="30" x14ac:dyDescent="0.25">
      <c r="A1555" s="359" t="s">
        <v>1913</v>
      </c>
      <c r="B1555" s="359" t="s">
        <v>887</v>
      </c>
      <c r="C1555" s="359" t="s">
        <v>1273</v>
      </c>
      <c r="D1555" s="359" t="s">
        <v>1274</v>
      </c>
      <c r="E1555" s="360"/>
      <c r="F1555" s="359" t="s">
        <v>1412</v>
      </c>
      <c r="G1555" s="361">
        <v>6.7294751009421264E-6</v>
      </c>
      <c r="H1555" s="359" t="s">
        <v>1333</v>
      </c>
      <c r="I1555" s="361">
        <v>1.1141515067784977E-3</v>
      </c>
      <c r="J1555" s="359" t="s">
        <v>1273</v>
      </c>
      <c r="K1555" s="359" t="s">
        <v>1272</v>
      </c>
      <c r="M1555" t="str">
        <f t="shared" si="25"/>
        <v>BENZENE</v>
      </c>
    </row>
    <row r="1556" spans="1:13" ht="30" x14ac:dyDescent="0.25">
      <c r="A1556" s="359" t="s">
        <v>1913</v>
      </c>
      <c r="B1556" s="359" t="s">
        <v>887</v>
      </c>
      <c r="C1556" s="359" t="s">
        <v>1352</v>
      </c>
      <c r="D1556" s="359" t="s">
        <v>1353</v>
      </c>
      <c r="E1556" s="360"/>
      <c r="F1556" s="359" t="s">
        <v>1412</v>
      </c>
      <c r="G1556" s="361">
        <v>6.7294751009421264E-6</v>
      </c>
      <c r="H1556" s="359" t="s">
        <v>1286</v>
      </c>
      <c r="I1556" s="361">
        <v>0</v>
      </c>
      <c r="J1556" s="359" t="s">
        <v>1352</v>
      </c>
      <c r="K1556" s="359" t="s">
        <v>1272</v>
      </c>
      <c r="M1556" t="str">
        <f t="shared" si="25"/>
        <v>BENZO(G,H,I)PERYLENE</v>
      </c>
    </row>
    <row r="1557" spans="1:13" ht="30" x14ac:dyDescent="0.25">
      <c r="A1557" s="359" t="s">
        <v>1913</v>
      </c>
      <c r="B1557" s="359" t="s">
        <v>887</v>
      </c>
      <c r="C1557" s="359" t="s">
        <v>1288</v>
      </c>
      <c r="D1557" s="359" t="s">
        <v>1289</v>
      </c>
      <c r="E1557" s="360"/>
      <c r="F1557" s="359" t="s">
        <v>1412</v>
      </c>
      <c r="G1557" s="361">
        <v>6.7294751009421264E-6</v>
      </c>
      <c r="H1557" s="359" t="s">
        <v>1915</v>
      </c>
      <c r="I1557" s="361">
        <v>0.12032836273207775</v>
      </c>
      <c r="J1557" s="359" t="s">
        <v>1288</v>
      </c>
      <c r="K1557" s="359" t="s">
        <v>1272</v>
      </c>
      <c r="M1557" t="str">
        <f t="shared" si="25"/>
        <v>CYANIDE COMPOUNDS</v>
      </c>
    </row>
    <row r="1558" spans="1:13" ht="30" x14ac:dyDescent="0.25">
      <c r="A1558" s="359" t="s">
        <v>1913</v>
      </c>
      <c r="B1558" s="359" t="s">
        <v>887</v>
      </c>
      <c r="C1558" s="359" t="s">
        <v>1295</v>
      </c>
      <c r="D1558" s="359" t="s">
        <v>1296</v>
      </c>
      <c r="E1558" s="360"/>
      <c r="F1558" s="359" t="s">
        <v>1412</v>
      </c>
      <c r="G1558" s="361">
        <v>6.7294751009421264E-6</v>
      </c>
      <c r="H1558" s="359" t="s">
        <v>1270</v>
      </c>
      <c r="I1558" s="361">
        <v>2.2283030135569954E-3</v>
      </c>
      <c r="J1558" s="359" t="s">
        <v>1295</v>
      </c>
      <c r="K1558" s="359" t="s">
        <v>1272</v>
      </c>
      <c r="M1558" t="str">
        <f t="shared" si="25"/>
        <v>ETHYLBENZENE</v>
      </c>
    </row>
    <row r="1559" spans="1:13" ht="30" x14ac:dyDescent="0.25">
      <c r="A1559" s="359" t="s">
        <v>1913</v>
      </c>
      <c r="B1559" s="359" t="s">
        <v>887</v>
      </c>
      <c r="C1559" s="359" t="s">
        <v>1371</v>
      </c>
      <c r="D1559" s="359" t="s">
        <v>1372</v>
      </c>
      <c r="E1559" s="360"/>
      <c r="F1559" s="359" t="s">
        <v>1412</v>
      </c>
      <c r="G1559" s="361">
        <v>6.7294751009421264E-6</v>
      </c>
      <c r="H1559" s="359" t="s">
        <v>1916</v>
      </c>
      <c r="I1559" s="361">
        <v>0.16378027149643914</v>
      </c>
      <c r="J1559" s="359" t="s">
        <v>1371</v>
      </c>
      <c r="K1559" s="359" t="s">
        <v>1272</v>
      </c>
      <c r="M1559" t="str">
        <f t="shared" si="25"/>
        <v>HYDROGEN CYANIDE</v>
      </c>
    </row>
    <row r="1560" spans="1:13" ht="30" x14ac:dyDescent="0.25">
      <c r="A1560" s="359" t="s">
        <v>1913</v>
      </c>
      <c r="B1560" s="359" t="s">
        <v>887</v>
      </c>
      <c r="C1560" s="359" t="s">
        <v>1297</v>
      </c>
      <c r="D1560" s="359" t="s">
        <v>1298</v>
      </c>
      <c r="E1560" s="360"/>
      <c r="F1560" s="359" t="s">
        <v>1412</v>
      </c>
      <c r="G1560" s="361">
        <v>6.7294751009421264E-6</v>
      </c>
      <c r="H1560" s="359" t="s">
        <v>1351</v>
      </c>
      <c r="I1560" s="361">
        <v>1.4483969588120468E-2</v>
      </c>
      <c r="J1560" s="359" t="s">
        <v>1297</v>
      </c>
      <c r="K1560" s="359" t="s">
        <v>1272</v>
      </c>
      <c r="M1560" t="str">
        <f t="shared" si="25"/>
        <v>LEAD AND LEAD COMPOUNDS</v>
      </c>
    </row>
    <row r="1561" spans="1:13" ht="30" x14ac:dyDescent="0.25">
      <c r="A1561" s="359" t="s">
        <v>1913</v>
      </c>
      <c r="B1561" s="359" t="s">
        <v>887</v>
      </c>
      <c r="C1561" s="359" t="s">
        <v>1300</v>
      </c>
      <c r="D1561" s="359" t="s">
        <v>1301</v>
      </c>
      <c r="E1561" s="360"/>
      <c r="F1561" s="359" t="s">
        <v>1412</v>
      </c>
      <c r="G1561" s="361">
        <v>6.7294751009421264E-6</v>
      </c>
      <c r="H1561" s="359" t="s">
        <v>1286</v>
      </c>
      <c r="I1561" s="361">
        <v>0</v>
      </c>
      <c r="J1561" s="359" t="s">
        <v>1300</v>
      </c>
      <c r="K1561" s="359" t="s">
        <v>1272</v>
      </c>
      <c r="M1561" t="str">
        <f t="shared" si="25"/>
        <v>MERCURY AND MERCURY COMPOUNDS</v>
      </c>
    </row>
    <row r="1562" spans="1:13" ht="30" x14ac:dyDescent="0.25">
      <c r="A1562" s="359" t="s">
        <v>1913</v>
      </c>
      <c r="B1562" s="359" t="s">
        <v>887</v>
      </c>
      <c r="C1562" s="359" t="s">
        <v>1303</v>
      </c>
      <c r="D1562" s="359" t="s">
        <v>1304</v>
      </c>
      <c r="E1562" s="360"/>
      <c r="F1562" s="359" t="s">
        <v>1412</v>
      </c>
      <c r="G1562" s="361">
        <v>6.7294751009421264E-6</v>
      </c>
      <c r="H1562" s="359" t="s">
        <v>1286</v>
      </c>
      <c r="I1562" s="361">
        <v>0</v>
      </c>
      <c r="J1562" s="359" t="s">
        <v>1303</v>
      </c>
      <c r="K1562" s="359" t="s">
        <v>1272</v>
      </c>
      <c r="M1562" t="str">
        <f t="shared" si="25"/>
        <v>NAPHTHALENE</v>
      </c>
    </row>
    <row r="1563" spans="1:13" ht="30" x14ac:dyDescent="0.25">
      <c r="A1563" s="359" t="s">
        <v>1913</v>
      </c>
      <c r="B1563" s="359" t="s">
        <v>887</v>
      </c>
      <c r="C1563" s="359" t="s">
        <v>1384</v>
      </c>
      <c r="D1563" s="359" t="s">
        <v>1385</v>
      </c>
      <c r="E1563" s="360"/>
      <c r="F1563" s="359" t="s">
        <v>1412</v>
      </c>
      <c r="G1563" s="361">
        <v>6.7294751009421264E-6</v>
      </c>
      <c r="H1563" s="359" t="s">
        <v>1563</v>
      </c>
      <c r="I1563" s="361">
        <v>2.5625484655905448E-2</v>
      </c>
      <c r="J1563" s="359" t="s">
        <v>1384</v>
      </c>
      <c r="K1563" s="359" t="s">
        <v>1272</v>
      </c>
      <c r="M1563" t="str">
        <f t="shared" si="25"/>
        <v>NICKEL AND NICKEL COMPOUNDS</v>
      </c>
    </row>
    <row r="1564" spans="1:13" ht="30" x14ac:dyDescent="0.25">
      <c r="A1564" s="359" t="s">
        <v>1913</v>
      </c>
      <c r="B1564" s="359" t="s">
        <v>887</v>
      </c>
      <c r="C1564" s="359" t="s">
        <v>1388</v>
      </c>
      <c r="D1564" s="359" t="s">
        <v>1389</v>
      </c>
      <c r="E1564" s="360"/>
      <c r="F1564" s="359" t="s">
        <v>1412</v>
      </c>
      <c r="G1564" s="361">
        <v>6.7294751009421264E-6</v>
      </c>
      <c r="H1564" s="359" t="s">
        <v>1286</v>
      </c>
      <c r="I1564" s="361">
        <v>0</v>
      </c>
      <c r="J1564" s="359" t="s">
        <v>1388</v>
      </c>
      <c r="K1564" s="359" t="s">
        <v>1272</v>
      </c>
      <c r="M1564" t="str">
        <f t="shared" si="25"/>
        <v>PHENANTHRENE</v>
      </c>
    </row>
    <row r="1565" spans="1:13" ht="30" x14ac:dyDescent="0.25">
      <c r="A1565" s="359" t="s">
        <v>1913</v>
      </c>
      <c r="B1565" s="359" t="s">
        <v>887</v>
      </c>
      <c r="C1565" s="359" t="s">
        <v>1315</v>
      </c>
      <c r="D1565" s="359" t="s">
        <v>1316</v>
      </c>
      <c r="E1565" s="360"/>
      <c r="F1565" s="359" t="s">
        <v>1412</v>
      </c>
      <c r="G1565" s="361">
        <v>6.7294751009421264E-6</v>
      </c>
      <c r="H1565" s="359" t="s">
        <v>1917</v>
      </c>
      <c r="I1565" s="361">
        <v>0.36544169422334727</v>
      </c>
      <c r="J1565" s="359" t="s">
        <v>1315</v>
      </c>
      <c r="K1565" s="359" t="s">
        <v>1272</v>
      </c>
      <c r="M1565" t="str">
        <f t="shared" si="25"/>
        <v>PHENOL</v>
      </c>
    </row>
    <row r="1566" spans="1:13" ht="30" x14ac:dyDescent="0.25">
      <c r="A1566" s="359" t="s">
        <v>1913</v>
      </c>
      <c r="B1566" s="359" t="s">
        <v>887</v>
      </c>
      <c r="C1566" s="359" t="s">
        <v>1319</v>
      </c>
      <c r="D1566" s="359" t="s">
        <v>1320</v>
      </c>
      <c r="E1566" s="360"/>
      <c r="F1566" s="359" t="s">
        <v>1412</v>
      </c>
      <c r="G1566" s="361">
        <v>6.7294751009421264E-6</v>
      </c>
      <c r="H1566" s="359" t="s">
        <v>1333</v>
      </c>
      <c r="I1566" s="361">
        <v>1.1141515067784977E-3</v>
      </c>
      <c r="J1566" s="359" t="s">
        <v>1319</v>
      </c>
      <c r="K1566" s="359" t="s">
        <v>1272</v>
      </c>
      <c r="M1566" t="str">
        <f t="shared" si="25"/>
        <v>POLYCYCLIC AROMATIC COMPOUNDS</v>
      </c>
    </row>
    <row r="1567" spans="1:13" ht="30" x14ac:dyDescent="0.25">
      <c r="A1567" s="359" t="s">
        <v>1913</v>
      </c>
      <c r="B1567" s="359" t="s">
        <v>887</v>
      </c>
      <c r="C1567" s="359" t="s">
        <v>1396</v>
      </c>
      <c r="D1567" s="359" t="s">
        <v>1397</v>
      </c>
      <c r="E1567" s="360"/>
      <c r="F1567" s="359" t="s">
        <v>1412</v>
      </c>
      <c r="G1567" s="361">
        <v>6.7294751009421264E-6</v>
      </c>
      <c r="H1567" s="359" t="s">
        <v>1333</v>
      </c>
      <c r="I1567" s="361">
        <v>1.1141515067784977E-3</v>
      </c>
      <c r="J1567" s="359" t="s">
        <v>1398</v>
      </c>
      <c r="K1567" s="359" t="s">
        <v>1272</v>
      </c>
      <c r="M1567" t="str">
        <f t="shared" si="25"/>
        <v>PERCHLOROETHYLENE</v>
      </c>
    </row>
    <row r="1568" spans="1:13" ht="30" x14ac:dyDescent="0.25">
      <c r="A1568" s="359" t="s">
        <v>1913</v>
      </c>
      <c r="B1568" s="359" t="s">
        <v>887</v>
      </c>
      <c r="C1568" s="359" t="s">
        <v>1325</v>
      </c>
      <c r="D1568" s="359" t="s">
        <v>1326</v>
      </c>
      <c r="E1568" s="360"/>
      <c r="F1568" s="359" t="s">
        <v>1412</v>
      </c>
      <c r="G1568" s="361">
        <v>6.7294751009421264E-6</v>
      </c>
      <c r="H1568" s="359" t="s">
        <v>1905</v>
      </c>
      <c r="I1568" s="361">
        <v>3.2310393696576435E-2</v>
      </c>
      <c r="J1568" s="359" t="s">
        <v>1325</v>
      </c>
      <c r="K1568" s="359" t="s">
        <v>1272</v>
      </c>
      <c r="M1568" t="str">
        <f t="shared" si="25"/>
        <v>TOLUENE</v>
      </c>
    </row>
    <row r="1569" spans="1:13" ht="30" x14ac:dyDescent="0.25">
      <c r="A1569" s="359" t="s">
        <v>1918</v>
      </c>
      <c r="B1569" s="359" t="s">
        <v>750</v>
      </c>
      <c r="C1569" s="359" t="s">
        <v>1268</v>
      </c>
      <c r="D1569" s="359" t="s">
        <v>1269</v>
      </c>
      <c r="E1569" s="360"/>
      <c r="F1569" s="359" t="s">
        <v>1270</v>
      </c>
      <c r="G1569" s="361">
        <v>1.3513513513513513E-5</v>
      </c>
      <c r="H1569" s="359" t="s">
        <v>1286</v>
      </c>
      <c r="I1569" s="361">
        <v>0</v>
      </c>
      <c r="J1569" s="359" t="s">
        <v>1268</v>
      </c>
      <c r="K1569" s="359" t="s">
        <v>1272</v>
      </c>
      <c r="M1569" t="str">
        <f t="shared" si="25"/>
        <v>1,2,4-TRIMETHYLBENZENE</v>
      </c>
    </row>
    <row r="1570" spans="1:13" ht="30" x14ac:dyDescent="0.25">
      <c r="A1570" s="359" t="s">
        <v>1918</v>
      </c>
      <c r="B1570" s="359" t="s">
        <v>750</v>
      </c>
      <c r="C1570" s="359" t="s">
        <v>1347</v>
      </c>
      <c r="D1570" s="359" t="s">
        <v>1348</v>
      </c>
      <c r="E1570" s="360"/>
      <c r="F1570" s="359" t="s">
        <v>1270</v>
      </c>
      <c r="G1570" s="361">
        <v>1.3513513513513513E-5</v>
      </c>
      <c r="H1570" s="359" t="s">
        <v>1270</v>
      </c>
      <c r="I1570" s="361">
        <v>4.4746733488455342E-3</v>
      </c>
      <c r="J1570" s="359" t="s">
        <v>1347</v>
      </c>
      <c r="K1570" s="359" t="s">
        <v>1272</v>
      </c>
      <c r="M1570" t="str">
        <f t="shared" si="25"/>
        <v>1,3-BUTADIENE</v>
      </c>
    </row>
    <row r="1571" spans="1:13" ht="30" x14ac:dyDescent="0.25">
      <c r="A1571" s="359" t="s">
        <v>1918</v>
      </c>
      <c r="B1571" s="359" t="s">
        <v>750</v>
      </c>
      <c r="C1571" s="359" t="s">
        <v>1273</v>
      </c>
      <c r="D1571" s="359" t="s">
        <v>1274</v>
      </c>
      <c r="E1571" s="360"/>
      <c r="F1571" s="359" t="s">
        <v>1270</v>
      </c>
      <c r="G1571" s="361">
        <v>1.3513513513513513E-5</v>
      </c>
      <c r="H1571" s="359" t="s">
        <v>1754</v>
      </c>
      <c r="I1571" s="361">
        <v>5.5933416860569171E-2</v>
      </c>
      <c r="J1571" s="359" t="s">
        <v>1273</v>
      </c>
      <c r="K1571" s="359" t="s">
        <v>1272</v>
      </c>
      <c r="M1571" t="str">
        <f t="shared" si="25"/>
        <v>BENZENE</v>
      </c>
    </row>
    <row r="1572" spans="1:13" ht="30" x14ac:dyDescent="0.25">
      <c r="A1572" s="359" t="s">
        <v>1918</v>
      </c>
      <c r="B1572" s="359" t="s">
        <v>750</v>
      </c>
      <c r="C1572" s="359" t="s">
        <v>1352</v>
      </c>
      <c r="D1572" s="359" t="s">
        <v>1353</v>
      </c>
      <c r="E1572" s="360"/>
      <c r="F1572" s="359" t="s">
        <v>1270</v>
      </c>
      <c r="G1572" s="361">
        <v>1.3513513513513513E-5</v>
      </c>
      <c r="H1572" s="359" t="s">
        <v>1286</v>
      </c>
      <c r="I1572" s="361">
        <v>0</v>
      </c>
      <c r="J1572" s="359" t="s">
        <v>1352</v>
      </c>
      <c r="K1572" s="359" t="s">
        <v>1272</v>
      </c>
      <c r="M1572" t="str">
        <f t="shared" si="25"/>
        <v>BENZO(G,H,I)PERYLENE</v>
      </c>
    </row>
    <row r="1573" spans="1:13" ht="30" x14ac:dyDescent="0.25">
      <c r="A1573" s="359" t="s">
        <v>1918</v>
      </c>
      <c r="B1573" s="359" t="s">
        <v>750</v>
      </c>
      <c r="C1573" s="359" t="s">
        <v>1276</v>
      </c>
      <c r="D1573" s="359" t="s">
        <v>490</v>
      </c>
      <c r="E1573" s="361">
        <v>11641.3</v>
      </c>
      <c r="F1573" s="359" t="s">
        <v>1270</v>
      </c>
      <c r="G1573" s="361">
        <v>1.3513513513513513E-5</v>
      </c>
      <c r="H1573" s="359" t="s">
        <v>490</v>
      </c>
      <c r="I1573" s="361">
        <v>4.3099962976675301E-4</v>
      </c>
      <c r="J1573" s="359" t="s">
        <v>1276</v>
      </c>
      <c r="K1573" s="359" t="s">
        <v>1277</v>
      </c>
      <c r="M1573" t="str">
        <f t="shared" si="25"/>
        <v>BOD, 5-day, 20 deg. C</v>
      </c>
    </row>
    <row r="1574" spans="1:13" ht="30" x14ac:dyDescent="0.25">
      <c r="A1574" s="359" t="s">
        <v>1918</v>
      </c>
      <c r="B1574" s="359" t="s">
        <v>750</v>
      </c>
      <c r="C1574" s="359" t="s">
        <v>1457</v>
      </c>
      <c r="D1574" s="359" t="s">
        <v>490</v>
      </c>
      <c r="E1574" s="361">
        <v>46638.6</v>
      </c>
      <c r="F1574" s="359" t="s">
        <v>1270</v>
      </c>
      <c r="G1574" s="361">
        <v>1.3513513513513513E-5</v>
      </c>
      <c r="H1574" s="359" t="s">
        <v>490</v>
      </c>
      <c r="I1574" s="361">
        <v>1.7267160310995926E-3</v>
      </c>
      <c r="J1574" s="359" t="s">
        <v>1457</v>
      </c>
      <c r="K1574" s="359" t="s">
        <v>1277</v>
      </c>
      <c r="M1574" t="str">
        <f t="shared" si="25"/>
        <v>Chemical Oxygen Demand (COD)</v>
      </c>
    </row>
    <row r="1575" spans="1:13" ht="30" x14ac:dyDescent="0.25">
      <c r="A1575" s="359" t="s">
        <v>1918</v>
      </c>
      <c r="B1575" s="359" t="s">
        <v>750</v>
      </c>
      <c r="C1575" s="359" t="s">
        <v>1485</v>
      </c>
      <c r="D1575" s="359" t="s">
        <v>1486</v>
      </c>
      <c r="E1575" s="360"/>
      <c r="F1575" s="359" t="s">
        <v>1270</v>
      </c>
      <c r="G1575" s="361">
        <v>1.3513513513513513E-5</v>
      </c>
      <c r="H1575" s="359" t="s">
        <v>1271</v>
      </c>
      <c r="I1575" s="361">
        <v>1.7898693395382137E-2</v>
      </c>
      <c r="J1575" s="359" t="s">
        <v>1485</v>
      </c>
      <c r="K1575" s="359" t="s">
        <v>1272</v>
      </c>
      <c r="M1575" t="str">
        <f t="shared" si="25"/>
        <v>COBALT AND COBALT COMPOUNDS</v>
      </c>
    </row>
    <row r="1576" spans="1:13" ht="30" x14ac:dyDescent="0.25">
      <c r="A1576" s="359" t="s">
        <v>1918</v>
      </c>
      <c r="B1576" s="359" t="s">
        <v>750</v>
      </c>
      <c r="C1576" s="359" t="s">
        <v>1284</v>
      </c>
      <c r="D1576" s="359" t="s">
        <v>1285</v>
      </c>
      <c r="E1576" s="360"/>
      <c r="F1576" s="359" t="s">
        <v>1270</v>
      </c>
      <c r="G1576" s="361">
        <v>1.3513513513513513E-5</v>
      </c>
      <c r="H1576" s="359" t="s">
        <v>1286</v>
      </c>
      <c r="I1576" s="361">
        <v>0</v>
      </c>
      <c r="J1576" s="359" t="s">
        <v>1287</v>
      </c>
      <c r="K1576" s="359" t="s">
        <v>1272</v>
      </c>
      <c r="M1576" t="str">
        <f t="shared" si="25"/>
        <v>ISOPROPYLBENZENE</v>
      </c>
    </row>
    <row r="1577" spans="1:13" ht="30" x14ac:dyDescent="0.25">
      <c r="A1577" s="359" t="s">
        <v>1918</v>
      </c>
      <c r="B1577" s="359" t="s">
        <v>750</v>
      </c>
      <c r="C1577" s="359" t="s">
        <v>1291</v>
      </c>
      <c r="D1577" s="359" t="s">
        <v>1292</v>
      </c>
      <c r="E1577" s="360"/>
      <c r="F1577" s="359" t="s">
        <v>1270</v>
      </c>
      <c r="G1577" s="361">
        <v>1.3513513513513513E-5</v>
      </c>
      <c r="H1577" s="359" t="s">
        <v>1286</v>
      </c>
      <c r="I1577" s="361">
        <v>0</v>
      </c>
      <c r="J1577" s="359" t="s">
        <v>1291</v>
      </c>
      <c r="K1577" s="359" t="s">
        <v>1272</v>
      </c>
      <c r="M1577" t="str">
        <f t="shared" si="25"/>
        <v>CYCLOHEXANE</v>
      </c>
    </row>
    <row r="1578" spans="1:13" ht="30" x14ac:dyDescent="0.25">
      <c r="A1578" s="359" t="s">
        <v>1918</v>
      </c>
      <c r="B1578" s="359" t="s">
        <v>750</v>
      </c>
      <c r="C1578" s="359" t="s">
        <v>1293</v>
      </c>
      <c r="D1578" s="359" t="s">
        <v>1294</v>
      </c>
      <c r="E1578" s="360"/>
      <c r="F1578" s="359" t="s">
        <v>1270</v>
      </c>
      <c r="G1578" s="361">
        <v>1.3513513513513513E-5</v>
      </c>
      <c r="H1578" s="359" t="s">
        <v>1514</v>
      </c>
      <c r="I1578" s="361">
        <v>0.22373366744227668</v>
      </c>
      <c r="J1578" s="359" t="s">
        <v>1293</v>
      </c>
      <c r="K1578" s="359" t="s">
        <v>1272</v>
      </c>
      <c r="M1578" t="str">
        <f t="shared" si="25"/>
        <v>DIETHANOLAMINE</v>
      </c>
    </row>
    <row r="1579" spans="1:13" ht="30" x14ac:dyDescent="0.25">
      <c r="A1579" s="359" t="s">
        <v>1918</v>
      </c>
      <c r="B1579" s="359" t="s">
        <v>750</v>
      </c>
      <c r="C1579" s="359" t="s">
        <v>1362</v>
      </c>
      <c r="D1579" s="359" t="s">
        <v>1363</v>
      </c>
      <c r="E1579" s="360"/>
      <c r="F1579" s="359" t="s">
        <v>1270</v>
      </c>
      <c r="G1579" s="361">
        <v>1.3513513513513513E-5</v>
      </c>
      <c r="H1579" s="359" t="s">
        <v>1919</v>
      </c>
      <c r="I1579" s="361">
        <v>1.6666368355110075E-6</v>
      </c>
      <c r="J1579" s="359" t="s">
        <v>1362</v>
      </c>
      <c r="K1579" s="359" t="s">
        <v>1272</v>
      </c>
      <c r="M1579" t="str">
        <f t="shared" si="25"/>
        <v>DIOXIN AND DIOXIN-LIKE COMPOUNDS</v>
      </c>
    </row>
    <row r="1580" spans="1:13" ht="30" x14ac:dyDescent="0.25">
      <c r="A1580" s="359" t="s">
        <v>1918</v>
      </c>
      <c r="B1580" s="359" t="s">
        <v>750</v>
      </c>
      <c r="C1580" s="359" t="s">
        <v>1295</v>
      </c>
      <c r="D1580" s="359" t="s">
        <v>1296</v>
      </c>
      <c r="E1580" s="360"/>
      <c r="F1580" s="359" t="s">
        <v>1270</v>
      </c>
      <c r="G1580" s="361">
        <v>1.3513513513513513E-5</v>
      </c>
      <c r="H1580" s="359" t="s">
        <v>1286</v>
      </c>
      <c r="I1580" s="361">
        <v>0</v>
      </c>
      <c r="J1580" s="359" t="s">
        <v>1295</v>
      </c>
      <c r="K1580" s="359" t="s">
        <v>1272</v>
      </c>
      <c r="M1580" t="str">
        <f t="shared" si="25"/>
        <v>ETHYLBENZENE</v>
      </c>
    </row>
    <row r="1581" spans="1:13" ht="30" x14ac:dyDescent="0.25">
      <c r="A1581" s="359" t="s">
        <v>1918</v>
      </c>
      <c r="B1581" s="359" t="s">
        <v>750</v>
      </c>
      <c r="C1581" s="359" t="s">
        <v>1365</v>
      </c>
      <c r="D1581" s="359" t="s">
        <v>1366</v>
      </c>
      <c r="E1581" s="360"/>
      <c r="F1581" s="359" t="s">
        <v>1270</v>
      </c>
      <c r="G1581" s="361">
        <v>1.3513513513513513E-5</v>
      </c>
      <c r="H1581" s="359" t="s">
        <v>1473</v>
      </c>
      <c r="I1581" s="361">
        <v>6.7120100232683014E-3</v>
      </c>
      <c r="J1581" s="359" t="s">
        <v>1028</v>
      </c>
      <c r="K1581" s="359" t="s">
        <v>1272</v>
      </c>
      <c r="M1581" t="str">
        <f t="shared" si="25"/>
        <v>ETHENE</v>
      </c>
    </row>
    <row r="1582" spans="1:13" ht="30" x14ac:dyDescent="0.25">
      <c r="A1582" s="359" t="s">
        <v>1918</v>
      </c>
      <c r="B1582" s="359" t="s">
        <v>750</v>
      </c>
      <c r="C1582" s="359" t="s">
        <v>1367</v>
      </c>
      <c r="D1582" s="359" t="s">
        <v>1368</v>
      </c>
      <c r="E1582" s="360"/>
      <c r="F1582" s="359" t="s">
        <v>1270</v>
      </c>
      <c r="G1582" s="361">
        <v>1.3513513513513513E-5</v>
      </c>
      <c r="H1582" s="359" t="s">
        <v>1286</v>
      </c>
      <c r="I1582" s="361">
        <v>0</v>
      </c>
      <c r="J1582" s="359" t="s">
        <v>1367</v>
      </c>
      <c r="K1582" s="359" t="s">
        <v>1272</v>
      </c>
      <c r="M1582" t="str">
        <f t="shared" si="25"/>
        <v>ETHYLENE GLYCOL</v>
      </c>
    </row>
    <row r="1583" spans="1:13" ht="30" x14ac:dyDescent="0.25">
      <c r="A1583" s="359" t="s">
        <v>1918</v>
      </c>
      <c r="B1583" s="359" t="s">
        <v>750</v>
      </c>
      <c r="C1583" s="359" t="s">
        <v>1297</v>
      </c>
      <c r="D1583" s="359" t="s">
        <v>1298</v>
      </c>
      <c r="E1583" s="360"/>
      <c r="F1583" s="359" t="s">
        <v>1270</v>
      </c>
      <c r="G1583" s="361">
        <v>1.3513513513513513E-5</v>
      </c>
      <c r="H1583" s="359" t="s">
        <v>1561</v>
      </c>
      <c r="I1583" s="361">
        <v>1.7003758725613029E-2</v>
      </c>
      <c r="J1583" s="359" t="s">
        <v>1297</v>
      </c>
      <c r="K1583" s="359" t="s">
        <v>1272</v>
      </c>
      <c r="M1583" t="str">
        <f t="shared" si="25"/>
        <v>LEAD AND LEAD COMPOUNDS</v>
      </c>
    </row>
    <row r="1584" spans="1:13" ht="30" x14ac:dyDescent="0.25">
      <c r="A1584" s="359" t="s">
        <v>1918</v>
      </c>
      <c r="B1584" s="359" t="s">
        <v>750</v>
      </c>
      <c r="C1584" s="359" t="s">
        <v>1300</v>
      </c>
      <c r="D1584" s="359" t="s">
        <v>1301</v>
      </c>
      <c r="E1584" s="360"/>
      <c r="F1584" s="359" t="s">
        <v>1270</v>
      </c>
      <c r="G1584" s="361">
        <v>1.3513513513513513E-5</v>
      </c>
      <c r="H1584" s="359" t="s">
        <v>1286</v>
      </c>
      <c r="I1584" s="361">
        <v>0</v>
      </c>
      <c r="J1584" s="359" t="s">
        <v>1300</v>
      </c>
      <c r="K1584" s="359" t="s">
        <v>1272</v>
      </c>
      <c r="M1584" t="str">
        <f t="shared" si="25"/>
        <v>MERCURY AND MERCURY COMPOUNDS</v>
      </c>
    </row>
    <row r="1585" spans="1:13" ht="30" x14ac:dyDescent="0.25">
      <c r="A1585" s="359" t="s">
        <v>1918</v>
      </c>
      <c r="B1585" s="359" t="s">
        <v>750</v>
      </c>
      <c r="C1585" s="359" t="s">
        <v>1468</v>
      </c>
      <c r="D1585" s="359" t="s">
        <v>1459</v>
      </c>
      <c r="E1585" s="361">
        <v>3.4934728654999999E-3</v>
      </c>
      <c r="F1585" s="359" t="s">
        <v>1270</v>
      </c>
      <c r="G1585" s="361">
        <v>1.3513513513513513E-5</v>
      </c>
      <c r="H1585" s="359" t="s">
        <v>490</v>
      </c>
      <c r="I1585" s="361">
        <v>1.2933998021103293E-10</v>
      </c>
      <c r="J1585" s="359" t="s">
        <v>1468</v>
      </c>
      <c r="K1585" s="359" t="s">
        <v>1277</v>
      </c>
      <c r="M1585" t="str">
        <f t="shared" si="25"/>
        <v>Mercury, total (as Hg)</v>
      </c>
    </row>
    <row r="1586" spans="1:13" ht="30" x14ac:dyDescent="0.25">
      <c r="A1586" s="359" t="s">
        <v>1918</v>
      </c>
      <c r="B1586" s="359" t="s">
        <v>750</v>
      </c>
      <c r="C1586" s="359" t="s">
        <v>1303</v>
      </c>
      <c r="D1586" s="359" t="s">
        <v>1304</v>
      </c>
      <c r="E1586" s="360"/>
      <c r="F1586" s="359" t="s">
        <v>1270</v>
      </c>
      <c r="G1586" s="361">
        <v>1.3513513513513513E-5</v>
      </c>
      <c r="H1586" s="359" t="s">
        <v>1351</v>
      </c>
      <c r="I1586" s="361">
        <v>2.9085376767495969E-2</v>
      </c>
      <c r="J1586" s="359" t="s">
        <v>1303</v>
      </c>
      <c r="K1586" s="359" t="s">
        <v>1272</v>
      </c>
      <c r="M1586" t="str">
        <f t="shared" si="25"/>
        <v>NAPHTHALENE</v>
      </c>
    </row>
    <row r="1587" spans="1:13" ht="30" x14ac:dyDescent="0.25">
      <c r="A1587" s="359" t="s">
        <v>1918</v>
      </c>
      <c r="B1587" s="359" t="s">
        <v>750</v>
      </c>
      <c r="C1587" s="359" t="s">
        <v>1305</v>
      </c>
      <c r="D1587" s="359" t="s">
        <v>1306</v>
      </c>
      <c r="E1587" s="360"/>
      <c r="F1587" s="359" t="s">
        <v>1270</v>
      </c>
      <c r="G1587" s="361">
        <v>1.3513513513513513E-5</v>
      </c>
      <c r="H1587" s="359" t="s">
        <v>1286</v>
      </c>
      <c r="I1587" s="361">
        <v>0</v>
      </c>
      <c r="J1587" s="359" t="s">
        <v>1305</v>
      </c>
      <c r="K1587" s="359" t="s">
        <v>1272</v>
      </c>
      <c r="M1587" t="str">
        <f t="shared" si="25"/>
        <v>N-HEXANE</v>
      </c>
    </row>
    <row r="1588" spans="1:13" ht="30" x14ac:dyDescent="0.25">
      <c r="A1588" s="359" t="s">
        <v>1918</v>
      </c>
      <c r="B1588" s="359" t="s">
        <v>750</v>
      </c>
      <c r="C1588" s="359" t="s">
        <v>1311</v>
      </c>
      <c r="D1588" s="359" t="s">
        <v>1312</v>
      </c>
      <c r="E1588" s="361">
        <v>4580.6000000000004</v>
      </c>
      <c r="F1588" s="359" t="s">
        <v>1270</v>
      </c>
      <c r="G1588" s="361">
        <v>1.3513513513513513E-5</v>
      </c>
      <c r="H1588" s="359" t="s">
        <v>490</v>
      </c>
      <c r="I1588" s="361">
        <v>1.6958904109589044E-4</v>
      </c>
      <c r="J1588" s="359" t="s">
        <v>1313</v>
      </c>
      <c r="K1588" s="359" t="s">
        <v>1277</v>
      </c>
      <c r="M1588" t="str">
        <f t="shared" si="25"/>
        <v>AMMONIA</v>
      </c>
    </row>
    <row r="1589" spans="1:13" ht="30" x14ac:dyDescent="0.25">
      <c r="A1589" s="359" t="s">
        <v>1918</v>
      </c>
      <c r="B1589" s="359" t="s">
        <v>750</v>
      </c>
      <c r="C1589" s="359" t="s">
        <v>1765</v>
      </c>
      <c r="D1589" s="359" t="s">
        <v>1312</v>
      </c>
      <c r="E1589" s="361">
        <v>42.454634179999999</v>
      </c>
      <c r="F1589" s="359" t="s">
        <v>1270</v>
      </c>
      <c r="G1589" s="361">
        <v>1.3513513513513513E-5</v>
      </c>
      <c r="H1589" s="359" t="s">
        <v>490</v>
      </c>
      <c r="I1589" s="361">
        <v>1.5718117060348019E-6</v>
      </c>
      <c r="J1589" s="359" t="s">
        <v>1313</v>
      </c>
      <c r="K1589" s="359" t="s">
        <v>1277</v>
      </c>
      <c r="M1589" t="str">
        <f t="shared" si="25"/>
        <v>AMMONIA</v>
      </c>
    </row>
    <row r="1590" spans="1:13" ht="30" x14ac:dyDescent="0.25">
      <c r="A1590" s="359" t="s">
        <v>1918</v>
      </c>
      <c r="B1590" s="359" t="s">
        <v>750</v>
      </c>
      <c r="C1590" s="359" t="s">
        <v>1460</v>
      </c>
      <c r="D1590" s="359" t="s">
        <v>490</v>
      </c>
      <c r="E1590" s="361">
        <v>139.5</v>
      </c>
      <c r="F1590" s="359" t="s">
        <v>1270</v>
      </c>
      <c r="G1590" s="361">
        <v>1.3513513513513513E-5</v>
      </c>
      <c r="H1590" s="359" t="s">
        <v>490</v>
      </c>
      <c r="I1590" s="361">
        <v>5.1647537948907813E-6</v>
      </c>
      <c r="J1590" s="359" t="s">
        <v>1460</v>
      </c>
      <c r="K1590" s="359" t="s">
        <v>1277</v>
      </c>
      <c r="M1590" t="str">
        <f t="shared" si="25"/>
        <v>Oil and grease, hexane extr method</v>
      </c>
    </row>
    <row r="1591" spans="1:13" ht="30" x14ac:dyDescent="0.25">
      <c r="A1591" s="359" t="s">
        <v>1918</v>
      </c>
      <c r="B1591" s="359" t="s">
        <v>750</v>
      </c>
      <c r="C1591" s="359" t="s">
        <v>1615</v>
      </c>
      <c r="D1591" s="359" t="s">
        <v>1316</v>
      </c>
      <c r="E1591" s="361">
        <v>0</v>
      </c>
      <c r="F1591" s="359" t="s">
        <v>1270</v>
      </c>
      <c r="G1591" s="361">
        <v>1.3513513513513513E-5</v>
      </c>
      <c r="H1591" s="359" t="s">
        <v>490</v>
      </c>
      <c r="I1591" s="361">
        <v>0</v>
      </c>
      <c r="J1591" s="359" t="s">
        <v>1315</v>
      </c>
      <c r="K1591" s="359" t="s">
        <v>1277</v>
      </c>
      <c r="M1591" t="str">
        <f t="shared" si="25"/>
        <v>PHENOL</v>
      </c>
    </row>
    <row r="1592" spans="1:13" ht="30" x14ac:dyDescent="0.25">
      <c r="A1592" s="359" t="s">
        <v>1918</v>
      </c>
      <c r="B1592" s="359" t="s">
        <v>750</v>
      </c>
      <c r="C1592" s="359" t="s">
        <v>1318</v>
      </c>
      <c r="D1592" s="359" t="s">
        <v>490</v>
      </c>
      <c r="E1592" s="361">
        <v>0</v>
      </c>
      <c r="F1592" s="359" t="s">
        <v>1270</v>
      </c>
      <c r="G1592" s="361">
        <v>1.3513513513513513E-5</v>
      </c>
      <c r="H1592" s="359" t="s">
        <v>490</v>
      </c>
      <c r="I1592" s="361">
        <v>0</v>
      </c>
      <c r="J1592" s="359" t="s">
        <v>1318</v>
      </c>
      <c r="K1592" s="359" t="s">
        <v>1277</v>
      </c>
      <c r="M1592" t="str">
        <f t="shared" si="25"/>
        <v>Phenolics, total recoverable</v>
      </c>
    </row>
    <row r="1593" spans="1:13" ht="30" x14ac:dyDescent="0.25">
      <c r="A1593" s="359" t="s">
        <v>1918</v>
      </c>
      <c r="B1593" s="359" t="s">
        <v>750</v>
      </c>
      <c r="C1593" s="359" t="s">
        <v>1461</v>
      </c>
      <c r="D1593" s="359" t="s">
        <v>1462</v>
      </c>
      <c r="E1593" s="361">
        <v>822.34840350000002</v>
      </c>
      <c r="F1593" s="359" t="s">
        <v>1270</v>
      </c>
      <c r="G1593" s="361">
        <v>1.3513513513513513E-5</v>
      </c>
      <c r="H1593" s="359" t="s">
        <v>490</v>
      </c>
      <c r="I1593" s="361">
        <v>3.0446071954831544E-5</v>
      </c>
      <c r="J1593" s="359" t="s">
        <v>1463</v>
      </c>
      <c r="K1593" s="359" t="s">
        <v>1277</v>
      </c>
      <c r="M1593" t="str">
        <f t="shared" si="25"/>
        <v>PHOSPHORUS</v>
      </c>
    </row>
    <row r="1594" spans="1:13" ht="30" x14ac:dyDescent="0.25">
      <c r="A1594" s="359" t="s">
        <v>1918</v>
      </c>
      <c r="B1594" s="359" t="s">
        <v>750</v>
      </c>
      <c r="C1594" s="359" t="s">
        <v>1319</v>
      </c>
      <c r="D1594" s="359" t="s">
        <v>1320</v>
      </c>
      <c r="E1594" s="360"/>
      <c r="F1594" s="359" t="s">
        <v>1270</v>
      </c>
      <c r="G1594" s="361">
        <v>1.3513513513513513E-5</v>
      </c>
      <c r="H1594" s="359" t="s">
        <v>1920</v>
      </c>
      <c r="I1594" s="361">
        <v>0.40898514408448183</v>
      </c>
      <c r="J1594" s="359" t="s">
        <v>1319</v>
      </c>
      <c r="K1594" s="359" t="s">
        <v>1272</v>
      </c>
      <c r="M1594" t="str">
        <f t="shared" si="25"/>
        <v>POLYCYCLIC AROMATIC COMPOUNDS</v>
      </c>
    </row>
    <row r="1595" spans="1:13" ht="30" x14ac:dyDescent="0.25">
      <c r="A1595" s="359" t="s">
        <v>1918</v>
      </c>
      <c r="B1595" s="359" t="s">
        <v>750</v>
      </c>
      <c r="C1595" s="359" t="s">
        <v>1425</v>
      </c>
      <c r="D1595" s="359" t="s">
        <v>1426</v>
      </c>
      <c r="E1595" s="360"/>
      <c r="F1595" s="359" t="s">
        <v>1270</v>
      </c>
      <c r="G1595" s="361">
        <v>1.3513513513513513E-5</v>
      </c>
      <c r="H1595" s="359" t="s">
        <v>1473</v>
      </c>
      <c r="I1595" s="361">
        <v>6.7120100232683014E-3</v>
      </c>
      <c r="J1595" s="359" t="s">
        <v>1425</v>
      </c>
      <c r="K1595" s="359" t="s">
        <v>1272</v>
      </c>
      <c r="M1595" t="str">
        <f t="shared" si="25"/>
        <v>PROPYLENE</v>
      </c>
    </row>
    <row r="1596" spans="1:13" ht="30" x14ac:dyDescent="0.25">
      <c r="A1596" s="359" t="s">
        <v>1918</v>
      </c>
      <c r="B1596" s="359" t="s">
        <v>750</v>
      </c>
      <c r="C1596" s="359" t="s">
        <v>1432</v>
      </c>
      <c r="D1596" s="359" t="s">
        <v>1427</v>
      </c>
      <c r="E1596" s="361">
        <v>35.384848425000001</v>
      </c>
      <c r="F1596" s="359" t="s">
        <v>1270</v>
      </c>
      <c r="G1596" s="361">
        <v>1.3513513513513513E-5</v>
      </c>
      <c r="H1596" s="359" t="s">
        <v>490</v>
      </c>
      <c r="I1596" s="361">
        <v>1.310064732506479E-6</v>
      </c>
      <c r="J1596" s="359" t="s">
        <v>1432</v>
      </c>
      <c r="K1596" s="359" t="s">
        <v>1277</v>
      </c>
      <c r="M1596" t="str">
        <f t="shared" si="25"/>
        <v>Selenium, total (as Se)</v>
      </c>
    </row>
    <row r="1597" spans="1:13" ht="30" x14ac:dyDescent="0.25">
      <c r="A1597" s="359" t="s">
        <v>1918</v>
      </c>
      <c r="B1597" s="359" t="s">
        <v>750</v>
      </c>
      <c r="C1597" s="359" t="s">
        <v>1322</v>
      </c>
      <c r="D1597" s="359" t="s">
        <v>490</v>
      </c>
      <c r="E1597" s="361">
        <v>5234.5</v>
      </c>
      <c r="F1597" s="359" t="s">
        <v>1270</v>
      </c>
      <c r="G1597" s="361">
        <v>1.3513513513513513E-5</v>
      </c>
      <c r="H1597" s="359" t="s">
        <v>490</v>
      </c>
      <c r="I1597" s="361">
        <v>1.9379859311366161E-4</v>
      </c>
      <c r="J1597" s="359" t="s">
        <v>1322</v>
      </c>
      <c r="K1597" s="359" t="s">
        <v>1277</v>
      </c>
      <c r="M1597" t="str">
        <f t="shared" si="25"/>
        <v>Solids, total suspended</v>
      </c>
    </row>
    <row r="1598" spans="1:13" ht="30" x14ac:dyDescent="0.25">
      <c r="A1598" s="359" t="s">
        <v>1918</v>
      </c>
      <c r="B1598" s="359" t="s">
        <v>750</v>
      </c>
      <c r="C1598" s="359" t="s">
        <v>1323</v>
      </c>
      <c r="D1598" s="359" t="s">
        <v>1324</v>
      </c>
      <c r="E1598" s="361">
        <v>0</v>
      </c>
      <c r="F1598" s="359" t="s">
        <v>1270</v>
      </c>
      <c r="G1598" s="361">
        <v>1.3513513513513513E-5</v>
      </c>
      <c r="H1598" s="359" t="s">
        <v>490</v>
      </c>
      <c r="I1598" s="361">
        <v>0</v>
      </c>
      <c r="J1598" s="359" t="s">
        <v>1323</v>
      </c>
      <c r="K1598" s="359" t="s">
        <v>1277</v>
      </c>
      <c r="M1598" t="str">
        <f t="shared" si="25"/>
        <v>Sulfide, total (as S)</v>
      </c>
    </row>
    <row r="1599" spans="1:13" ht="30" x14ac:dyDescent="0.25">
      <c r="A1599" s="359" t="s">
        <v>1918</v>
      </c>
      <c r="B1599" s="359" t="s">
        <v>750</v>
      </c>
      <c r="C1599" s="359" t="s">
        <v>1396</v>
      </c>
      <c r="D1599" s="359" t="s">
        <v>1397</v>
      </c>
      <c r="E1599" s="360"/>
      <c r="F1599" s="359" t="s">
        <v>1270</v>
      </c>
      <c r="G1599" s="361">
        <v>1.3513513513513513E-5</v>
      </c>
      <c r="H1599" s="359" t="s">
        <v>1286</v>
      </c>
      <c r="I1599" s="361">
        <v>0</v>
      </c>
      <c r="J1599" s="359" t="s">
        <v>1398</v>
      </c>
      <c r="K1599" s="359" t="s">
        <v>1272</v>
      </c>
      <c r="M1599" t="str">
        <f t="shared" si="25"/>
        <v>PERCHLOROETHYLENE</v>
      </c>
    </row>
    <row r="1600" spans="1:13" ht="30" x14ac:dyDescent="0.25">
      <c r="A1600" s="359" t="s">
        <v>1918</v>
      </c>
      <c r="B1600" s="359" t="s">
        <v>750</v>
      </c>
      <c r="C1600" s="359" t="s">
        <v>1325</v>
      </c>
      <c r="D1600" s="359" t="s">
        <v>1326</v>
      </c>
      <c r="E1600" s="360"/>
      <c r="F1600" s="359" t="s">
        <v>1270</v>
      </c>
      <c r="G1600" s="361">
        <v>1.3513513513513513E-5</v>
      </c>
      <c r="H1600" s="359" t="s">
        <v>1471</v>
      </c>
      <c r="I1600" s="361">
        <v>1.3424020046536603E-2</v>
      </c>
      <c r="J1600" s="359" t="s">
        <v>1325</v>
      </c>
      <c r="K1600" s="359" t="s">
        <v>1272</v>
      </c>
      <c r="M1600" t="str">
        <f t="shared" si="25"/>
        <v>TOLUENE</v>
      </c>
    </row>
    <row r="1601" spans="1:13" ht="30" x14ac:dyDescent="0.25">
      <c r="A1601" s="359" t="s">
        <v>1918</v>
      </c>
      <c r="B1601" s="359" t="s">
        <v>750</v>
      </c>
      <c r="C1601" s="359" t="s">
        <v>1327</v>
      </c>
      <c r="D1601" s="359" t="s">
        <v>1328</v>
      </c>
      <c r="E1601" s="360"/>
      <c r="F1601" s="359" t="s">
        <v>1270</v>
      </c>
      <c r="G1601" s="361">
        <v>1.3513513513513513E-5</v>
      </c>
      <c r="H1601" s="359" t="s">
        <v>1286</v>
      </c>
      <c r="I1601" s="361">
        <v>0</v>
      </c>
      <c r="J1601" s="359" t="s">
        <v>1329</v>
      </c>
      <c r="K1601" s="359" t="s">
        <v>1272</v>
      </c>
      <c r="M1601" t="str">
        <f t="shared" si="25"/>
        <v>XYLENES</v>
      </c>
    </row>
    <row r="1602" spans="1:13" ht="30" x14ac:dyDescent="0.25">
      <c r="A1602" s="359" t="s">
        <v>1918</v>
      </c>
      <c r="B1602" s="359" t="s">
        <v>750</v>
      </c>
      <c r="C1602" s="359" t="s">
        <v>1611</v>
      </c>
      <c r="D1602" s="359" t="s">
        <v>1343</v>
      </c>
      <c r="E1602" s="361">
        <v>39.522780750000003</v>
      </c>
      <c r="F1602" s="359" t="s">
        <v>1270</v>
      </c>
      <c r="G1602" s="361">
        <v>1.3513513513513513E-5</v>
      </c>
      <c r="H1602" s="359" t="s">
        <v>490</v>
      </c>
      <c r="I1602" s="361">
        <v>1.4632647445390596E-6</v>
      </c>
      <c r="J1602" s="359" t="s">
        <v>1611</v>
      </c>
      <c r="K1602" s="359" t="s">
        <v>1277</v>
      </c>
      <c r="M1602" t="str">
        <f t="shared" si="25"/>
        <v>Zinc, total (as Zn)</v>
      </c>
    </row>
    <row r="1603" spans="1:13" x14ac:dyDescent="0.25">
      <c r="A1603" s="359" t="s">
        <v>1921</v>
      </c>
      <c r="B1603" s="359" t="s">
        <v>627</v>
      </c>
      <c r="C1603" s="359" t="s">
        <v>1268</v>
      </c>
      <c r="D1603" s="359" t="s">
        <v>1269</v>
      </c>
      <c r="E1603" s="360"/>
      <c r="F1603" s="359" t="s">
        <v>1473</v>
      </c>
      <c r="G1603" s="361">
        <v>1.1764705882352942E-5</v>
      </c>
      <c r="H1603" s="359" t="s">
        <v>1333</v>
      </c>
      <c r="I1603" s="361">
        <v>1.9477989871445269E-3</v>
      </c>
      <c r="J1603" s="359" t="s">
        <v>1268</v>
      </c>
      <c r="K1603" s="359" t="s">
        <v>1272</v>
      </c>
      <c r="M1603" t="str">
        <f t="shared" si="25"/>
        <v>1,2,4-TRIMETHYLBENZENE</v>
      </c>
    </row>
    <row r="1604" spans="1:13" x14ac:dyDescent="0.25">
      <c r="A1604" s="359" t="s">
        <v>1921</v>
      </c>
      <c r="B1604" s="359" t="s">
        <v>627</v>
      </c>
      <c r="C1604" s="359" t="s">
        <v>1273</v>
      </c>
      <c r="D1604" s="359" t="s">
        <v>1274</v>
      </c>
      <c r="E1604" s="360"/>
      <c r="F1604" s="359" t="s">
        <v>1473</v>
      </c>
      <c r="G1604" s="361">
        <v>1.1764705882352942E-5</v>
      </c>
      <c r="H1604" s="359" t="s">
        <v>1922</v>
      </c>
      <c r="I1604" s="361">
        <v>5.3174912349045582E-3</v>
      </c>
      <c r="J1604" s="359" t="s">
        <v>1273</v>
      </c>
      <c r="K1604" s="359" t="s">
        <v>1272</v>
      </c>
      <c r="M1604" t="str">
        <f t="shared" si="25"/>
        <v>BENZENE</v>
      </c>
    </row>
    <row r="1605" spans="1:13" x14ac:dyDescent="0.25">
      <c r="A1605" s="359" t="s">
        <v>1921</v>
      </c>
      <c r="B1605" s="359" t="s">
        <v>627</v>
      </c>
      <c r="C1605" s="359" t="s">
        <v>1437</v>
      </c>
      <c r="D1605" s="359" t="s">
        <v>1438</v>
      </c>
      <c r="E1605" s="360"/>
      <c r="F1605" s="359" t="s">
        <v>1473</v>
      </c>
      <c r="G1605" s="361">
        <v>1.1764705882352942E-5</v>
      </c>
      <c r="H1605" s="359" t="s">
        <v>1589</v>
      </c>
      <c r="I1605" s="361">
        <v>3.213868328788469E-3</v>
      </c>
      <c r="J1605" s="359" t="s">
        <v>1437</v>
      </c>
      <c r="K1605" s="359" t="s">
        <v>1272</v>
      </c>
      <c r="M1605" t="str">
        <f t="shared" si="25"/>
        <v>CHROMIUM AND CHROMIUM COMPOUNDS</v>
      </c>
    </row>
    <row r="1606" spans="1:13" x14ac:dyDescent="0.25">
      <c r="A1606" s="359" t="s">
        <v>1921</v>
      </c>
      <c r="B1606" s="359" t="s">
        <v>627</v>
      </c>
      <c r="C1606" s="359" t="s">
        <v>1291</v>
      </c>
      <c r="D1606" s="359" t="s">
        <v>1292</v>
      </c>
      <c r="E1606" s="360"/>
      <c r="F1606" s="359" t="s">
        <v>1473</v>
      </c>
      <c r="G1606" s="361">
        <v>1.1764705882352942E-5</v>
      </c>
      <c r="H1606" s="359" t="s">
        <v>1922</v>
      </c>
      <c r="I1606" s="361">
        <v>5.3174912349045582E-3</v>
      </c>
      <c r="J1606" s="359" t="s">
        <v>1291</v>
      </c>
      <c r="K1606" s="359" t="s">
        <v>1272</v>
      </c>
      <c r="M1606" t="str">
        <f t="shared" ref="M1606:M1669" si="26">IF(J1606="",C1606,J1606)</f>
        <v>CYCLOHEXANE</v>
      </c>
    </row>
    <row r="1607" spans="1:13" x14ac:dyDescent="0.25">
      <c r="A1607" s="359" t="s">
        <v>1921</v>
      </c>
      <c r="B1607" s="359" t="s">
        <v>627</v>
      </c>
      <c r="C1607" s="359" t="s">
        <v>1295</v>
      </c>
      <c r="D1607" s="359" t="s">
        <v>1296</v>
      </c>
      <c r="E1607" s="360"/>
      <c r="F1607" s="359" t="s">
        <v>1473</v>
      </c>
      <c r="G1607" s="361">
        <v>1.1764705882352942E-5</v>
      </c>
      <c r="H1607" s="359" t="s">
        <v>1923</v>
      </c>
      <c r="I1607" s="361">
        <v>5.2201012855473327E-3</v>
      </c>
      <c r="J1607" s="359" t="s">
        <v>1295</v>
      </c>
      <c r="K1607" s="359" t="s">
        <v>1272</v>
      </c>
      <c r="M1607" t="str">
        <f t="shared" si="26"/>
        <v>ETHYLBENZENE</v>
      </c>
    </row>
    <row r="1608" spans="1:13" x14ac:dyDescent="0.25">
      <c r="A1608" s="359" t="s">
        <v>1921</v>
      </c>
      <c r="B1608" s="359" t="s">
        <v>627</v>
      </c>
      <c r="C1608" s="359" t="s">
        <v>1300</v>
      </c>
      <c r="D1608" s="359" t="s">
        <v>1301</v>
      </c>
      <c r="E1608" s="360"/>
      <c r="F1608" s="359" t="s">
        <v>1473</v>
      </c>
      <c r="G1608" s="361">
        <v>1.1764705882352942E-5</v>
      </c>
      <c r="H1608" s="359" t="s">
        <v>1924</v>
      </c>
      <c r="I1608" s="361">
        <v>3.7008180755746011E-4</v>
      </c>
      <c r="J1608" s="359" t="s">
        <v>1300</v>
      </c>
      <c r="K1608" s="359" t="s">
        <v>1272</v>
      </c>
      <c r="M1608" t="str">
        <f t="shared" si="26"/>
        <v>MERCURY AND MERCURY COMPOUNDS</v>
      </c>
    </row>
    <row r="1609" spans="1:13" x14ac:dyDescent="0.25">
      <c r="A1609" s="359" t="s">
        <v>1921</v>
      </c>
      <c r="B1609" s="359" t="s">
        <v>627</v>
      </c>
      <c r="C1609" s="359" t="s">
        <v>1303</v>
      </c>
      <c r="D1609" s="359" t="s">
        <v>1304</v>
      </c>
      <c r="E1609" s="360"/>
      <c r="F1609" s="359" t="s">
        <v>1473</v>
      </c>
      <c r="G1609" s="361">
        <v>1.1764705882352942E-5</v>
      </c>
      <c r="H1609" s="359" t="s">
        <v>1922</v>
      </c>
      <c r="I1609" s="361">
        <v>5.3174912349045582E-3</v>
      </c>
      <c r="J1609" s="359" t="s">
        <v>1303</v>
      </c>
      <c r="K1609" s="359" t="s">
        <v>1272</v>
      </c>
      <c r="M1609" t="str">
        <f t="shared" si="26"/>
        <v>NAPHTHALENE</v>
      </c>
    </row>
    <row r="1610" spans="1:13" x14ac:dyDescent="0.25">
      <c r="A1610" s="359" t="s">
        <v>1921</v>
      </c>
      <c r="B1610" s="359" t="s">
        <v>627</v>
      </c>
      <c r="C1610" s="359" t="s">
        <v>1305</v>
      </c>
      <c r="D1610" s="359" t="s">
        <v>1306</v>
      </c>
      <c r="E1610" s="360"/>
      <c r="F1610" s="359" t="s">
        <v>1473</v>
      </c>
      <c r="G1610" s="361">
        <v>1.1764705882352942E-5</v>
      </c>
      <c r="H1610" s="359" t="s">
        <v>1286</v>
      </c>
      <c r="I1610" s="361">
        <v>0</v>
      </c>
      <c r="J1610" s="359" t="s">
        <v>1305</v>
      </c>
      <c r="K1610" s="359" t="s">
        <v>1272</v>
      </c>
      <c r="M1610" t="str">
        <f t="shared" si="26"/>
        <v>N-HEXANE</v>
      </c>
    </row>
    <row r="1611" spans="1:13" x14ac:dyDescent="0.25">
      <c r="A1611" s="359" t="s">
        <v>1921</v>
      </c>
      <c r="B1611" s="359" t="s">
        <v>627</v>
      </c>
      <c r="C1611" s="359" t="s">
        <v>1319</v>
      </c>
      <c r="D1611" s="359" t="s">
        <v>1320</v>
      </c>
      <c r="E1611" s="360"/>
      <c r="F1611" s="359" t="s">
        <v>1473</v>
      </c>
      <c r="G1611" s="361">
        <v>1.1764705882352942E-5</v>
      </c>
      <c r="H1611" s="359" t="s">
        <v>1286</v>
      </c>
      <c r="I1611" s="361">
        <v>0</v>
      </c>
      <c r="J1611" s="359" t="s">
        <v>1319</v>
      </c>
      <c r="K1611" s="359" t="s">
        <v>1272</v>
      </c>
      <c r="M1611" t="str">
        <f t="shared" si="26"/>
        <v>POLYCYCLIC AROMATIC COMPOUNDS</v>
      </c>
    </row>
    <row r="1612" spans="1:13" x14ac:dyDescent="0.25">
      <c r="A1612" s="359" t="s">
        <v>1921</v>
      </c>
      <c r="B1612" s="359" t="s">
        <v>627</v>
      </c>
      <c r="C1612" s="359" t="s">
        <v>1325</v>
      </c>
      <c r="D1612" s="359" t="s">
        <v>1326</v>
      </c>
      <c r="E1612" s="360"/>
      <c r="F1612" s="359" t="s">
        <v>1473</v>
      </c>
      <c r="G1612" s="361">
        <v>1.1764705882352942E-5</v>
      </c>
      <c r="H1612" s="359" t="s">
        <v>1922</v>
      </c>
      <c r="I1612" s="361">
        <v>5.3174912349045582E-3</v>
      </c>
      <c r="J1612" s="359" t="s">
        <v>1325</v>
      </c>
      <c r="K1612" s="359" t="s">
        <v>1272</v>
      </c>
      <c r="M1612" t="str">
        <f t="shared" si="26"/>
        <v>TOLUENE</v>
      </c>
    </row>
    <row r="1613" spans="1:13" x14ac:dyDescent="0.25">
      <c r="A1613" s="359" t="s">
        <v>1921</v>
      </c>
      <c r="B1613" s="359" t="s">
        <v>627</v>
      </c>
      <c r="C1613" s="359" t="s">
        <v>1327</v>
      </c>
      <c r="D1613" s="359" t="s">
        <v>1328</v>
      </c>
      <c r="E1613" s="360"/>
      <c r="F1613" s="359" t="s">
        <v>1473</v>
      </c>
      <c r="G1613" s="361">
        <v>1.1764705882352942E-5</v>
      </c>
      <c r="H1613" s="359" t="s">
        <v>1925</v>
      </c>
      <c r="I1613" s="361">
        <v>6.7978184651343995E-3</v>
      </c>
      <c r="J1613" s="359" t="s">
        <v>1329</v>
      </c>
      <c r="K1613" s="359" t="s">
        <v>1272</v>
      </c>
      <c r="M1613" t="str">
        <f t="shared" si="26"/>
        <v>XYLENES</v>
      </c>
    </row>
    <row r="1614" spans="1:13" ht="30" x14ac:dyDescent="0.25">
      <c r="A1614" s="359" t="s">
        <v>1926</v>
      </c>
      <c r="B1614" s="359" t="s">
        <v>667</v>
      </c>
      <c r="C1614" s="359" t="s">
        <v>1268</v>
      </c>
      <c r="D1614" s="359" t="s">
        <v>1269</v>
      </c>
      <c r="E1614" s="360"/>
      <c r="F1614" s="359" t="s">
        <v>1346</v>
      </c>
      <c r="G1614" s="361">
        <v>6.5991152691045767E-6</v>
      </c>
      <c r="H1614" s="359" t="s">
        <v>1286</v>
      </c>
      <c r="I1614" s="361">
        <v>0</v>
      </c>
      <c r="J1614" s="359" t="s">
        <v>1268</v>
      </c>
      <c r="K1614" s="359" t="s">
        <v>1272</v>
      </c>
      <c r="M1614" t="str">
        <f t="shared" si="26"/>
        <v>1,2,4-TRIMETHYLBENZENE</v>
      </c>
    </row>
    <row r="1615" spans="1:13" ht="30" x14ac:dyDescent="0.25">
      <c r="A1615" s="359" t="s">
        <v>1926</v>
      </c>
      <c r="B1615" s="359" t="s">
        <v>667</v>
      </c>
      <c r="C1615" s="359" t="s">
        <v>1347</v>
      </c>
      <c r="D1615" s="359" t="s">
        <v>1348</v>
      </c>
      <c r="E1615" s="360"/>
      <c r="F1615" s="359" t="s">
        <v>1346</v>
      </c>
      <c r="G1615" s="361">
        <v>6.5991152691045767E-6</v>
      </c>
      <c r="H1615" s="359" t="s">
        <v>1286</v>
      </c>
      <c r="I1615" s="361">
        <v>0</v>
      </c>
      <c r="J1615" s="359" t="s">
        <v>1347</v>
      </c>
      <c r="K1615" s="359" t="s">
        <v>1272</v>
      </c>
      <c r="M1615" t="str">
        <f t="shared" si="26"/>
        <v>1,3-BUTADIENE</v>
      </c>
    </row>
    <row r="1616" spans="1:13" ht="30" x14ac:dyDescent="0.25">
      <c r="A1616" s="359" t="s">
        <v>1926</v>
      </c>
      <c r="B1616" s="359" t="s">
        <v>667</v>
      </c>
      <c r="C1616" s="359" t="s">
        <v>1515</v>
      </c>
      <c r="D1616" s="359" t="s">
        <v>1516</v>
      </c>
      <c r="E1616" s="360"/>
      <c r="F1616" s="359" t="s">
        <v>1346</v>
      </c>
      <c r="G1616" s="361">
        <v>6.5991152691045767E-6</v>
      </c>
      <c r="H1616" s="359" t="s">
        <v>1451</v>
      </c>
      <c r="I1616" s="361">
        <v>1.6388531297445139E-2</v>
      </c>
      <c r="J1616" s="359" t="s">
        <v>1515</v>
      </c>
      <c r="K1616" s="359" t="s">
        <v>1272</v>
      </c>
      <c r="M1616" t="str">
        <f t="shared" si="26"/>
        <v>2,4-DIMETHYLPHENOL</v>
      </c>
    </row>
    <row r="1617" spans="1:13" ht="30" x14ac:dyDescent="0.25">
      <c r="A1617" s="359" t="s">
        <v>1926</v>
      </c>
      <c r="B1617" s="359" t="s">
        <v>667</v>
      </c>
      <c r="C1617" s="359" t="s">
        <v>1349</v>
      </c>
      <c r="D1617" s="359" t="s">
        <v>1350</v>
      </c>
      <c r="E1617" s="360"/>
      <c r="F1617" s="359" t="s">
        <v>1346</v>
      </c>
      <c r="G1617" s="361">
        <v>6.5991152691045767E-6</v>
      </c>
      <c r="H1617" s="359" t="s">
        <v>1286</v>
      </c>
      <c r="I1617" s="361">
        <v>0</v>
      </c>
      <c r="J1617" s="359" t="s">
        <v>1349</v>
      </c>
      <c r="K1617" s="359" t="s">
        <v>1272</v>
      </c>
      <c r="M1617" t="str">
        <f t="shared" si="26"/>
        <v>ANTHRACENE</v>
      </c>
    </row>
    <row r="1618" spans="1:13" ht="30" x14ac:dyDescent="0.25">
      <c r="A1618" s="359" t="s">
        <v>1926</v>
      </c>
      <c r="B1618" s="359" t="s">
        <v>667</v>
      </c>
      <c r="C1618" s="359" t="s">
        <v>1273</v>
      </c>
      <c r="D1618" s="359" t="s">
        <v>1274</v>
      </c>
      <c r="E1618" s="360"/>
      <c r="F1618" s="359" t="s">
        <v>1346</v>
      </c>
      <c r="G1618" s="361">
        <v>6.5991152691045767E-6</v>
      </c>
      <c r="H1618" s="359" t="s">
        <v>1286</v>
      </c>
      <c r="I1618" s="361">
        <v>0</v>
      </c>
      <c r="J1618" s="359" t="s">
        <v>1273</v>
      </c>
      <c r="K1618" s="359" t="s">
        <v>1272</v>
      </c>
      <c r="M1618" t="str">
        <f t="shared" si="26"/>
        <v>BENZENE</v>
      </c>
    </row>
    <row r="1619" spans="1:13" ht="30" x14ac:dyDescent="0.25">
      <c r="A1619" s="359" t="s">
        <v>1926</v>
      </c>
      <c r="B1619" s="359" t="s">
        <v>667</v>
      </c>
      <c r="C1619" s="359" t="s">
        <v>1352</v>
      </c>
      <c r="D1619" s="359" t="s">
        <v>1353</v>
      </c>
      <c r="E1619" s="360"/>
      <c r="F1619" s="359" t="s">
        <v>1346</v>
      </c>
      <c r="G1619" s="361">
        <v>6.5991152691045767E-6</v>
      </c>
      <c r="H1619" s="359" t="s">
        <v>1286</v>
      </c>
      <c r="I1619" s="361">
        <v>0</v>
      </c>
      <c r="J1619" s="359" t="s">
        <v>1352</v>
      </c>
      <c r="K1619" s="359" t="s">
        <v>1272</v>
      </c>
      <c r="M1619" t="str">
        <f t="shared" si="26"/>
        <v>BENZO(G,H,I)PERYLENE</v>
      </c>
    </row>
    <row r="1620" spans="1:13" ht="30" x14ac:dyDescent="0.25">
      <c r="A1620" s="359" t="s">
        <v>1926</v>
      </c>
      <c r="B1620" s="359" t="s">
        <v>667</v>
      </c>
      <c r="C1620" s="359" t="s">
        <v>1276</v>
      </c>
      <c r="D1620" s="359" t="s">
        <v>490</v>
      </c>
      <c r="E1620" s="361">
        <v>24395.841269799999</v>
      </c>
      <c r="F1620" s="359" t="s">
        <v>1346</v>
      </c>
      <c r="G1620" s="361">
        <v>6.5991152691045767E-6</v>
      </c>
      <c r="H1620" s="359" t="s">
        <v>490</v>
      </c>
      <c r="I1620" s="361">
        <v>4.4107114692106507E-4</v>
      </c>
      <c r="J1620" s="359" t="s">
        <v>1276</v>
      </c>
      <c r="K1620" s="359" t="s">
        <v>1277</v>
      </c>
      <c r="M1620" t="str">
        <f t="shared" si="26"/>
        <v>BOD, 5-day, 20 deg. C</v>
      </c>
    </row>
    <row r="1621" spans="1:13" ht="30" x14ac:dyDescent="0.25">
      <c r="A1621" s="359" t="s">
        <v>1926</v>
      </c>
      <c r="B1621" s="359" t="s">
        <v>667</v>
      </c>
      <c r="C1621" s="359" t="s">
        <v>1457</v>
      </c>
      <c r="D1621" s="359" t="s">
        <v>490</v>
      </c>
      <c r="E1621" s="361">
        <v>624692.51700700005</v>
      </c>
      <c r="F1621" s="359" t="s">
        <v>1346</v>
      </c>
      <c r="G1621" s="361">
        <v>6.5991152691045767E-6</v>
      </c>
      <c r="H1621" s="359" t="s">
        <v>490</v>
      </c>
      <c r="I1621" s="361">
        <v>1.1294295691715792E-2</v>
      </c>
      <c r="J1621" s="359" t="s">
        <v>1457</v>
      </c>
      <c r="K1621" s="359" t="s">
        <v>1277</v>
      </c>
      <c r="M1621" t="str">
        <f t="shared" si="26"/>
        <v>Chemical Oxygen Demand (COD)</v>
      </c>
    </row>
    <row r="1622" spans="1:13" ht="30" x14ac:dyDescent="0.25">
      <c r="A1622" s="359" t="s">
        <v>1926</v>
      </c>
      <c r="B1622" s="359" t="s">
        <v>667</v>
      </c>
      <c r="C1622" s="359" t="s">
        <v>1437</v>
      </c>
      <c r="D1622" s="359" t="s">
        <v>1438</v>
      </c>
      <c r="E1622" s="360"/>
      <c r="F1622" s="359" t="s">
        <v>1346</v>
      </c>
      <c r="G1622" s="361">
        <v>6.5991152691045767E-6</v>
      </c>
      <c r="H1622" s="359" t="s">
        <v>1346</v>
      </c>
      <c r="I1622" s="361">
        <v>5.4628437658150461E-3</v>
      </c>
      <c r="J1622" s="359" t="s">
        <v>1437</v>
      </c>
      <c r="K1622" s="359" t="s">
        <v>1272</v>
      </c>
      <c r="M1622" t="str">
        <f t="shared" si="26"/>
        <v>CHROMIUM AND CHROMIUM COMPOUNDS</v>
      </c>
    </row>
    <row r="1623" spans="1:13" ht="30" x14ac:dyDescent="0.25">
      <c r="A1623" s="359" t="s">
        <v>1926</v>
      </c>
      <c r="B1623" s="359" t="s">
        <v>667</v>
      </c>
      <c r="C1623" s="359" t="s">
        <v>1280</v>
      </c>
      <c r="D1623" s="359" t="s">
        <v>1281</v>
      </c>
      <c r="E1623" s="361">
        <v>0</v>
      </c>
      <c r="F1623" s="359" t="s">
        <v>1346</v>
      </c>
      <c r="G1623" s="361">
        <v>6.5991152691045767E-6</v>
      </c>
      <c r="H1623" s="359" t="s">
        <v>490</v>
      </c>
      <c r="I1623" s="361">
        <v>0</v>
      </c>
      <c r="J1623" s="359" t="s">
        <v>1280</v>
      </c>
      <c r="K1623" s="359" t="s">
        <v>1277</v>
      </c>
      <c r="M1623" t="str">
        <f t="shared" si="26"/>
        <v>Chromium, hexavalent (as Cr)</v>
      </c>
    </row>
    <row r="1624" spans="1:13" ht="30" x14ac:dyDescent="0.25">
      <c r="A1624" s="359" t="s">
        <v>1926</v>
      </c>
      <c r="B1624" s="359" t="s">
        <v>667</v>
      </c>
      <c r="C1624" s="359" t="s">
        <v>1282</v>
      </c>
      <c r="D1624" s="359" t="s">
        <v>1283</v>
      </c>
      <c r="E1624" s="361">
        <v>2.31156462585</v>
      </c>
      <c r="F1624" s="359" t="s">
        <v>1346</v>
      </c>
      <c r="G1624" s="361">
        <v>6.5991152691045767E-6</v>
      </c>
      <c r="H1624" s="359" t="s">
        <v>490</v>
      </c>
      <c r="I1624" s="361">
        <v>4.1792551830051348E-8</v>
      </c>
      <c r="J1624" s="359" t="s">
        <v>1282</v>
      </c>
      <c r="K1624" s="359" t="s">
        <v>1277</v>
      </c>
      <c r="M1624" t="str">
        <f t="shared" si="26"/>
        <v>Chromium, total (as Cr)</v>
      </c>
    </row>
    <row r="1625" spans="1:13" ht="30" x14ac:dyDescent="0.25">
      <c r="A1625" s="359" t="s">
        <v>1926</v>
      </c>
      <c r="B1625" s="359" t="s">
        <v>667</v>
      </c>
      <c r="C1625" s="359" t="s">
        <v>1467</v>
      </c>
      <c r="D1625" s="359" t="s">
        <v>1441</v>
      </c>
      <c r="E1625" s="361">
        <v>14.378567007999999</v>
      </c>
      <c r="F1625" s="359" t="s">
        <v>1346</v>
      </c>
      <c r="G1625" s="361">
        <v>6.5991152691045767E-6</v>
      </c>
      <c r="H1625" s="359" t="s">
        <v>490</v>
      </c>
      <c r="I1625" s="361">
        <v>2.5996115367215368E-7</v>
      </c>
      <c r="J1625" s="359" t="s">
        <v>1467</v>
      </c>
      <c r="K1625" s="359" t="s">
        <v>1277</v>
      </c>
      <c r="M1625" t="str">
        <f t="shared" si="26"/>
        <v>Copper, total (as Cu)</v>
      </c>
    </row>
    <row r="1626" spans="1:13" ht="30" x14ac:dyDescent="0.25">
      <c r="A1626" s="359" t="s">
        <v>1926</v>
      </c>
      <c r="B1626" s="359" t="s">
        <v>667</v>
      </c>
      <c r="C1626" s="359" t="s">
        <v>1443</v>
      </c>
      <c r="D1626" s="359" t="s">
        <v>1444</v>
      </c>
      <c r="E1626" s="360"/>
      <c r="F1626" s="359" t="s">
        <v>1346</v>
      </c>
      <c r="G1626" s="361">
        <v>6.5991152691045767E-6</v>
      </c>
      <c r="H1626" s="359" t="s">
        <v>1688</v>
      </c>
      <c r="I1626" s="361">
        <v>9.505348152518181E-2</v>
      </c>
      <c r="J1626" s="359" t="s">
        <v>1445</v>
      </c>
      <c r="K1626" s="359" t="s">
        <v>1272</v>
      </c>
      <c r="M1626" t="str">
        <f t="shared" si="26"/>
        <v>CRESOL(S)</v>
      </c>
    </row>
    <row r="1627" spans="1:13" ht="30" x14ac:dyDescent="0.25">
      <c r="A1627" s="359" t="s">
        <v>1926</v>
      </c>
      <c r="B1627" s="359" t="s">
        <v>667</v>
      </c>
      <c r="C1627" s="359" t="s">
        <v>1284</v>
      </c>
      <c r="D1627" s="359" t="s">
        <v>1285</v>
      </c>
      <c r="E1627" s="360"/>
      <c r="F1627" s="359" t="s">
        <v>1346</v>
      </c>
      <c r="G1627" s="361">
        <v>6.5991152691045767E-6</v>
      </c>
      <c r="H1627" s="359" t="s">
        <v>1286</v>
      </c>
      <c r="I1627" s="361">
        <v>0</v>
      </c>
      <c r="J1627" s="359" t="s">
        <v>1287</v>
      </c>
      <c r="K1627" s="359" t="s">
        <v>1272</v>
      </c>
      <c r="M1627" t="str">
        <f t="shared" si="26"/>
        <v>ISOPROPYLBENZENE</v>
      </c>
    </row>
    <row r="1628" spans="1:13" ht="30" x14ac:dyDescent="0.25">
      <c r="A1628" s="359" t="s">
        <v>1926</v>
      </c>
      <c r="B1628" s="359" t="s">
        <v>667</v>
      </c>
      <c r="C1628" s="359" t="s">
        <v>1288</v>
      </c>
      <c r="D1628" s="359" t="s">
        <v>1289</v>
      </c>
      <c r="E1628" s="360"/>
      <c r="F1628" s="359" t="s">
        <v>1346</v>
      </c>
      <c r="G1628" s="361">
        <v>6.5991152691045767E-6</v>
      </c>
      <c r="H1628" s="359" t="s">
        <v>1771</v>
      </c>
      <c r="I1628" s="361">
        <v>0.24036512569586202</v>
      </c>
      <c r="J1628" s="359" t="s">
        <v>1288</v>
      </c>
      <c r="K1628" s="359" t="s">
        <v>1272</v>
      </c>
      <c r="M1628" t="str">
        <f t="shared" si="26"/>
        <v>CYANIDE COMPOUNDS</v>
      </c>
    </row>
    <row r="1629" spans="1:13" ht="30" x14ac:dyDescent="0.25">
      <c r="A1629" s="359" t="s">
        <v>1926</v>
      </c>
      <c r="B1629" s="359" t="s">
        <v>667</v>
      </c>
      <c r="C1629" s="359" t="s">
        <v>1543</v>
      </c>
      <c r="D1629" s="359" t="s">
        <v>1544</v>
      </c>
      <c r="E1629" s="361">
        <v>93.281264440000001</v>
      </c>
      <c r="F1629" s="359" t="s">
        <v>1346</v>
      </c>
      <c r="G1629" s="361">
        <v>6.5991152691045767E-6</v>
      </c>
      <c r="H1629" s="359" t="s">
        <v>490</v>
      </c>
      <c r="I1629" s="361">
        <v>1.6865036068147555E-6</v>
      </c>
      <c r="J1629" s="359" t="s">
        <v>1543</v>
      </c>
      <c r="K1629" s="359" t="s">
        <v>1277</v>
      </c>
      <c r="M1629" t="str">
        <f t="shared" si="26"/>
        <v>Cyanide, total (as CN)</v>
      </c>
    </row>
    <row r="1630" spans="1:13" ht="30" x14ac:dyDescent="0.25">
      <c r="A1630" s="359" t="s">
        <v>1926</v>
      </c>
      <c r="B1630" s="359" t="s">
        <v>667</v>
      </c>
      <c r="C1630" s="359" t="s">
        <v>1291</v>
      </c>
      <c r="D1630" s="359" t="s">
        <v>1292</v>
      </c>
      <c r="E1630" s="360"/>
      <c r="F1630" s="359" t="s">
        <v>1346</v>
      </c>
      <c r="G1630" s="361">
        <v>6.5991152691045767E-6</v>
      </c>
      <c r="H1630" s="359" t="s">
        <v>1286</v>
      </c>
      <c r="I1630" s="361">
        <v>0</v>
      </c>
      <c r="J1630" s="359" t="s">
        <v>1291</v>
      </c>
      <c r="K1630" s="359" t="s">
        <v>1272</v>
      </c>
      <c r="M1630" t="str">
        <f t="shared" si="26"/>
        <v>CYCLOHEXANE</v>
      </c>
    </row>
    <row r="1631" spans="1:13" ht="30" x14ac:dyDescent="0.25">
      <c r="A1631" s="359" t="s">
        <v>1926</v>
      </c>
      <c r="B1631" s="359" t="s">
        <v>667</v>
      </c>
      <c r="C1631" s="359" t="s">
        <v>1293</v>
      </c>
      <c r="D1631" s="359" t="s">
        <v>1294</v>
      </c>
      <c r="E1631" s="360"/>
      <c r="F1631" s="359" t="s">
        <v>1346</v>
      </c>
      <c r="G1631" s="361">
        <v>6.5991152691045767E-6</v>
      </c>
      <c r="H1631" s="359" t="s">
        <v>1286</v>
      </c>
      <c r="I1631" s="361">
        <v>0</v>
      </c>
      <c r="J1631" s="359" t="s">
        <v>1293</v>
      </c>
      <c r="K1631" s="359" t="s">
        <v>1272</v>
      </c>
      <c r="M1631" t="str">
        <f t="shared" si="26"/>
        <v>DIETHANOLAMINE</v>
      </c>
    </row>
    <row r="1632" spans="1:13" ht="30" x14ac:dyDescent="0.25">
      <c r="A1632" s="359" t="s">
        <v>1926</v>
      </c>
      <c r="B1632" s="359" t="s">
        <v>667</v>
      </c>
      <c r="C1632" s="359" t="s">
        <v>1362</v>
      </c>
      <c r="D1632" s="359" t="s">
        <v>1363</v>
      </c>
      <c r="E1632" s="360"/>
      <c r="F1632" s="359" t="s">
        <v>1346</v>
      </c>
      <c r="G1632" s="361">
        <v>6.5991152691045767E-6</v>
      </c>
      <c r="H1632" s="359" t="s">
        <v>1927</v>
      </c>
      <c r="I1632" s="361">
        <v>4.7198970136641994E-8</v>
      </c>
      <c r="J1632" s="359" t="s">
        <v>1362</v>
      </c>
      <c r="K1632" s="359" t="s">
        <v>1272</v>
      </c>
      <c r="M1632" t="str">
        <f t="shared" si="26"/>
        <v>DIOXIN AND DIOXIN-LIKE COMPOUNDS</v>
      </c>
    </row>
    <row r="1633" spans="1:13" ht="30" x14ac:dyDescent="0.25">
      <c r="A1633" s="359" t="s">
        <v>1926</v>
      </c>
      <c r="B1633" s="359" t="s">
        <v>667</v>
      </c>
      <c r="C1633" s="359" t="s">
        <v>1295</v>
      </c>
      <c r="D1633" s="359" t="s">
        <v>1296</v>
      </c>
      <c r="E1633" s="360"/>
      <c r="F1633" s="359" t="s">
        <v>1346</v>
      </c>
      <c r="G1633" s="361">
        <v>6.5991152691045767E-6</v>
      </c>
      <c r="H1633" s="359" t="s">
        <v>1286</v>
      </c>
      <c r="I1633" s="361">
        <v>0</v>
      </c>
      <c r="J1633" s="359" t="s">
        <v>1295</v>
      </c>
      <c r="K1633" s="359" t="s">
        <v>1272</v>
      </c>
      <c r="M1633" t="str">
        <f t="shared" si="26"/>
        <v>ETHYLBENZENE</v>
      </c>
    </row>
    <row r="1634" spans="1:13" ht="30" x14ac:dyDescent="0.25">
      <c r="A1634" s="359" t="s">
        <v>1926</v>
      </c>
      <c r="B1634" s="359" t="s">
        <v>667</v>
      </c>
      <c r="C1634" s="359" t="s">
        <v>1371</v>
      </c>
      <c r="D1634" s="359" t="s">
        <v>1372</v>
      </c>
      <c r="E1634" s="360"/>
      <c r="F1634" s="359" t="s">
        <v>1346</v>
      </c>
      <c r="G1634" s="361">
        <v>6.5991152691045767E-6</v>
      </c>
      <c r="H1634" s="359" t="s">
        <v>1286</v>
      </c>
      <c r="I1634" s="361">
        <v>0</v>
      </c>
      <c r="J1634" s="359" t="s">
        <v>1371</v>
      </c>
      <c r="K1634" s="359" t="s">
        <v>1272</v>
      </c>
      <c r="M1634" t="str">
        <f t="shared" si="26"/>
        <v>HYDROGEN CYANIDE</v>
      </c>
    </row>
    <row r="1635" spans="1:13" ht="30" x14ac:dyDescent="0.25">
      <c r="A1635" s="359" t="s">
        <v>1926</v>
      </c>
      <c r="B1635" s="359" t="s">
        <v>667</v>
      </c>
      <c r="C1635" s="359" t="s">
        <v>1297</v>
      </c>
      <c r="D1635" s="359" t="s">
        <v>1298</v>
      </c>
      <c r="E1635" s="360"/>
      <c r="F1635" s="359" t="s">
        <v>1346</v>
      </c>
      <c r="G1635" s="361">
        <v>6.5991152691045767E-6</v>
      </c>
      <c r="H1635" s="359" t="s">
        <v>1333</v>
      </c>
      <c r="I1635" s="361">
        <v>1.0925687531630093E-3</v>
      </c>
      <c r="J1635" s="359" t="s">
        <v>1297</v>
      </c>
      <c r="K1635" s="359" t="s">
        <v>1272</v>
      </c>
      <c r="M1635" t="str">
        <f t="shared" si="26"/>
        <v>LEAD AND LEAD COMPOUNDS</v>
      </c>
    </row>
    <row r="1636" spans="1:13" ht="30" x14ac:dyDescent="0.25">
      <c r="A1636" s="359" t="s">
        <v>1926</v>
      </c>
      <c r="B1636" s="359" t="s">
        <v>667</v>
      </c>
      <c r="C1636" s="359" t="s">
        <v>1300</v>
      </c>
      <c r="D1636" s="359" t="s">
        <v>1301</v>
      </c>
      <c r="E1636" s="360"/>
      <c r="F1636" s="359" t="s">
        <v>1346</v>
      </c>
      <c r="G1636" s="361">
        <v>6.5991152691045767E-6</v>
      </c>
      <c r="H1636" s="359" t="s">
        <v>1928</v>
      </c>
      <c r="I1636" s="361">
        <v>4.3702750126520364E-5</v>
      </c>
      <c r="J1636" s="359" t="s">
        <v>1300</v>
      </c>
      <c r="K1636" s="359" t="s">
        <v>1272</v>
      </c>
      <c r="M1636" t="str">
        <f t="shared" si="26"/>
        <v>MERCURY AND MERCURY COMPOUNDS</v>
      </c>
    </row>
    <row r="1637" spans="1:13" ht="30" x14ac:dyDescent="0.25">
      <c r="A1637" s="359" t="s">
        <v>1926</v>
      </c>
      <c r="B1637" s="359" t="s">
        <v>667</v>
      </c>
      <c r="C1637" s="359" t="s">
        <v>1468</v>
      </c>
      <c r="D1637" s="359" t="s">
        <v>1459</v>
      </c>
      <c r="E1637" s="361">
        <v>1.300328423E-2</v>
      </c>
      <c r="F1637" s="359" t="s">
        <v>1346</v>
      </c>
      <c r="G1637" s="361">
        <v>6.5991152691045767E-6</v>
      </c>
      <c r="H1637" s="359" t="s">
        <v>490</v>
      </c>
      <c r="I1637" s="361">
        <v>2.3509636030328697E-10</v>
      </c>
      <c r="J1637" s="359" t="s">
        <v>1468</v>
      </c>
      <c r="K1637" s="359" t="s">
        <v>1277</v>
      </c>
      <c r="M1637" t="str">
        <f t="shared" si="26"/>
        <v>Mercury, total (as Hg)</v>
      </c>
    </row>
    <row r="1638" spans="1:13" ht="30" x14ac:dyDescent="0.25">
      <c r="A1638" s="359" t="s">
        <v>1926</v>
      </c>
      <c r="B1638" s="359" t="s">
        <v>667</v>
      </c>
      <c r="C1638" s="359" t="s">
        <v>1375</v>
      </c>
      <c r="D1638" s="359" t="s">
        <v>1376</v>
      </c>
      <c r="E1638" s="360"/>
      <c r="F1638" s="359" t="s">
        <v>1346</v>
      </c>
      <c r="G1638" s="361">
        <v>6.5991152691045767E-6</v>
      </c>
      <c r="H1638" s="359" t="s">
        <v>1286</v>
      </c>
      <c r="I1638" s="361">
        <v>0</v>
      </c>
      <c r="J1638" s="359" t="s">
        <v>1375</v>
      </c>
      <c r="K1638" s="359" t="s">
        <v>1272</v>
      </c>
      <c r="M1638" t="str">
        <f t="shared" si="26"/>
        <v>METHANOL</v>
      </c>
    </row>
    <row r="1639" spans="1:13" ht="30" x14ac:dyDescent="0.25">
      <c r="A1639" s="359" t="s">
        <v>1926</v>
      </c>
      <c r="B1639" s="359" t="s">
        <v>667</v>
      </c>
      <c r="C1639" s="359" t="s">
        <v>1381</v>
      </c>
      <c r="D1639" s="359" t="s">
        <v>1382</v>
      </c>
      <c r="E1639" s="360"/>
      <c r="F1639" s="359" t="s">
        <v>1346</v>
      </c>
      <c r="G1639" s="361">
        <v>6.5991152691045767E-6</v>
      </c>
      <c r="H1639" s="359" t="s">
        <v>1286</v>
      </c>
      <c r="I1639" s="361">
        <v>0</v>
      </c>
      <c r="J1639" s="359" t="s">
        <v>1381</v>
      </c>
      <c r="K1639" s="359" t="s">
        <v>1272</v>
      </c>
      <c r="M1639" t="str">
        <f t="shared" si="26"/>
        <v>MOLYBDENUM TRIOXIDE</v>
      </c>
    </row>
    <row r="1640" spans="1:13" ht="30" x14ac:dyDescent="0.25">
      <c r="A1640" s="359" t="s">
        <v>1926</v>
      </c>
      <c r="B1640" s="359" t="s">
        <v>667</v>
      </c>
      <c r="C1640" s="359" t="s">
        <v>1303</v>
      </c>
      <c r="D1640" s="359" t="s">
        <v>1304</v>
      </c>
      <c r="E1640" s="360"/>
      <c r="F1640" s="359" t="s">
        <v>1346</v>
      </c>
      <c r="G1640" s="361">
        <v>6.5991152691045767E-6</v>
      </c>
      <c r="H1640" s="359" t="s">
        <v>1286</v>
      </c>
      <c r="I1640" s="361">
        <v>0</v>
      </c>
      <c r="J1640" s="359" t="s">
        <v>1303</v>
      </c>
      <c r="K1640" s="359" t="s">
        <v>1272</v>
      </c>
      <c r="M1640" t="str">
        <f t="shared" si="26"/>
        <v>NAPHTHALENE</v>
      </c>
    </row>
    <row r="1641" spans="1:13" ht="30" x14ac:dyDescent="0.25">
      <c r="A1641" s="359" t="s">
        <v>1926</v>
      </c>
      <c r="B1641" s="359" t="s">
        <v>667</v>
      </c>
      <c r="C1641" s="359" t="s">
        <v>1305</v>
      </c>
      <c r="D1641" s="359" t="s">
        <v>1306</v>
      </c>
      <c r="E1641" s="360"/>
      <c r="F1641" s="359" t="s">
        <v>1346</v>
      </c>
      <c r="G1641" s="361">
        <v>6.5991152691045767E-6</v>
      </c>
      <c r="H1641" s="359" t="s">
        <v>1286</v>
      </c>
      <c r="I1641" s="361">
        <v>0</v>
      </c>
      <c r="J1641" s="359" t="s">
        <v>1305</v>
      </c>
      <c r="K1641" s="359" t="s">
        <v>1272</v>
      </c>
      <c r="M1641" t="str">
        <f t="shared" si="26"/>
        <v>N-HEXANE</v>
      </c>
    </row>
    <row r="1642" spans="1:13" ht="30" x14ac:dyDescent="0.25">
      <c r="A1642" s="359" t="s">
        <v>1926</v>
      </c>
      <c r="B1642" s="359" t="s">
        <v>667</v>
      </c>
      <c r="C1642" s="359" t="s">
        <v>1384</v>
      </c>
      <c r="D1642" s="359" t="s">
        <v>1385</v>
      </c>
      <c r="E1642" s="360"/>
      <c r="F1642" s="359" t="s">
        <v>1346</v>
      </c>
      <c r="G1642" s="361">
        <v>6.5991152691045767E-6</v>
      </c>
      <c r="H1642" s="359" t="s">
        <v>1929</v>
      </c>
      <c r="I1642" s="361">
        <v>0.26221650075912223</v>
      </c>
      <c r="J1642" s="359" t="s">
        <v>1384</v>
      </c>
      <c r="K1642" s="359" t="s">
        <v>1272</v>
      </c>
      <c r="M1642" t="str">
        <f t="shared" si="26"/>
        <v>NICKEL AND NICKEL COMPOUNDS</v>
      </c>
    </row>
    <row r="1643" spans="1:13" ht="30" x14ac:dyDescent="0.25">
      <c r="A1643" s="359" t="s">
        <v>1926</v>
      </c>
      <c r="B1643" s="359" t="s">
        <v>667</v>
      </c>
      <c r="C1643" s="359" t="s">
        <v>1633</v>
      </c>
      <c r="D1643" s="359" t="s">
        <v>1479</v>
      </c>
      <c r="E1643" s="361">
        <v>105.37299955</v>
      </c>
      <c r="F1643" s="359" t="s">
        <v>1346</v>
      </c>
      <c r="G1643" s="361">
        <v>6.5991152691045767E-6</v>
      </c>
      <c r="H1643" s="359" t="s">
        <v>490</v>
      </c>
      <c r="I1643" s="361">
        <v>1.9051193706349443E-6</v>
      </c>
      <c r="J1643" s="359" t="s">
        <v>1633</v>
      </c>
      <c r="K1643" s="359" t="s">
        <v>1277</v>
      </c>
      <c r="M1643" t="str">
        <f t="shared" si="26"/>
        <v>Nickel, total (as Ni)</v>
      </c>
    </row>
    <row r="1644" spans="1:13" ht="30" x14ac:dyDescent="0.25">
      <c r="A1644" s="359" t="s">
        <v>1926</v>
      </c>
      <c r="B1644" s="359" t="s">
        <v>667</v>
      </c>
      <c r="C1644" s="359" t="s">
        <v>1307</v>
      </c>
      <c r="D1644" s="359" t="s">
        <v>1308</v>
      </c>
      <c r="E1644" s="360"/>
      <c r="F1644" s="359" t="s">
        <v>1346</v>
      </c>
      <c r="G1644" s="361">
        <v>6.5991152691045767E-6</v>
      </c>
      <c r="H1644" s="359" t="s">
        <v>1930</v>
      </c>
      <c r="I1644" s="361">
        <v>207.58806310097177</v>
      </c>
      <c r="J1644" s="359" t="s">
        <v>1310</v>
      </c>
      <c r="K1644" s="359" t="s">
        <v>1272</v>
      </c>
      <c r="M1644" t="str">
        <f t="shared" si="26"/>
        <v>NITRATE</v>
      </c>
    </row>
    <row r="1645" spans="1:13" ht="30" x14ac:dyDescent="0.25">
      <c r="A1645" s="359" t="s">
        <v>1926</v>
      </c>
      <c r="B1645" s="359" t="s">
        <v>667</v>
      </c>
      <c r="C1645" s="359" t="s">
        <v>1311</v>
      </c>
      <c r="D1645" s="359" t="s">
        <v>1312</v>
      </c>
      <c r="E1645" s="361">
        <v>8910.5396825400003</v>
      </c>
      <c r="F1645" s="359" t="s">
        <v>1346</v>
      </c>
      <c r="G1645" s="361">
        <v>6.5991152691045767E-6</v>
      </c>
      <c r="H1645" s="359" t="s">
        <v>490</v>
      </c>
      <c r="I1645" s="361">
        <v>1.6110048897263551E-4</v>
      </c>
      <c r="J1645" s="359" t="s">
        <v>1313</v>
      </c>
      <c r="K1645" s="359" t="s">
        <v>1277</v>
      </c>
      <c r="M1645" t="str">
        <f t="shared" si="26"/>
        <v>AMMONIA</v>
      </c>
    </row>
    <row r="1646" spans="1:13" ht="30" x14ac:dyDescent="0.25">
      <c r="A1646" s="359" t="s">
        <v>1926</v>
      </c>
      <c r="B1646" s="359" t="s">
        <v>667</v>
      </c>
      <c r="C1646" s="359" t="s">
        <v>1314</v>
      </c>
      <c r="D1646" s="359" t="s">
        <v>490</v>
      </c>
      <c r="E1646" s="361">
        <v>2089.8639455799998</v>
      </c>
      <c r="F1646" s="359" t="s">
        <v>1346</v>
      </c>
      <c r="G1646" s="361">
        <v>6.5991152691045767E-6</v>
      </c>
      <c r="H1646" s="359" t="s">
        <v>490</v>
      </c>
      <c r="I1646" s="361">
        <v>3.7784254996241403E-5</v>
      </c>
      <c r="J1646" s="359" t="s">
        <v>1314</v>
      </c>
      <c r="K1646" s="359" t="s">
        <v>1277</v>
      </c>
      <c r="M1646" t="str">
        <f t="shared" si="26"/>
        <v>Oil and grease</v>
      </c>
    </row>
    <row r="1647" spans="1:13" ht="30" x14ac:dyDescent="0.25">
      <c r="A1647" s="359" t="s">
        <v>1926</v>
      </c>
      <c r="B1647" s="359" t="s">
        <v>667</v>
      </c>
      <c r="C1647" s="359" t="s">
        <v>1388</v>
      </c>
      <c r="D1647" s="359" t="s">
        <v>1389</v>
      </c>
      <c r="E1647" s="360"/>
      <c r="F1647" s="359" t="s">
        <v>1346</v>
      </c>
      <c r="G1647" s="361">
        <v>6.5991152691045767E-6</v>
      </c>
      <c r="H1647" s="359" t="s">
        <v>1286</v>
      </c>
      <c r="I1647" s="361">
        <v>0</v>
      </c>
      <c r="J1647" s="359" t="s">
        <v>1388</v>
      </c>
      <c r="K1647" s="359" t="s">
        <v>1272</v>
      </c>
      <c r="M1647" t="str">
        <f t="shared" si="26"/>
        <v>PHENANTHRENE</v>
      </c>
    </row>
    <row r="1648" spans="1:13" ht="30" x14ac:dyDescent="0.25">
      <c r="A1648" s="359" t="s">
        <v>1926</v>
      </c>
      <c r="B1648" s="359" t="s">
        <v>667</v>
      </c>
      <c r="C1648" s="359" t="s">
        <v>1315</v>
      </c>
      <c r="D1648" s="359" t="s">
        <v>1316</v>
      </c>
      <c r="E1648" s="360"/>
      <c r="F1648" s="359" t="s">
        <v>1346</v>
      </c>
      <c r="G1648" s="361">
        <v>6.5991152691045767E-6</v>
      </c>
      <c r="H1648" s="359" t="s">
        <v>1474</v>
      </c>
      <c r="I1648" s="361">
        <v>1.9666237556934165E-2</v>
      </c>
      <c r="J1648" s="359" t="s">
        <v>1315</v>
      </c>
      <c r="K1648" s="359" t="s">
        <v>1272</v>
      </c>
      <c r="M1648" t="str">
        <f t="shared" si="26"/>
        <v>PHENOL</v>
      </c>
    </row>
    <row r="1649" spans="1:13" ht="30" x14ac:dyDescent="0.25">
      <c r="A1649" s="359" t="s">
        <v>1926</v>
      </c>
      <c r="B1649" s="359" t="s">
        <v>667</v>
      </c>
      <c r="C1649" s="359" t="s">
        <v>1482</v>
      </c>
      <c r="D1649" s="359" t="s">
        <v>490</v>
      </c>
      <c r="E1649" s="361">
        <v>104.870748299</v>
      </c>
      <c r="F1649" s="359" t="s">
        <v>1346</v>
      </c>
      <c r="G1649" s="361">
        <v>6.5991152691045767E-6</v>
      </c>
      <c r="H1649" s="359" t="s">
        <v>490</v>
      </c>
      <c r="I1649" s="361">
        <v>1.896038784609188E-6</v>
      </c>
      <c r="J1649" s="359" t="s">
        <v>1482</v>
      </c>
      <c r="K1649" s="359" t="s">
        <v>1277</v>
      </c>
      <c r="M1649" t="str">
        <f t="shared" si="26"/>
        <v>Phenols</v>
      </c>
    </row>
    <row r="1650" spans="1:13" ht="30" x14ac:dyDescent="0.25">
      <c r="A1650" s="359" t="s">
        <v>1926</v>
      </c>
      <c r="B1650" s="359" t="s">
        <v>667</v>
      </c>
      <c r="C1650" s="359" t="s">
        <v>1319</v>
      </c>
      <c r="D1650" s="359" t="s">
        <v>1320</v>
      </c>
      <c r="E1650" s="360"/>
      <c r="F1650" s="359" t="s">
        <v>1346</v>
      </c>
      <c r="G1650" s="361">
        <v>6.5991152691045767E-6</v>
      </c>
      <c r="H1650" s="359" t="s">
        <v>1286</v>
      </c>
      <c r="I1650" s="361">
        <v>0</v>
      </c>
      <c r="J1650" s="359" t="s">
        <v>1319</v>
      </c>
      <c r="K1650" s="359" t="s">
        <v>1272</v>
      </c>
      <c r="M1650" t="str">
        <f t="shared" si="26"/>
        <v>POLYCYCLIC AROMATIC COMPOUNDS</v>
      </c>
    </row>
    <row r="1651" spans="1:13" ht="30" x14ac:dyDescent="0.25">
      <c r="A1651" s="359" t="s">
        <v>1926</v>
      </c>
      <c r="B1651" s="359" t="s">
        <v>667</v>
      </c>
      <c r="C1651" s="359" t="s">
        <v>1432</v>
      </c>
      <c r="D1651" s="359" t="s">
        <v>1427</v>
      </c>
      <c r="E1651" s="361">
        <v>227.88117913799999</v>
      </c>
      <c r="F1651" s="359" t="s">
        <v>1346</v>
      </c>
      <c r="G1651" s="361">
        <v>6.5991152691045767E-6</v>
      </c>
      <c r="H1651" s="359" t="s">
        <v>490</v>
      </c>
      <c r="I1651" s="361">
        <v>4.1200388186058381E-6</v>
      </c>
      <c r="J1651" s="359" t="s">
        <v>1432</v>
      </c>
      <c r="K1651" s="359" t="s">
        <v>1277</v>
      </c>
      <c r="M1651" t="str">
        <f t="shared" si="26"/>
        <v>Selenium, total (as Se)</v>
      </c>
    </row>
    <row r="1652" spans="1:13" ht="30" x14ac:dyDescent="0.25">
      <c r="A1652" s="359" t="s">
        <v>1926</v>
      </c>
      <c r="B1652" s="359" t="s">
        <v>667</v>
      </c>
      <c r="C1652" s="359" t="s">
        <v>1931</v>
      </c>
      <c r="D1652" s="359" t="s">
        <v>1434</v>
      </c>
      <c r="E1652" s="360"/>
      <c r="F1652" s="359" t="s">
        <v>1346</v>
      </c>
      <c r="G1652" s="361">
        <v>6.5991152691045767E-6</v>
      </c>
      <c r="H1652" s="359" t="s">
        <v>1286</v>
      </c>
      <c r="I1652" s="361">
        <v>0</v>
      </c>
      <c r="J1652" s="359" t="s">
        <v>1931</v>
      </c>
      <c r="K1652" s="359" t="s">
        <v>1272</v>
      </c>
      <c r="M1652" t="str">
        <f t="shared" si="26"/>
        <v>SILVER AND SILVER COMPOUNDS</v>
      </c>
    </row>
    <row r="1653" spans="1:13" ht="30" x14ac:dyDescent="0.25">
      <c r="A1653" s="359" t="s">
        <v>1926</v>
      </c>
      <c r="B1653" s="359" t="s">
        <v>667</v>
      </c>
      <c r="C1653" s="359" t="s">
        <v>1322</v>
      </c>
      <c r="D1653" s="359" t="s">
        <v>490</v>
      </c>
      <c r="E1653" s="361">
        <v>18486.680272099999</v>
      </c>
      <c r="F1653" s="359" t="s">
        <v>1346</v>
      </c>
      <c r="G1653" s="361">
        <v>6.5991152691045767E-6</v>
      </c>
      <c r="H1653" s="359" t="s">
        <v>490</v>
      </c>
      <c r="I1653" s="361">
        <v>3.3423488783197107E-4</v>
      </c>
      <c r="J1653" s="359" t="s">
        <v>1322</v>
      </c>
      <c r="K1653" s="359" t="s">
        <v>1277</v>
      </c>
      <c r="M1653" t="str">
        <f t="shared" si="26"/>
        <v>Solids, total suspended</v>
      </c>
    </row>
    <row r="1654" spans="1:13" ht="30" x14ac:dyDescent="0.25">
      <c r="A1654" s="359" t="s">
        <v>1926</v>
      </c>
      <c r="B1654" s="359" t="s">
        <v>667</v>
      </c>
      <c r="C1654" s="359" t="s">
        <v>1323</v>
      </c>
      <c r="D1654" s="359" t="s">
        <v>1324</v>
      </c>
      <c r="E1654" s="361">
        <v>86.975056689300004</v>
      </c>
      <c r="F1654" s="359" t="s">
        <v>1346</v>
      </c>
      <c r="G1654" s="361">
        <v>6.5991152691045767E-6</v>
      </c>
      <c r="H1654" s="359" t="s">
        <v>490</v>
      </c>
      <c r="I1654" s="361">
        <v>1.5724888346016322E-6</v>
      </c>
      <c r="J1654" s="359" t="s">
        <v>1323</v>
      </c>
      <c r="K1654" s="359" t="s">
        <v>1277</v>
      </c>
      <c r="M1654" t="str">
        <f t="shared" si="26"/>
        <v>Sulfide, total (as S)</v>
      </c>
    </row>
    <row r="1655" spans="1:13" ht="30" x14ac:dyDescent="0.25">
      <c r="A1655" s="359" t="s">
        <v>1926</v>
      </c>
      <c r="B1655" s="359" t="s">
        <v>667</v>
      </c>
      <c r="C1655" s="359" t="s">
        <v>1396</v>
      </c>
      <c r="D1655" s="359" t="s">
        <v>1397</v>
      </c>
      <c r="E1655" s="360"/>
      <c r="F1655" s="359" t="s">
        <v>1346</v>
      </c>
      <c r="G1655" s="361">
        <v>6.5991152691045767E-6</v>
      </c>
      <c r="H1655" s="359" t="s">
        <v>1286</v>
      </c>
      <c r="I1655" s="361">
        <v>0</v>
      </c>
      <c r="J1655" s="359" t="s">
        <v>1398</v>
      </c>
      <c r="K1655" s="359" t="s">
        <v>1272</v>
      </c>
      <c r="M1655" t="str">
        <f t="shared" si="26"/>
        <v>PERCHLOROETHYLENE</v>
      </c>
    </row>
    <row r="1656" spans="1:13" ht="30" x14ac:dyDescent="0.25">
      <c r="A1656" s="359" t="s">
        <v>1926</v>
      </c>
      <c r="B1656" s="359" t="s">
        <v>667</v>
      </c>
      <c r="C1656" s="359" t="s">
        <v>1325</v>
      </c>
      <c r="D1656" s="359" t="s">
        <v>1326</v>
      </c>
      <c r="E1656" s="360"/>
      <c r="F1656" s="359" t="s">
        <v>1346</v>
      </c>
      <c r="G1656" s="361">
        <v>6.5991152691045767E-6</v>
      </c>
      <c r="H1656" s="359" t="s">
        <v>1286</v>
      </c>
      <c r="I1656" s="361">
        <v>0</v>
      </c>
      <c r="J1656" s="359" t="s">
        <v>1325</v>
      </c>
      <c r="K1656" s="359" t="s">
        <v>1272</v>
      </c>
      <c r="M1656" t="str">
        <f t="shared" si="26"/>
        <v>TOLUENE</v>
      </c>
    </row>
    <row r="1657" spans="1:13" ht="30" x14ac:dyDescent="0.25">
      <c r="A1657" s="359" t="s">
        <v>1926</v>
      </c>
      <c r="B1657" s="359" t="s">
        <v>667</v>
      </c>
      <c r="C1657" s="359" t="s">
        <v>1327</v>
      </c>
      <c r="D1657" s="359" t="s">
        <v>1328</v>
      </c>
      <c r="E1657" s="360"/>
      <c r="F1657" s="359" t="s">
        <v>1346</v>
      </c>
      <c r="G1657" s="361">
        <v>6.5991152691045767E-6</v>
      </c>
      <c r="H1657" s="359" t="s">
        <v>1286</v>
      </c>
      <c r="I1657" s="361">
        <v>0</v>
      </c>
      <c r="J1657" s="359" t="s">
        <v>1329</v>
      </c>
      <c r="K1657" s="359" t="s">
        <v>1272</v>
      </c>
      <c r="M1657" t="str">
        <f t="shared" si="26"/>
        <v>XYLENES</v>
      </c>
    </row>
    <row r="1658" spans="1:13" ht="30" x14ac:dyDescent="0.25">
      <c r="A1658" s="359" t="s">
        <v>1926</v>
      </c>
      <c r="B1658" s="359" t="s">
        <v>667</v>
      </c>
      <c r="C1658" s="359" t="s">
        <v>2035</v>
      </c>
      <c r="D1658" s="359" t="s">
        <v>1343</v>
      </c>
      <c r="E1658" s="361">
        <v>126.32971185</v>
      </c>
      <c r="F1658" s="359" t="s">
        <v>1346</v>
      </c>
      <c r="G1658" s="361">
        <v>6.5991152691045767E-6</v>
      </c>
      <c r="H1658" s="359" t="s">
        <v>490</v>
      </c>
      <c r="I1658" s="361">
        <v>2.2840118641394965E-6</v>
      </c>
      <c r="J1658" s="359" t="s">
        <v>2035</v>
      </c>
      <c r="K1658" s="359" t="s">
        <v>1277</v>
      </c>
      <c r="M1658" t="str">
        <f t="shared" si="26"/>
        <v>Zinc, total (as Cr)</v>
      </c>
    </row>
    <row r="1659" spans="1:13" ht="60" x14ac:dyDescent="0.25">
      <c r="A1659" s="359" t="s">
        <v>1932</v>
      </c>
      <c r="B1659" s="359" t="s">
        <v>876</v>
      </c>
      <c r="C1659" s="359" t="s">
        <v>1273</v>
      </c>
      <c r="D1659" s="359" t="s">
        <v>1274</v>
      </c>
      <c r="E1659" s="360"/>
      <c r="F1659" s="359" t="s">
        <v>1270</v>
      </c>
      <c r="G1659" s="361">
        <v>1.6000000000000001E-4</v>
      </c>
      <c r="H1659" s="359" t="s">
        <v>1286</v>
      </c>
      <c r="I1659" s="361">
        <v>0</v>
      </c>
      <c r="J1659" s="359" t="s">
        <v>1273</v>
      </c>
      <c r="K1659" s="359" t="s">
        <v>1272</v>
      </c>
      <c r="M1659" t="str">
        <f t="shared" si="26"/>
        <v>BENZENE</v>
      </c>
    </row>
    <row r="1660" spans="1:13" ht="60" x14ac:dyDescent="0.25">
      <c r="A1660" s="359" t="s">
        <v>1932</v>
      </c>
      <c r="B1660" s="359" t="s">
        <v>876</v>
      </c>
      <c r="C1660" s="359" t="s">
        <v>1295</v>
      </c>
      <c r="D1660" s="359" t="s">
        <v>1296</v>
      </c>
      <c r="E1660" s="360"/>
      <c r="F1660" s="359" t="s">
        <v>1270</v>
      </c>
      <c r="G1660" s="361">
        <v>1.6000000000000001E-4</v>
      </c>
      <c r="H1660" s="359" t="s">
        <v>1286</v>
      </c>
      <c r="I1660" s="361">
        <v>0</v>
      </c>
      <c r="J1660" s="359" t="s">
        <v>1295</v>
      </c>
      <c r="K1660" s="359" t="s">
        <v>1272</v>
      </c>
      <c r="M1660" t="str">
        <f t="shared" si="26"/>
        <v>ETHYLBENZENE</v>
      </c>
    </row>
    <row r="1661" spans="1:13" ht="60" x14ac:dyDescent="0.25">
      <c r="A1661" s="359" t="s">
        <v>1932</v>
      </c>
      <c r="B1661" s="359" t="s">
        <v>876</v>
      </c>
      <c r="C1661" s="359" t="s">
        <v>1297</v>
      </c>
      <c r="D1661" s="359" t="s">
        <v>1298</v>
      </c>
      <c r="E1661" s="360"/>
      <c r="F1661" s="359" t="s">
        <v>1270</v>
      </c>
      <c r="G1661" s="361">
        <v>1.6000000000000001E-4</v>
      </c>
      <c r="H1661" s="359" t="s">
        <v>1286</v>
      </c>
      <c r="I1661" s="361">
        <v>0</v>
      </c>
      <c r="J1661" s="359" t="s">
        <v>1297</v>
      </c>
      <c r="K1661" s="359" t="s">
        <v>1272</v>
      </c>
      <c r="M1661" t="str">
        <f t="shared" si="26"/>
        <v>LEAD AND LEAD COMPOUNDS</v>
      </c>
    </row>
    <row r="1662" spans="1:13" ht="60" x14ac:dyDescent="0.25">
      <c r="A1662" s="359" t="s">
        <v>1932</v>
      </c>
      <c r="B1662" s="359" t="s">
        <v>876</v>
      </c>
      <c r="C1662" s="359" t="s">
        <v>1305</v>
      </c>
      <c r="D1662" s="359" t="s">
        <v>1306</v>
      </c>
      <c r="E1662" s="360"/>
      <c r="F1662" s="359" t="s">
        <v>1270</v>
      </c>
      <c r="G1662" s="361">
        <v>1.6000000000000001E-4</v>
      </c>
      <c r="H1662" s="359" t="s">
        <v>1286</v>
      </c>
      <c r="I1662" s="361">
        <v>0</v>
      </c>
      <c r="J1662" s="359" t="s">
        <v>1305</v>
      </c>
      <c r="K1662" s="359" t="s">
        <v>1272</v>
      </c>
      <c r="M1662" t="str">
        <f t="shared" si="26"/>
        <v>N-HEXANE</v>
      </c>
    </row>
    <row r="1663" spans="1:13" ht="60" x14ac:dyDescent="0.25">
      <c r="A1663" s="359" t="s">
        <v>1932</v>
      </c>
      <c r="B1663" s="359" t="s">
        <v>876</v>
      </c>
      <c r="C1663" s="359" t="s">
        <v>1319</v>
      </c>
      <c r="D1663" s="359" t="s">
        <v>1320</v>
      </c>
      <c r="E1663" s="360"/>
      <c r="F1663" s="359" t="s">
        <v>1270</v>
      </c>
      <c r="G1663" s="361">
        <v>1.6000000000000001E-4</v>
      </c>
      <c r="H1663" s="359" t="s">
        <v>1286</v>
      </c>
      <c r="I1663" s="361">
        <v>0</v>
      </c>
      <c r="J1663" s="359" t="s">
        <v>1319</v>
      </c>
      <c r="K1663" s="359" t="s">
        <v>1272</v>
      </c>
      <c r="M1663" t="str">
        <f t="shared" si="26"/>
        <v>POLYCYCLIC AROMATIC COMPOUNDS</v>
      </c>
    </row>
    <row r="1664" spans="1:13" ht="60" x14ac:dyDescent="0.25">
      <c r="A1664" s="359" t="s">
        <v>1932</v>
      </c>
      <c r="B1664" s="359" t="s">
        <v>876</v>
      </c>
      <c r="C1664" s="359" t="s">
        <v>1325</v>
      </c>
      <c r="D1664" s="359" t="s">
        <v>1326</v>
      </c>
      <c r="E1664" s="360"/>
      <c r="F1664" s="359" t="s">
        <v>1270</v>
      </c>
      <c r="G1664" s="361">
        <v>1.6000000000000001E-4</v>
      </c>
      <c r="H1664" s="359" t="s">
        <v>1286</v>
      </c>
      <c r="I1664" s="361">
        <v>0</v>
      </c>
      <c r="J1664" s="359" t="s">
        <v>1325</v>
      </c>
      <c r="K1664" s="359" t="s">
        <v>1272</v>
      </c>
      <c r="M1664" t="str">
        <f t="shared" si="26"/>
        <v>TOLUENE</v>
      </c>
    </row>
    <row r="1665" spans="1:13" ht="60" x14ac:dyDescent="0.25">
      <c r="A1665" s="359" t="s">
        <v>1932</v>
      </c>
      <c r="B1665" s="359" t="s">
        <v>876</v>
      </c>
      <c r="C1665" s="359" t="s">
        <v>1327</v>
      </c>
      <c r="D1665" s="359" t="s">
        <v>1328</v>
      </c>
      <c r="E1665" s="360"/>
      <c r="F1665" s="359" t="s">
        <v>1270</v>
      </c>
      <c r="G1665" s="361">
        <v>1.6000000000000001E-4</v>
      </c>
      <c r="H1665" s="359" t="s">
        <v>1286</v>
      </c>
      <c r="I1665" s="361">
        <v>0</v>
      </c>
      <c r="J1665" s="359" t="s">
        <v>1329</v>
      </c>
      <c r="K1665" s="359" t="s">
        <v>1272</v>
      </c>
      <c r="M1665" t="str">
        <f t="shared" si="26"/>
        <v>XYLENES</v>
      </c>
    </row>
    <row r="1666" spans="1:13" ht="30" x14ac:dyDescent="0.25">
      <c r="A1666" s="359" t="s">
        <v>1933</v>
      </c>
      <c r="B1666" s="359" t="s">
        <v>670</v>
      </c>
      <c r="C1666" s="359" t="s">
        <v>1268</v>
      </c>
      <c r="D1666" s="359" t="s">
        <v>1269</v>
      </c>
      <c r="E1666" s="360"/>
      <c r="F1666" s="359" t="s">
        <v>1270</v>
      </c>
      <c r="G1666" s="361">
        <v>1.075268817204301E-5</v>
      </c>
      <c r="H1666" s="359" t="s">
        <v>1286</v>
      </c>
      <c r="I1666" s="361">
        <v>0</v>
      </c>
      <c r="J1666" s="359" t="s">
        <v>1268</v>
      </c>
      <c r="K1666" s="359" t="s">
        <v>1272</v>
      </c>
      <c r="M1666" t="str">
        <f t="shared" si="26"/>
        <v>1,2,4-TRIMETHYLBENZENE</v>
      </c>
    </row>
    <row r="1667" spans="1:13" ht="30" x14ac:dyDescent="0.25">
      <c r="A1667" s="359" t="s">
        <v>1933</v>
      </c>
      <c r="B1667" s="359" t="s">
        <v>670</v>
      </c>
      <c r="C1667" s="359" t="s">
        <v>1331</v>
      </c>
      <c r="D1667" s="359" t="s">
        <v>1332</v>
      </c>
      <c r="E1667" s="361">
        <v>36.604326219999997</v>
      </c>
      <c r="F1667" s="359" t="s">
        <v>1270</v>
      </c>
      <c r="G1667" s="361">
        <v>1.075268817204301E-5</v>
      </c>
      <c r="H1667" s="359" t="s">
        <v>490</v>
      </c>
      <c r="I1667" s="361">
        <v>1.0783422070997199E-6</v>
      </c>
      <c r="J1667" s="359" t="s">
        <v>1331</v>
      </c>
      <c r="K1667" s="359" t="s">
        <v>1277</v>
      </c>
      <c r="M1667" t="str">
        <f t="shared" si="26"/>
        <v>Arsenic, total (as As)</v>
      </c>
    </row>
    <row r="1668" spans="1:13" ht="30" x14ac:dyDescent="0.25">
      <c r="A1668" s="359" t="s">
        <v>1933</v>
      </c>
      <c r="B1668" s="359" t="s">
        <v>670</v>
      </c>
      <c r="C1668" s="359" t="s">
        <v>260</v>
      </c>
      <c r="D1668" s="359" t="s">
        <v>1274</v>
      </c>
      <c r="E1668" s="361">
        <v>1.95573978</v>
      </c>
      <c r="F1668" s="359" t="s">
        <v>1270</v>
      </c>
      <c r="G1668" s="361">
        <v>1.075268817204301E-5</v>
      </c>
      <c r="H1668" s="359" t="s">
        <v>490</v>
      </c>
      <c r="I1668" s="361">
        <v>5.7614958904109584E-8</v>
      </c>
      <c r="J1668" s="359" t="s">
        <v>1273</v>
      </c>
      <c r="K1668" s="359" t="s">
        <v>1277</v>
      </c>
      <c r="M1668" t="str">
        <f t="shared" si="26"/>
        <v>BENZENE</v>
      </c>
    </row>
    <row r="1669" spans="1:13" ht="30" x14ac:dyDescent="0.25">
      <c r="A1669" s="359" t="s">
        <v>1933</v>
      </c>
      <c r="B1669" s="359" t="s">
        <v>670</v>
      </c>
      <c r="C1669" s="359" t="s">
        <v>1826</v>
      </c>
      <c r="D1669" s="359" t="s">
        <v>490</v>
      </c>
      <c r="E1669" s="361">
        <v>19.914187040000002</v>
      </c>
      <c r="F1669" s="359" t="s">
        <v>1270</v>
      </c>
      <c r="G1669" s="361">
        <v>1.075268817204301E-5</v>
      </c>
      <c r="H1669" s="359" t="s">
        <v>490</v>
      </c>
      <c r="I1669" s="361">
        <v>5.8666039298865816E-7</v>
      </c>
      <c r="J1669" s="359" t="s">
        <v>1826</v>
      </c>
      <c r="K1669" s="359" t="s">
        <v>1277</v>
      </c>
      <c r="M1669" t="str">
        <f t="shared" si="26"/>
        <v>Benzene, ethylbenzene, toluene, xylene combination</v>
      </c>
    </row>
    <row r="1670" spans="1:13" ht="30" x14ac:dyDescent="0.25">
      <c r="A1670" s="359" t="s">
        <v>1933</v>
      </c>
      <c r="B1670" s="359" t="s">
        <v>670</v>
      </c>
      <c r="C1670" s="359" t="s">
        <v>1352</v>
      </c>
      <c r="D1670" s="359" t="s">
        <v>1353</v>
      </c>
      <c r="E1670" s="360"/>
      <c r="F1670" s="359" t="s">
        <v>1270</v>
      </c>
      <c r="G1670" s="361">
        <v>1.075268817204301E-5</v>
      </c>
      <c r="H1670" s="359" t="s">
        <v>1286</v>
      </c>
      <c r="I1670" s="361">
        <v>0</v>
      </c>
      <c r="J1670" s="359" t="s">
        <v>1352</v>
      </c>
      <c r="K1670" s="359" t="s">
        <v>1272</v>
      </c>
      <c r="M1670" t="str">
        <f t="shared" ref="M1670:M1733" si="27">IF(J1670="",C1670,J1670)</f>
        <v>BENZO(G,H,I)PERYLENE</v>
      </c>
    </row>
    <row r="1671" spans="1:13" ht="30" x14ac:dyDescent="0.25">
      <c r="A1671" s="359" t="s">
        <v>1933</v>
      </c>
      <c r="B1671" s="359" t="s">
        <v>670</v>
      </c>
      <c r="C1671" s="359" t="s">
        <v>1276</v>
      </c>
      <c r="D1671" s="359" t="s">
        <v>490</v>
      </c>
      <c r="E1671" s="361">
        <v>23879.365079399999</v>
      </c>
      <c r="F1671" s="359" t="s">
        <v>1270</v>
      </c>
      <c r="G1671" s="361">
        <v>1.075268817204301E-5</v>
      </c>
      <c r="H1671" s="359" t="s">
        <v>490</v>
      </c>
      <c r="I1671" s="361">
        <v>7.0347223683605827E-4</v>
      </c>
      <c r="J1671" s="359" t="s">
        <v>1276</v>
      </c>
      <c r="K1671" s="359" t="s">
        <v>1277</v>
      </c>
      <c r="M1671" t="str">
        <f t="shared" si="27"/>
        <v>BOD, 5-day, 20 deg. C</v>
      </c>
    </row>
    <row r="1672" spans="1:13" ht="30" x14ac:dyDescent="0.25">
      <c r="A1672" s="359" t="s">
        <v>1933</v>
      </c>
      <c r="B1672" s="359" t="s">
        <v>670</v>
      </c>
      <c r="C1672" s="359" t="s">
        <v>1278</v>
      </c>
      <c r="D1672" s="359" t="s">
        <v>1279</v>
      </c>
      <c r="E1672" s="361">
        <v>1944347.95952</v>
      </c>
      <c r="F1672" s="359" t="s">
        <v>1270</v>
      </c>
      <c r="G1672" s="361">
        <v>1.075268817204301E-5</v>
      </c>
      <c r="H1672" s="359" t="s">
        <v>490</v>
      </c>
      <c r="I1672" s="361">
        <v>5.7279362484018256E-2</v>
      </c>
      <c r="J1672" s="359" t="s">
        <v>1278</v>
      </c>
      <c r="K1672" s="359" t="s">
        <v>1277</v>
      </c>
      <c r="M1672" t="str">
        <f t="shared" si="27"/>
        <v>Carbon, tot organic (TOC)</v>
      </c>
    </row>
    <row r="1673" spans="1:13" ht="30" x14ac:dyDescent="0.25">
      <c r="A1673" s="359" t="s">
        <v>1933</v>
      </c>
      <c r="B1673" s="359" t="s">
        <v>670</v>
      </c>
      <c r="C1673" s="359" t="s">
        <v>1416</v>
      </c>
      <c r="D1673" s="359" t="s">
        <v>1417</v>
      </c>
      <c r="E1673" s="361">
        <v>0</v>
      </c>
      <c r="F1673" s="359" t="s">
        <v>1270</v>
      </c>
      <c r="G1673" s="361">
        <v>1.075268817204301E-5</v>
      </c>
      <c r="H1673" s="359" t="s">
        <v>490</v>
      </c>
      <c r="I1673" s="361">
        <v>0</v>
      </c>
      <c r="J1673" s="359" t="s">
        <v>1418</v>
      </c>
      <c r="K1673" s="359" t="s">
        <v>1277</v>
      </c>
      <c r="M1673" t="str">
        <f t="shared" si="27"/>
        <v>CHLORINE</v>
      </c>
    </row>
    <row r="1674" spans="1:13" ht="30" x14ac:dyDescent="0.25">
      <c r="A1674" s="359" t="s">
        <v>1933</v>
      </c>
      <c r="B1674" s="359" t="s">
        <v>670</v>
      </c>
      <c r="C1674" s="359" t="s">
        <v>1280</v>
      </c>
      <c r="D1674" s="359" t="s">
        <v>1281</v>
      </c>
      <c r="E1674" s="361">
        <v>0</v>
      </c>
      <c r="F1674" s="359" t="s">
        <v>1270</v>
      </c>
      <c r="G1674" s="361">
        <v>1.075268817204301E-5</v>
      </c>
      <c r="H1674" s="359" t="s">
        <v>490</v>
      </c>
      <c r="I1674" s="361">
        <v>0</v>
      </c>
      <c r="J1674" s="359" t="s">
        <v>1280</v>
      </c>
      <c r="K1674" s="359" t="s">
        <v>1277</v>
      </c>
      <c r="M1674" t="str">
        <f t="shared" si="27"/>
        <v>Chromium, hexavalent (as Cr)</v>
      </c>
    </row>
    <row r="1675" spans="1:13" ht="30" x14ac:dyDescent="0.25">
      <c r="A1675" s="359" t="s">
        <v>1933</v>
      </c>
      <c r="B1675" s="359" t="s">
        <v>670</v>
      </c>
      <c r="C1675" s="359" t="s">
        <v>1282</v>
      </c>
      <c r="D1675" s="359" t="s">
        <v>1283</v>
      </c>
      <c r="E1675" s="361">
        <v>3.2653061224500002</v>
      </c>
      <c r="F1675" s="359" t="s">
        <v>1270</v>
      </c>
      <c r="G1675" s="361">
        <v>1.075268817204301E-5</v>
      </c>
      <c r="H1675" s="359" t="s">
        <v>490</v>
      </c>
      <c r="I1675" s="361">
        <v>9.6194023345117101E-8</v>
      </c>
      <c r="J1675" s="359" t="s">
        <v>1282</v>
      </c>
      <c r="K1675" s="359" t="s">
        <v>1277</v>
      </c>
      <c r="M1675" t="str">
        <f t="shared" si="27"/>
        <v>Chromium, total (as Cr)</v>
      </c>
    </row>
    <row r="1676" spans="1:13" ht="30" x14ac:dyDescent="0.25">
      <c r="A1676" s="359" t="s">
        <v>1933</v>
      </c>
      <c r="B1676" s="359" t="s">
        <v>670</v>
      </c>
      <c r="C1676" s="359" t="s">
        <v>1934</v>
      </c>
      <c r="D1676" s="359" t="s">
        <v>1441</v>
      </c>
      <c r="E1676" s="361">
        <v>9.946042834</v>
      </c>
      <c r="F1676" s="359" t="s">
        <v>1270</v>
      </c>
      <c r="G1676" s="361">
        <v>1.075268817204301E-5</v>
      </c>
      <c r="H1676" s="359" t="s">
        <v>490</v>
      </c>
      <c r="I1676" s="361">
        <v>2.9300464969804093E-7</v>
      </c>
      <c r="J1676" s="359" t="s">
        <v>1934</v>
      </c>
      <c r="K1676" s="359" t="s">
        <v>1277</v>
      </c>
      <c r="M1676" t="str">
        <f t="shared" si="27"/>
        <v>Copper, potentially dissolved</v>
      </c>
    </row>
    <row r="1677" spans="1:13" ht="30" x14ac:dyDescent="0.25">
      <c r="A1677" s="359" t="s">
        <v>1933</v>
      </c>
      <c r="B1677" s="359" t="s">
        <v>670</v>
      </c>
      <c r="C1677" s="359" t="s">
        <v>1284</v>
      </c>
      <c r="D1677" s="359" t="s">
        <v>1285</v>
      </c>
      <c r="E1677" s="360"/>
      <c r="F1677" s="359" t="s">
        <v>1270</v>
      </c>
      <c r="G1677" s="361">
        <v>1.075268817204301E-5</v>
      </c>
      <c r="H1677" s="359" t="s">
        <v>1286</v>
      </c>
      <c r="I1677" s="361">
        <v>0</v>
      </c>
      <c r="J1677" s="359" t="s">
        <v>1287</v>
      </c>
      <c r="K1677" s="359" t="s">
        <v>1272</v>
      </c>
      <c r="M1677" t="str">
        <f t="shared" si="27"/>
        <v>ISOPROPYLBENZENE</v>
      </c>
    </row>
    <row r="1678" spans="1:13" ht="30" x14ac:dyDescent="0.25">
      <c r="A1678" s="359" t="s">
        <v>1933</v>
      </c>
      <c r="B1678" s="359" t="s">
        <v>670</v>
      </c>
      <c r="C1678" s="359" t="s">
        <v>1291</v>
      </c>
      <c r="D1678" s="359" t="s">
        <v>1292</v>
      </c>
      <c r="E1678" s="360"/>
      <c r="F1678" s="359" t="s">
        <v>1270</v>
      </c>
      <c r="G1678" s="361">
        <v>1.075268817204301E-5</v>
      </c>
      <c r="H1678" s="359" t="s">
        <v>1286</v>
      </c>
      <c r="I1678" s="361">
        <v>0</v>
      </c>
      <c r="J1678" s="359" t="s">
        <v>1291</v>
      </c>
      <c r="K1678" s="359" t="s">
        <v>1272</v>
      </c>
      <c r="M1678" t="str">
        <f t="shared" si="27"/>
        <v>CYCLOHEXANE</v>
      </c>
    </row>
    <row r="1679" spans="1:13" ht="30" x14ac:dyDescent="0.25">
      <c r="A1679" s="359" t="s">
        <v>1933</v>
      </c>
      <c r="B1679" s="359" t="s">
        <v>670</v>
      </c>
      <c r="C1679" s="359" t="s">
        <v>1362</v>
      </c>
      <c r="D1679" s="359" t="s">
        <v>1363</v>
      </c>
      <c r="E1679" s="360"/>
      <c r="F1679" s="359" t="s">
        <v>1270</v>
      </c>
      <c r="G1679" s="361">
        <v>1.075268817204301E-5</v>
      </c>
      <c r="H1679" s="359" t="s">
        <v>1935</v>
      </c>
      <c r="I1679" s="361">
        <v>1.6075624866481518E-7</v>
      </c>
      <c r="J1679" s="359" t="s">
        <v>1362</v>
      </c>
      <c r="K1679" s="359" t="s">
        <v>1272</v>
      </c>
      <c r="M1679" t="str">
        <f t="shared" si="27"/>
        <v>DIOXIN AND DIOXIN-LIKE COMPOUNDS</v>
      </c>
    </row>
    <row r="1680" spans="1:13" ht="30" x14ac:dyDescent="0.25">
      <c r="A1680" s="359" t="s">
        <v>1933</v>
      </c>
      <c r="B1680" s="359" t="s">
        <v>670</v>
      </c>
      <c r="C1680" s="359" t="s">
        <v>1295</v>
      </c>
      <c r="D1680" s="359" t="s">
        <v>1296</v>
      </c>
      <c r="E1680" s="360"/>
      <c r="F1680" s="359" t="s">
        <v>1270</v>
      </c>
      <c r="G1680" s="361">
        <v>1.075268817204301E-5</v>
      </c>
      <c r="H1680" s="359" t="s">
        <v>1271</v>
      </c>
      <c r="I1680" s="361">
        <v>1.4241971088798688E-2</v>
      </c>
      <c r="J1680" s="359" t="s">
        <v>1295</v>
      </c>
      <c r="K1680" s="359" t="s">
        <v>1272</v>
      </c>
      <c r="M1680" t="str">
        <f t="shared" si="27"/>
        <v>ETHYLBENZENE</v>
      </c>
    </row>
    <row r="1681" spans="1:13" ht="30" x14ac:dyDescent="0.25">
      <c r="A1681" s="359" t="s">
        <v>1933</v>
      </c>
      <c r="B1681" s="359" t="s">
        <v>670</v>
      </c>
      <c r="C1681" s="359" t="s">
        <v>1365</v>
      </c>
      <c r="D1681" s="359" t="s">
        <v>1366</v>
      </c>
      <c r="E1681" s="360"/>
      <c r="F1681" s="359" t="s">
        <v>1270</v>
      </c>
      <c r="G1681" s="361">
        <v>1.075268817204301E-5</v>
      </c>
      <c r="H1681" s="359" t="s">
        <v>1286</v>
      </c>
      <c r="I1681" s="361">
        <v>0</v>
      </c>
      <c r="J1681" s="359" t="s">
        <v>1028</v>
      </c>
      <c r="K1681" s="359" t="s">
        <v>1272</v>
      </c>
      <c r="M1681" t="str">
        <f t="shared" si="27"/>
        <v>ETHENE</v>
      </c>
    </row>
    <row r="1682" spans="1:13" ht="30" x14ac:dyDescent="0.25">
      <c r="A1682" s="359" t="s">
        <v>1933</v>
      </c>
      <c r="B1682" s="359" t="s">
        <v>670</v>
      </c>
      <c r="C1682" s="359" t="s">
        <v>1852</v>
      </c>
      <c r="D1682" s="359" t="s">
        <v>1690</v>
      </c>
      <c r="E1682" s="361">
        <v>1863.9598888</v>
      </c>
      <c r="F1682" s="359" t="s">
        <v>1270</v>
      </c>
      <c r="G1682" s="361">
        <v>1.075268817204301E-5</v>
      </c>
      <c r="H1682" s="359" t="s">
        <v>490</v>
      </c>
      <c r="I1682" s="361">
        <v>5.4911176573869489E-5</v>
      </c>
      <c r="J1682" s="359" t="s">
        <v>1852</v>
      </c>
      <c r="K1682" s="359" t="s">
        <v>1277</v>
      </c>
      <c r="M1682" t="str">
        <f t="shared" si="27"/>
        <v>Iron, total (as Fe)</v>
      </c>
    </row>
    <row r="1683" spans="1:13" ht="30" x14ac:dyDescent="0.25">
      <c r="A1683" s="359" t="s">
        <v>1933</v>
      </c>
      <c r="B1683" s="359" t="s">
        <v>670</v>
      </c>
      <c r="C1683" s="359" t="s">
        <v>1936</v>
      </c>
      <c r="D1683" s="359" t="s">
        <v>1298</v>
      </c>
      <c r="E1683" s="361">
        <v>1.6899534464000001</v>
      </c>
      <c r="F1683" s="359" t="s">
        <v>1270</v>
      </c>
      <c r="G1683" s="361">
        <v>1.075268817204301E-5</v>
      </c>
      <c r="H1683" s="359" t="s">
        <v>490</v>
      </c>
      <c r="I1683" s="361">
        <v>4.9785047765503019E-8</v>
      </c>
      <c r="J1683" s="359" t="s">
        <v>1936</v>
      </c>
      <c r="K1683" s="359" t="s">
        <v>1277</v>
      </c>
      <c r="M1683" t="str">
        <f t="shared" si="27"/>
        <v>Lead, potentially dissolvd</v>
      </c>
    </row>
    <row r="1684" spans="1:13" ht="30" x14ac:dyDescent="0.25">
      <c r="A1684" s="359" t="s">
        <v>1933</v>
      </c>
      <c r="B1684" s="359" t="s">
        <v>670</v>
      </c>
      <c r="C1684" s="359" t="s">
        <v>1937</v>
      </c>
      <c r="D1684" s="359" t="s">
        <v>1448</v>
      </c>
      <c r="E1684" s="361">
        <v>2759.1767792200003</v>
      </c>
      <c r="F1684" s="359" t="s">
        <v>1270</v>
      </c>
      <c r="G1684" s="361">
        <v>1.075268817204301E-5</v>
      </c>
      <c r="H1684" s="359" t="s">
        <v>490</v>
      </c>
      <c r="I1684" s="361">
        <v>8.1283746626012671E-5</v>
      </c>
      <c r="J1684" s="359" t="s">
        <v>1937</v>
      </c>
      <c r="K1684" s="359" t="s">
        <v>1277</v>
      </c>
      <c r="M1684" t="str">
        <f t="shared" si="27"/>
        <v>Manganese, potentially dissolvd</v>
      </c>
    </row>
    <row r="1685" spans="1:13" ht="30" x14ac:dyDescent="0.25">
      <c r="A1685" s="359" t="s">
        <v>1933</v>
      </c>
      <c r="B1685" s="359" t="s">
        <v>670</v>
      </c>
      <c r="C1685" s="359" t="s">
        <v>1300</v>
      </c>
      <c r="D1685" s="359" t="s">
        <v>1301</v>
      </c>
      <c r="E1685" s="360"/>
      <c r="F1685" s="359" t="s">
        <v>1270</v>
      </c>
      <c r="G1685" s="361">
        <v>1.075268817204301E-5</v>
      </c>
      <c r="H1685" s="359" t="s">
        <v>1683</v>
      </c>
      <c r="I1685" s="361">
        <v>8.0111087374492608E-3</v>
      </c>
      <c r="J1685" s="359" t="s">
        <v>1300</v>
      </c>
      <c r="K1685" s="359" t="s">
        <v>1272</v>
      </c>
      <c r="M1685" t="str">
        <f t="shared" si="27"/>
        <v>MERCURY AND MERCURY COMPOUNDS</v>
      </c>
    </row>
    <row r="1686" spans="1:13" ht="30" x14ac:dyDescent="0.25">
      <c r="A1686" s="359" t="s">
        <v>1933</v>
      </c>
      <c r="B1686" s="359" t="s">
        <v>670</v>
      </c>
      <c r="C1686" s="359" t="s">
        <v>1468</v>
      </c>
      <c r="D1686" s="359" t="s">
        <v>1459</v>
      </c>
      <c r="E1686" s="361">
        <v>0.63432463752000001</v>
      </c>
      <c r="F1686" s="359" t="s">
        <v>1270</v>
      </c>
      <c r="G1686" s="361">
        <v>1.075268817204301E-5</v>
      </c>
      <c r="H1686" s="359" t="s">
        <v>490</v>
      </c>
      <c r="I1686" s="361">
        <v>1.8686835690676092E-8</v>
      </c>
      <c r="J1686" s="359" t="s">
        <v>1468</v>
      </c>
      <c r="K1686" s="359" t="s">
        <v>1277</v>
      </c>
      <c r="M1686" t="str">
        <f t="shared" si="27"/>
        <v>Mercury, total (as Hg)</v>
      </c>
    </row>
    <row r="1687" spans="1:13" ht="30" x14ac:dyDescent="0.25">
      <c r="A1687" s="359" t="s">
        <v>1933</v>
      </c>
      <c r="B1687" s="359" t="s">
        <v>670</v>
      </c>
      <c r="C1687" s="359" t="s">
        <v>1938</v>
      </c>
      <c r="D1687" s="359" t="s">
        <v>1746</v>
      </c>
      <c r="E1687" s="361">
        <v>16.160133200000001</v>
      </c>
      <c r="F1687" s="359" t="s">
        <v>1270</v>
      </c>
      <c r="G1687" s="361">
        <v>1.075268817204301E-5</v>
      </c>
      <c r="H1687" s="359" t="s">
        <v>490</v>
      </c>
      <c r="I1687" s="361">
        <v>4.7606814552953302E-7</v>
      </c>
      <c r="J1687" s="359" t="s">
        <v>1747</v>
      </c>
      <c r="K1687" s="359" t="s">
        <v>1277</v>
      </c>
      <c r="M1687" t="str">
        <f t="shared" si="27"/>
        <v>METHYL T-BUTYL ETHER</v>
      </c>
    </row>
    <row r="1688" spans="1:13" ht="30" x14ac:dyDescent="0.25">
      <c r="A1688" s="359" t="s">
        <v>1933</v>
      </c>
      <c r="B1688" s="359" t="s">
        <v>670</v>
      </c>
      <c r="C1688" s="359" t="s">
        <v>1303</v>
      </c>
      <c r="D1688" s="359" t="s">
        <v>1304</v>
      </c>
      <c r="E1688" s="360"/>
      <c r="F1688" s="359" t="s">
        <v>1270</v>
      </c>
      <c r="G1688" s="361">
        <v>1.075268817204301E-5</v>
      </c>
      <c r="H1688" s="359" t="s">
        <v>1286</v>
      </c>
      <c r="I1688" s="361">
        <v>0</v>
      </c>
      <c r="J1688" s="359" t="s">
        <v>1303</v>
      </c>
      <c r="K1688" s="359" t="s">
        <v>1272</v>
      </c>
      <c r="M1688" t="str">
        <f t="shared" si="27"/>
        <v>NAPHTHALENE</v>
      </c>
    </row>
    <row r="1689" spans="1:13" ht="30" x14ac:dyDescent="0.25">
      <c r="A1689" s="359" t="s">
        <v>1933</v>
      </c>
      <c r="B1689" s="359" t="s">
        <v>670</v>
      </c>
      <c r="C1689" s="359" t="s">
        <v>1305</v>
      </c>
      <c r="D1689" s="359" t="s">
        <v>1306</v>
      </c>
      <c r="E1689" s="360"/>
      <c r="F1689" s="359" t="s">
        <v>1270</v>
      </c>
      <c r="G1689" s="361">
        <v>1.075268817204301E-5</v>
      </c>
      <c r="H1689" s="359" t="s">
        <v>1286</v>
      </c>
      <c r="I1689" s="361">
        <v>0</v>
      </c>
      <c r="J1689" s="359" t="s">
        <v>1305</v>
      </c>
      <c r="K1689" s="359" t="s">
        <v>1272</v>
      </c>
      <c r="M1689" t="str">
        <f t="shared" si="27"/>
        <v>N-HEXANE</v>
      </c>
    </row>
    <row r="1690" spans="1:13" ht="30" x14ac:dyDescent="0.25">
      <c r="A1690" s="359" t="s">
        <v>1933</v>
      </c>
      <c r="B1690" s="359" t="s">
        <v>670</v>
      </c>
      <c r="C1690" s="359" t="s">
        <v>1384</v>
      </c>
      <c r="D1690" s="359" t="s">
        <v>1385</v>
      </c>
      <c r="E1690" s="360"/>
      <c r="F1690" s="359" t="s">
        <v>1270</v>
      </c>
      <c r="G1690" s="361">
        <v>1.075268817204301E-5</v>
      </c>
      <c r="H1690" s="359" t="s">
        <v>1520</v>
      </c>
      <c r="I1690" s="361">
        <v>2.1362956633198031E-2</v>
      </c>
      <c r="J1690" s="359" t="s">
        <v>1384</v>
      </c>
      <c r="K1690" s="359" t="s">
        <v>1272</v>
      </c>
      <c r="M1690" t="str">
        <f t="shared" si="27"/>
        <v>NICKEL AND NICKEL COMPOUNDS</v>
      </c>
    </row>
    <row r="1691" spans="1:13" ht="30" x14ac:dyDescent="0.25">
      <c r="A1691" s="359" t="s">
        <v>1933</v>
      </c>
      <c r="B1691" s="359" t="s">
        <v>670</v>
      </c>
      <c r="C1691" s="359" t="s">
        <v>1307</v>
      </c>
      <c r="D1691" s="359" t="s">
        <v>1308</v>
      </c>
      <c r="E1691" s="360"/>
      <c r="F1691" s="359" t="s">
        <v>1270</v>
      </c>
      <c r="G1691" s="361">
        <v>1.075268817204301E-5</v>
      </c>
      <c r="H1691" s="359" t="s">
        <v>1939</v>
      </c>
      <c r="I1691" s="361">
        <v>58.787296161788781</v>
      </c>
      <c r="J1691" s="359" t="s">
        <v>1310</v>
      </c>
      <c r="K1691" s="359" t="s">
        <v>1272</v>
      </c>
      <c r="M1691" t="str">
        <f t="shared" si="27"/>
        <v>NITRATE</v>
      </c>
    </row>
    <row r="1692" spans="1:13" ht="30" x14ac:dyDescent="0.25">
      <c r="A1692" s="359" t="s">
        <v>1933</v>
      </c>
      <c r="B1692" s="359" t="s">
        <v>670</v>
      </c>
      <c r="C1692" s="359" t="s">
        <v>1311</v>
      </c>
      <c r="D1692" s="359" t="s">
        <v>1312</v>
      </c>
      <c r="E1692" s="361">
        <v>2094.70984</v>
      </c>
      <c r="F1692" s="359" t="s">
        <v>1270</v>
      </c>
      <c r="G1692" s="361">
        <v>1.075268817204301E-5</v>
      </c>
      <c r="H1692" s="359" t="s">
        <v>490</v>
      </c>
      <c r="I1692" s="361">
        <v>6.1708936220356448E-5</v>
      </c>
      <c r="J1692" s="359" t="s">
        <v>1313</v>
      </c>
      <c r="K1692" s="359" t="s">
        <v>1277</v>
      </c>
      <c r="M1692" t="str">
        <f t="shared" si="27"/>
        <v>AMMONIA</v>
      </c>
    </row>
    <row r="1693" spans="1:13" ht="30" x14ac:dyDescent="0.25">
      <c r="A1693" s="359" t="s">
        <v>1933</v>
      </c>
      <c r="B1693" s="359" t="s">
        <v>670</v>
      </c>
      <c r="C1693" s="359" t="s">
        <v>1314</v>
      </c>
      <c r="D1693" s="359" t="s">
        <v>490</v>
      </c>
      <c r="E1693" s="361">
        <v>46718.948893599998</v>
      </c>
      <c r="F1693" s="359" t="s">
        <v>1270</v>
      </c>
      <c r="G1693" s="361">
        <v>1.075268817204301E-5</v>
      </c>
      <c r="H1693" s="359" t="s">
        <v>490</v>
      </c>
      <c r="I1693" s="361">
        <v>1.3763131210369713E-3</v>
      </c>
      <c r="J1693" s="359" t="s">
        <v>1314</v>
      </c>
      <c r="K1693" s="359" t="s">
        <v>1277</v>
      </c>
      <c r="M1693" t="str">
        <f t="shared" si="27"/>
        <v>Oil and grease</v>
      </c>
    </row>
    <row r="1694" spans="1:13" ht="30" x14ac:dyDescent="0.25">
      <c r="A1694" s="359" t="s">
        <v>1933</v>
      </c>
      <c r="B1694" s="359" t="s">
        <v>670</v>
      </c>
      <c r="C1694" s="359" t="s">
        <v>1457</v>
      </c>
      <c r="D1694" s="359" t="s">
        <v>490</v>
      </c>
      <c r="E1694" s="361">
        <v>176222.22222200001</v>
      </c>
      <c r="F1694" s="359" t="s">
        <v>1270</v>
      </c>
      <c r="G1694" s="361">
        <v>1.075268817204301E-5</v>
      </c>
      <c r="H1694" s="359" t="s">
        <v>490</v>
      </c>
      <c r="I1694" s="361">
        <v>5.1914043959935185E-3</v>
      </c>
      <c r="J1694" s="359" t="s">
        <v>1457</v>
      </c>
      <c r="K1694" s="359" t="s">
        <v>1277</v>
      </c>
      <c r="M1694" t="str">
        <f t="shared" si="27"/>
        <v>Chemical Oxygen Demand (COD)</v>
      </c>
    </row>
    <row r="1695" spans="1:13" ht="30" x14ac:dyDescent="0.25">
      <c r="A1695" s="359" t="s">
        <v>1933</v>
      </c>
      <c r="B1695" s="359" t="s">
        <v>670</v>
      </c>
      <c r="C1695" s="359" t="s">
        <v>1457</v>
      </c>
      <c r="D1695" s="359" t="s">
        <v>490</v>
      </c>
      <c r="E1695" s="361">
        <v>57832.756099999999</v>
      </c>
      <c r="F1695" s="359" t="s">
        <v>1270</v>
      </c>
      <c r="G1695" s="361">
        <v>1.075268817204301E-5</v>
      </c>
      <c r="H1695" s="359" t="s">
        <v>490</v>
      </c>
      <c r="I1695" s="361">
        <v>1.7037194314332006E-3</v>
      </c>
      <c r="J1695" s="359" t="s">
        <v>1457</v>
      </c>
      <c r="K1695" s="359" t="s">
        <v>1277</v>
      </c>
      <c r="M1695" t="str">
        <f t="shared" si="27"/>
        <v>Chemical Oxygen Demand (COD)</v>
      </c>
    </row>
    <row r="1696" spans="1:13" ht="30" x14ac:dyDescent="0.25">
      <c r="A1696" s="359" t="s">
        <v>1933</v>
      </c>
      <c r="B1696" s="359" t="s">
        <v>670</v>
      </c>
      <c r="C1696" s="359" t="s">
        <v>1480</v>
      </c>
      <c r="D1696" s="359" t="s">
        <v>1481</v>
      </c>
      <c r="E1696" s="361">
        <v>17083.764039999998</v>
      </c>
      <c r="F1696" s="359" t="s">
        <v>1270</v>
      </c>
      <c r="G1696" s="361">
        <v>1.075268817204301E-5</v>
      </c>
      <c r="H1696" s="359" t="s">
        <v>490</v>
      </c>
      <c r="I1696" s="361">
        <v>5.0327777404625114E-4</v>
      </c>
      <c r="J1696" s="359" t="s">
        <v>1480</v>
      </c>
      <c r="K1696" s="359" t="s">
        <v>1277</v>
      </c>
      <c r="M1696" t="str">
        <f t="shared" si="27"/>
        <v>Oxygen, dissolved (DO)</v>
      </c>
    </row>
    <row r="1697" spans="1:13" ht="30" x14ac:dyDescent="0.25">
      <c r="A1697" s="359" t="s">
        <v>1933</v>
      </c>
      <c r="B1697" s="359" t="s">
        <v>670</v>
      </c>
      <c r="C1697" s="359" t="s">
        <v>1318</v>
      </c>
      <c r="D1697" s="359" t="s">
        <v>490</v>
      </c>
      <c r="E1697" s="361">
        <v>0</v>
      </c>
      <c r="F1697" s="359" t="s">
        <v>1270</v>
      </c>
      <c r="G1697" s="361">
        <v>1.075268817204301E-5</v>
      </c>
      <c r="H1697" s="359" t="s">
        <v>490</v>
      </c>
      <c r="I1697" s="361">
        <v>0</v>
      </c>
      <c r="J1697" s="359" t="s">
        <v>1318</v>
      </c>
      <c r="K1697" s="359" t="s">
        <v>1277</v>
      </c>
      <c r="M1697" t="str">
        <f t="shared" si="27"/>
        <v>Phenolics, total recoverable</v>
      </c>
    </row>
    <row r="1698" spans="1:13" ht="30" x14ac:dyDescent="0.25">
      <c r="A1698" s="359" t="s">
        <v>1933</v>
      </c>
      <c r="B1698" s="359" t="s">
        <v>670</v>
      </c>
      <c r="C1698" s="359" t="s">
        <v>1319</v>
      </c>
      <c r="D1698" s="359" t="s">
        <v>1320</v>
      </c>
      <c r="E1698" s="360"/>
      <c r="F1698" s="359" t="s">
        <v>1270</v>
      </c>
      <c r="G1698" s="361">
        <v>1.075268817204301E-5</v>
      </c>
      <c r="H1698" s="359" t="s">
        <v>1940</v>
      </c>
      <c r="I1698" s="361">
        <v>1.7446414583778394E-2</v>
      </c>
      <c r="J1698" s="359" t="s">
        <v>1319</v>
      </c>
      <c r="K1698" s="359" t="s">
        <v>1272</v>
      </c>
      <c r="M1698" t="str">
        <f t="shared" si="27"/>
        <v>POLYCYCLIC AROMATIC COMPOUNDS</v>
      </c>
    </row>
    <row r="1699" spans="1:13" ht="30" x14ac:dyDescent="0.25">
      <c r="A1699" s="359" t="s">
        <v>1933</v>
      </c>
      <c r="B1699" s="359" t="s">
        <v>670</v>
      </c>
      <c r="C1699" s="359" t="s">
        <v>1941</v>
      </c>
      <c r="D1699" s="359" t="s">
        <v>1427</v>
      </c>
      <c r="E1699" s="361">
        <v>136.16676031</v>
      </c>
      <c r="F1699" s="359" t="s">
        <v>1270</v>
      </c>
      <c r="G1699" s="361">
        <v>1.075268817204301E-5</v>
      </c>
      <c r="H1699" s="359" t="s">
        <v>490</v>
      </c>
      <c r="I1699" s="361">
        <v>4.0113937342760342E-6</v>
      </c>
      <c r="J1699" s="359" t="s">
        <v>1941</v>
      </c>
      <c r="K1699" s="359" t="s">
        <v>1277</v>
      </c>
      <c r="M1699" t="str">
        <f t="shared" si="27"/>
        <v>Selenium, dissolved (as Se)</v>
      </c>
    </row>
    <row r="1700" spans="1:13" ht="30" x14ac:dyDescent="0.25">
      <c r="A1700" s="359" t="s">
        <v>1933</v>
      </c>
      <c r="B1700" s="359" t="s">
        <v>670</v>
      </c>
      <c r="C1700" s="359" t="s">
        <v>1942</v>
      </c>
      <c r="D1700" s="359" t="s">
        <v>1434</v>
      </c>
      <c r="E1700" s="361">
        <v>1.2164792422999999</v>
      </c>
      <c r="F1700" s="359" t="s">
        <v>1270</v>
      </c>
      <c r="G1700" s="361">
        <v>1.075268817204301E-5</v>
      </c>
      <c r="H1700" s="359" t="s">
        <v>490</v>
      </c>
      <c r="I1700" s="361">
        <v>3.5836772493739865E-8</v>
      </c>
      <c r="J1700" s="359" t="s">
        <v>1942</v>
      </c>
      <c r="K1700" s="359" t="s">
        <v>1277</v>
      </c>
      <c r="M1700" t="str">
        <f t="shared" si="27"/>
        <v>Silver, potentially dissolved</v>
      </c>
    </row>
    <row r="1701" spans="1:13" ht="30" x14ac:dyDescent="0.25">
      <c r="A1701" s="359" t="s">
        <v>1933</v>
      </c>
      <c r="B1701" s="359" t="s">
        <v>670</v>
      </c>
      <c r="C1701" s="359" t="s">
        <v>1322</v>
      </c>
      <c r="D1701" s="359" t="s">
        <v>490</v>
      </c>
      <c r="E1701" s="361">
        <v>92606.943281</v>
      </c>
      <c r="F1701" s="359" t="s">
        <v>1270</v>
      </c>
      <c r="G1701" s="361">
        <v>1.075268817204301E-5</v>
      </c>
      <c r="H1701" s="359" t="s">
        <v>490</v>
      </c>
      <c r="I1701" s="361">
        <v>2.72814680456621E-3</v>
      </c>
      <c r="J1701" s="359" t="s">
        <v>1322</v>
      </c>
      <c r="K1701" s="359" t="s">
        <v>1277</v>
      </c>
      <c r="M1701" t="str">
        <f t="shared" si="27"/>
        <v>Solids, total suspended</v>
      </c>
    </row>
    <row r="1702" spans="1:13" ht="30" x14ac:dyDescent="0.25">
      <c r="A1702" s="359" t="s">
        <v>1933</v>
      </c>
      <c r="B1702" s="359" t="s">
        <v>670</v>
      </c>
      <c r="C1702" s="359" t="s">
        <v>1325</v>
      </c>
      <c r="D1702" s="359" t="s">
        <v>1326</v>
      </c>
      <c r="E1702" s="360"/>
      <c r="F1702" s="359" t="s">
        <v>1270</v>
      </c>
      <c r="G1702" s="361">
        <v>1.075268817204301E-5</v>
      </c>
      <c r="H1702" s="359" t="s">
        <v>1474</v>
      </c>
      <c r="I1702" s="361">
        <v>3.2044434949797043E-2</v>
      </c>
      <c r="J1702" s="359" t="s">
        <v>1325</v>
      </c>
      <c r="K1702" s="359" t="s">
        <v>1272</v>
      </c>
      <c r="M1702" t="str">
        <f t="shared" si="27"/>
        <v>TOLUENE</v>
      </c>
    </row>
    <row r="1703" spans="1:13" ht="30" x14ac:dyDescent="0.25">
      <c r="A1703" s="359" t="s">
        <v>1933</v>
      </c>
      <c r="B1703" s="359" t="s">
        <v>670</v>
      </c>
      <c r="C1703" s="359" t="s">
        <v>1327</v>
      </c>
      <c r="D1703" s="359" t="s">
        <v>1328</v>
      </c>
      <c r="E1703" s="360"/>
      <c r="F1703" s="359" t="s">
        <v>1270</v>
      </c>
      <c r="G1703" s="361">
        <v>1.075268817204301E-5</v>
      </c>
      <c r="H1703" s="359" t="s">
        <v>1647</v>
      </c>
      <c r="I1703" s="361">
        <v>0.11215552232428966</v>
      </c>
      <c r="J1703" s="359" t="s">
        <v>1329</v>
      </c>
      <c r="K1703" s="359" t="s">
        <v>1272</v>
      </c>
      <c r="M1703" t="str">
        <f t="shared" si="27"/>
        <v>XYLENES</v>
      </c>
    </row>
    <row r="1704" spans="1:13" ht="30" x14ac:dyDescent="0.25">
      <c r="A1704" s="359" t="s">
        <v>1933</v>
      </c>
      <c r="B1704" s="359" t="s">
        <v>670</v>
      </c>
      <c r="C1704" s="359" t="s">
        <v>1943</v>
      </c>
      <c r="D1704" s="359" t="s">
        <v>1343</v>
      </c>
      <c r="E1704" s="361">
        <v>504.78011321000002</v>
      </c>
      <c r="F1704" s="359" t="s">
        <v>1270</v>
      </c>
      <c r="G1704" s="361">
        <v>1.075268817204301E-5</v>
      </c>
      <c r="H1704" s="359" t="s">
        <v>490</v>
      </c>
      <c r="I1704" s="361">
        <v>1.4870529185741641E-5</v>
      </c>
      <c r="J1704" s="359" t="s">
        <v>1943</v>
      </c>
      <c r="K1704" s="359" t="s">
        <v>1277</v>
      </c>
      <c r="M1704" t="str">
        <f t="shared" si="27"/>
        <v>Zinc, potentially dissolved</v>
      </c>
    </row>
    <row r="1705" spans="1:13" ht="45" x14ac:dyDescent="0.25">
      <c r="A1705" s="359" t="s">
        <v>1944</v>
      </c>
      <c r="B1705" s="359" t="s">
        <v>821</v>
      </c>
      <c r="C1705" s="359" t="s">
        <v>1510</v>
      </c>
      <c r="D1705" s="359" t="s">
        <v>1505</v>
      </c>
      <c r="E1705" s="361">
        <v>78390.656200600002</v>
      </c>
      <c r="F1705" s="359" t="s">
        <v>1270</v>
      </c>
      <c r="G1705" s="361">
        <v>5.7142857142857145E-6</v>
      </c>
      <c r="H1705" s="359" t="s">
        <v>490</v>
      </c>
      <c r="I1705" s="361">
        <v>1.2272509777001958E-3</v>
      </c>
      <c r="J1705" s="359" t="s">
        <v>1506</v>
      </c>
      <c r="K1705" s="359" t="s">
        <v>1277</v>
      </c>
      <c r="M1705" t="str">
        <f t="shared" si="27"/>
        <v>NITROGEN</v>
      </c>
    </row>
    <row r="1706" spans="1:13" ht="45" x14ac:dyDescent="0.25">
      <c r="A1706" s="359" t="s">
        <v>1944</v>
      </c>
      <c r="B1706" s="359" t="s">
        <v>821</v>
      </c>
      <c r="C1706" s="359" t="s">
        <v>1341</v>
      </c>
      <c r="D1706" s="359" t="s">
        <v>490</v>
      </c>
      <c r="E1706" s="361">
        <v>37363.375797499997</v>
      </c>
      <c r="F1706" s="359" t="s">
        <v>1270</v>
      </c>
      <c r="G1706" s="361">
        <v>5.7142857142857145E-6</v>
      </c>
      <c r="H1706" s="359" t="s">
        <v>490</v>
      </c>
      <c r="I1706" s="361">
        <v>5.8494521796477494E-4</v>
      </c>
      <c r="J1706" s="359" t="s">
        <v>1341</v>
      </c>
      <c r="K1706" s="359" t="s">
        <v>1277</v>
      </c>
      <c r="M1706" t="str">
        <f t="shared" si="27"/>
        <v>Oil &amp; grease</v>
      </c>
    </row>
    <row r="1707" spans="1:13" ht="30" x14ac:dyDescent="0.25">
      <c r="A1707" s="359" t="s">
        <v>1945</v>
      </c>
      <c r="B1707" s="359" t="s">
        <v>819</v>
      </c>
      <c r="C1707" s="359" t="s">
        <v>1268</v>
      </c>
      <c r="D1707" s="359" t="s">
        <v>1269</v>
      </c>
      <c r="E1707" s="360"/>
      <c r="F1707" s="359" t="s">
        <v>1270</v>
      </c>
      <c r="G1707" s="361">
        <v>3.0303030303030305E-6</v>
      </c>
      <c r="H1707" s="359" t="s">
        <v>1275</v>
      </c>
      <c r="I1707" s="361">
        <v>3.5119405980333133E-3</v>
      </c>
      <c r="J1707" s="359" t="s">
        <v>1268</v>
      </c>
      <c r="K1707" s="359" t="s">
        <v>1272</v>
      </c>
      <c r="M1707" t="str">
        <f t="shared" si="27"/>
        <v>1,2,4-TRIMETHYLBENZENE</v>
      </c>
    </row>
    <row r="1708" spans="1:13" ht="30" x14ac:dyDescent="0.25">
      <c r="A1708" s="359" t="s">
        <v>1945</v>
      </c>
      <c r="B1708" s="359" t="s">
        <v>819</v>
      </c>
      <c r="C1708" s="359" t="s">
        <v>1313</v>
      </c>
      <c r="D1708" s="359" t="s">
        <v>1312</v>
      </c>
      <c r="E1708" s="360"/>
      <c r="F1708" s="359" t="s">
        <v>1270</v>
      </c>
      <c r="G1708" s="361">
        <v>3.0303030303030305E-6</v>
      </c>
      <c r="H1708" s="359" t="s">
        <v>1946</v>
      </c>
      <c r="I1708" s="361">
        <v>3.6423841059602644</v>
      </c>
      <c r="J1708" s="359" t="s">
        <v>1313</v>
      </c>
      <c r="K1708" s="359" t="s">
        <v>1272</v>
      </c>
      <c r="M1708" t="str">
        <f t="shared" si="27"/>
        <v>AMMONIA</v>
      </c>
    </row>
    <row r="1709" spans="1:13" ht="30" x14ac:dyDescent="0.25">
      <c r="A1709" s="359" t="s">
        <v>1945</v>
      </c>
      <c r="B1709" s="359" t="s">
        <v>819</v>
      </c>
      <c r="C1709" s="359" t="s">
        <v>1586</v>
      </c>
      <c r="D1709" s="359" t="s">
        <v>1587</v>
      </c>
      <c r="E1709" s="360"/>
      <c r="F1709" s="359" t="s">
        <v>1270</v>
      </c>
      <c r="G1709" s="361">
        <v>3.0303030303030305E-6</v>
      </c>
      <c r="H1709" s="359" t="s">
        <v>1947</v>
      </c>
      <c r="I1709" s="361">
        <v>0.37126229179209314</v>
      </c>
      <c r="J1709" s="359" t="s">
        <v>1586</v>
      </c>
      <c r="K1709" s="359" t="s">
        <v>1272</v>
      </c>
      <c r="M1709" t="str">
        <f t="shared" si="27"/>
        <v>ANTIMONY AND ANTIMONY COMPOUNDS</v>
      </c>
    </row>
    <row r="1710" spans="1:13" ht="30" x14ac:dyDescent="0.25">
      <c r="A1710" s="359" t="s">
        <v>1945</v>
      </c>
      <c r="B1710" s="359" t="s">
        <v>819</v>
      </c>
      <c r="C1710" s="359" t="s">
        <v>260</v>
      </c>
      <c r="D1710" s="359" t="s">
        <v>1274</v>
      </c>
      <c r="E1710" s="361">
        <v>3.9013111574999999</v>
      </c>
      <c r="F1710" s="359" t="s">
        <v>1270</v>
      </c>
      <c r="G1710" s="361">
        <v>3.0303030303030305E-6</v>
      </c>
      <c r="H1710" s="359" t="s">
        <v>490</v>
      </c>
      <c r="I1710" s="361">
        <v>3.2389465815691159E-8</v>
      </c>
      <c r="J1710" s="359" t="s">
        <v>1273</v>
      </c>
      <c r="K1710" s="359" t="s">
        <v>1277</v>
      </c>
      <c r="M1710" t="str">
        <f t="shared" si="27"/>
        <v>BENZENE</v>
      </c>
    </row>
    <row r="1711" spans="1:13" ht="30" x14ac:dyDescent="0.25">
      <c r="A1711" s="359" t="s">
        <v>1945</v>
      </c>
      <c r="B1711" s="359" t="s">
        <v>819</v>
      </c>
      <c r="C1711" s="359" t="s">
        <v>1826</v>
      </c>
      <c r="D1711" s="359" t="s">
        <v>490</v>
      </c>
      <c r="E1711" s="361">
        <v>20.764820370000002</v>
      </c>
      <c r="F1711" s="359" t="s">
        <v>1270</v>
      </c>
      <c r="G1711" s="361">
        <v>3.0303030303030305E-6</v>
      </c>
      <c r="H1711" s="359" t="s">
        <v>490</v>
      </c>
      <c r="I1711" s="361">
        <v>1.7239369339975098E-7</v>
      </c>
      <c r="J1711" s="359" t="s">
        <v>1826</v>
      </c>
      <c r="K1711" s="359" t="s">
        <v>1277</v>
      </c>
      <c r="M1711" t="str">
        <f t="shared" si="27"/>
        <v>Benzene, ethylbenzene, toluene, xylene combination</v>
      </c>
    </row>
    <row r="1712" spans="1:13" ht="30" x14ac:dyDescent="0.25">
      <c r="A1712" s="359" t="s">
        <v>1945</v>
      </c>
      <c r="B1712" s="359" t="s">
        <v>819</v>
      </c>
      <c r="C1712" s="359" t="s">
        <v>1276</v>
      </c>
      <c r="D1712" s="359" t="s">
        <v>490</v>
      </c>
      <c r="E1712" s="361">
        <v>59846.313350999997</v>
      </c>
      <c r="F1712" s="359" t="s">
        <v>1270</v>
      </c>
      <c r="G1712" s="361">
        <v>3.0303030303030305E-6</v>
      </c>
      <c r="H1712" s="359" t="s">
        <v>490</v>
      </c>
      <c r="I1712" s="361">
        <v>4.9685606767123293E-4</v>
      </c>
      <c r="J1712" s="359" t="s">
        <v>1276</v>
      </c>
      <c r="K1712" s="359" t="s">
        <v>1277</v>
      </c>
      <c r="M1712" t="str">
        <f t="shared" si="27"/>
        <v>BOD, 5-day, 20 deg. C</v>
      </c>
    </row>
    <row r="1713" spans="1:13" ht="30" x14ac:dyDescent="0.25">
      <c r="A1713" s="359" t="s">
        <v>1945</v>
      </c>
      <c r="B1713" s="359" t="s">
        <v>819</v>
      </c>
      <c r="C1713" s="359" t="s">
        <v>1850</v>
      </c>
      <c r="D1713" s="359" t="s">
        <v>490</v>
      </c>
      <c r="E1713" s="361">
        <v>56473.015872999997</v>
      </c>
      <c r="F1713" s="359" t="s">
        <v>1270</v>
      </c>
      <c r="G1713" s="361">
        <v>3.0303030303030305E-6</v>
      </c>
      <c r="H1713" s="359" t="s">
        <v>490</v>
      </c>
      <c r="I1713" s="361">
        <v>4.6885027706932342E-4</v>
      </c>
      <c r="J1713" s="359" t="s">
        <v>1850</v>
      </c>
      <c r="K1713" s="359" t="s">
        <v>1277</v>
      </c>
      <c r="M1713" t="str">
        <f t="shared" si="27"/>
        <v>BOD, carbonaceous, 20 day, 20 C</v>
      </c>
    </row>
    <row r="1714" spans="1:13" ht="30" x14ac:dyDescent="0.25">
      <c r="A1714" s="359" t="s">
        <v>1945</v>
      </c>
      <c r="B1714" s="359" t="s">
        <v>819</v>
      </c>
      <c r="C1714" s="359" t="s">
        <v>1278</v>
      </c>
      <c r="D1714" s="359" t="s">
        <v>1279</v>
      </c>
      <c r="E1714" s="361">
        <v>71347.186411999995</v>
      </c>
      <c r="F1714" s="359" t="s">
        <v>1270</v>
      </c>
      <c r="G1714" s="361">
        <v>3.0303030303030305E-6</v>
      </c>
      <c r="H1714" s="359" t="s">
        <v>490</v>
      </c>
      <c r="I1714" s="361">
        <v>5.9233861695309265E-4</v>
      </c>
      <c r="J1714" s="359" t="s">
        <v>1278</v>
      </c>
      <c r="K1714" s="359" t="s">
        <v>1277</v>
      </c>
      <c r="M1714" t="str">
        <f t="shared" si="27"/>
        <v>Carbon, tot organic (TOC)</v>
      </c>
    </row>
    <row r="1715" spans="1:13" ht="30" x14ac:dyDescent="0.25">
      <c r="A1715" s="359" t="s">
        <v>1945</v>
      </c>
      <c r="B1715" s="359" t="s">
        <v>819</v>
      </c>
      <c r="C1715" s="359" t="s">
        <v>1280</v>
      </c>
      <c r="D1715" s="359" t="s">
        <v>1281</v>
      </c>
      <c r="E1715" s="361">
        <v>0</v>
      </c>
      <c r="F1715" s="359" t="s">
        <v>1270</v>
      </c>
      <c r="G1715" s="361">
        <v>3.0303030303030305E-6</v>
      </c>
      <c r="H1715" s="359" t="s">
        <v>490</v>
      </c>
      <c r="I1715" s="361">
        <v>0</v>
      </c>
      <c r="J1715" s="359" t="s">
        <v>1280</v>
      </c>
      <c r="K1715" s="359" t="s">
        <v>1277</v>
      </c>
      <c r="M1715" t="str">
        <f t="shared" si="27"/>
        <v>Chromium, hexavalent (as Cr)</v>
      </c>
    </row>
    <row r="1716" spans="1:13" ht="30" x14ac:dyDescent="0.25">
      <c r="A1716" s="359" t="s">
        <v>1945</v>
      </c>
      <c r="B1716" s="359" t="s">
        <v>819</v>
      </c>
      <c r="C1716" s="359" t="s">
        <v>1282</v>
      </c>
      <c r="D1716" s="359" t="s">
        <v>1283</v>
      </c>
      <c r="E1716" s="361">
        <v>0</v>
      </c>
      <c r="F1716" s="359" t="s">
        <v>1270</v>
      </c>
      <c r="G1716" s="361">
        <v>3.0303030303030305E-6</v>
      </c>
      <c r="H1716" s="359" t="s">
        <v>490</v>
      </c>
      <c r="I1716" s="361">
        <v>0</v>
      </c>
      <c r="J1716" s="359" t="s">
        <v>1282</v>
      </c>
      <c r="K1716" s="359" t="s">
        <v>1277</v>
      </c>
      <c r="M1716" t="str">
        <f t="shared" si="27"/>
        <v>Chromium, total (as Cr)</v>
      </c>
    </row>
    <row r="1717" spans="1:13" ht="30" x14ac:dyDescent="0.25">
      <c r="A1717" s="359" t="s">
        <v>1945</v>
      </c>
      <c r="B1717" s="359" t="s">
        <v>819</v>
      </c>
      <c r="C1717" s="359" t="s">
        <v>331</v>
      </c>
      <c r="D1717" s="359" t="s">
        <v>1296</v>
      </c>
      <c r="E1717" s="361">
        <v>0.92164749999999995</v>
      </c>
      <c r="F1717" s="359" t="s">
        <v>1270</v>
      </c>
      <c r="G1717" s="361">
        <v>3.0303030303030305E-6</v>
      </c>
      <c r="H1717" s="359" t="s">
        <v>490</v>
      </c>
      <c r="I1717" s="361">
        <v>7.65170195101702E-9</v>
      </c>
      <c r="J1717" s="359" t="s">
        <v>1295</v>
      </c>
      <c r="K1717" s="359" t="s">
        <v>1277</v>
      </c>
      <c r="M1717" t="str">
        <f t="shared" si="27"/>
        <v>ETHYLBENZENE</v>
      </c>
    </row>
    <row r="1718" spans="1:13" ht="30" x14ac:dyDescent="0.25">
      <c r="A1718" s="359" t="s">
        <v>1945</v>
      </c>
      <c r="B1718" s="359" t="s">
        <v>819</v>
      </c>
      <c r="C1718" s="359" t="s">
        <v>1596</v>
      </c>
      <c r="D1718" s="359" t="s">
        <v>1597</v>
      </c>
      <c r="E1718" s="361">
        <v>18726.5306122</v>
      </c>
      <c r="F1718" s="359" t="s">
        <v>1270</v>
      </c>
      <c r="G1718" s="361">
        <v>3.0303030303030305E-6</v>
      </c>
      <c r="H1718" s="359" t="s">
        <v>490</v>
      </c>
      <c r="I1718" s="361">
        <v>1.5547140400332091E-4</v>
      </c>
      <c r="J1718" s="359" t="s">
        <v>1596</v>
      </c>
      <c r="K1718" s="359" t="s">
        <v>1277</v>
      </c>
      <c r="M1718" t="str">
        <f t="shared" si="27"/>
        <v>Fluoride, total (as F)</v>
      </c>
    </row>
    <row r="1719" spans="1:13" ht="30" x14ac:dyDescent="0.25">
      <c r="A1719" s="359" t="s">
        <v>1945</v>
      </c>
      <c r="B1719" s="359" t="s">
        <v>819</v>
      </c>
      <c r="C1719" s="359" t="s">
        <v>1297</v>
      </c>
      <c r="D1719" s="359" t="s">
        <v>1298</v>
      </c>
      <c r="E1719" s="360"/>
      <c r="F1719" s="359" t="s">
        <v>1270</v>
      </c>
      <c r="G1719" s="361">
        <v>3.0303030303030305E-6</v>
      </c>
      <c r="H1719" s="359" t="s">
        <v>1539</v>
      </c>
      <c r="I1719" s="361">
        <v>5.5187637969094918E-3</v>
      </c>
      <c r="J1719" s="359" t="s">
        <v>1297</v>
      </c>
      <c r="K1719" s="359" t="s">
        <v>1272</v>
      </c>
      <c r="M1719" t="str">
        <f t="shared" si="27"/>
        <v>LEAD AND LEAD COMPOUNDS</v>
      </c>
    </row>
    <row r="1720" spans="1:13" ht="30" x14ac:dyDescent="0.25">
      <c r="A1720" s="359" t="s">
        <v>1945</v>
      </c>
      <c r="B1720" s="359" t="s">
        <v>819</v>
      </c>
      <c r="C1720" s="359" t="s">
        <v>1791</v>
      </c>
      <c r="D1720" s="359" t="s">
        <v>1304</v>
      </c>
      <c r="E1720" s="361">
        <v>2.1906066000000002</v>
      </c>
      <c r="F1720" s="359" t="s">
        <v>1270</v>
      </c>
      <c r="G1720" s="361">
        <v>3.0303030303030305E-6</v>
      </c>
      <c r="H1720" s="359" t="s">
        <v>490</v>
      </c>
      <c r="I1720" s="361">
        <v>1.8186854296388547E-8</v>
      </c>
      <c r="J1720" s="359" t="s">
        <v>1303</v>
      </c>
      <c r="K1720" s="359" t="s">
        <v>1277</v>
      </c>
      <c r="M1720" t="str">
        <f t="shared" si="27"/>
        <v>NAPHTHALENE</v>
      </c>
    </row>
    <row r="1721" spans="1:13" ht="30" x14ac:dyDescent="0.25">
      <c r="A1721" s="359" t="s">
        <v>1945</v>
      </c>
      <c r="B1721" s="359" t="s">
        <v>819</v>
      </c>
      <c r="C1721" s="359" t="s">
        <v>1384</v>
      </c>
      <c r="D1721" s="359" t="s">
        <v>1385</v>
      </c>
      <c r="E1721" s="360"/>
      <c r="F1721" s="359" t="s">
        <v>1270</v>
      </c>
      <c r="G1721" s="361">
        <v>3.0303030303030305E-6</v>
      </c>
      <c r="H1721" s="359" t="s">
        <v>1762</v>
      </c>
      <c r="I1721" s="361">
        <v>0.11288380493678507</v>
      </c>
      <c r="J1721" s="359" t="s">
        <v>1384</v>
      </c>
      <c r="K1721" s="359" t="s">
        <v>1272</v>
      </c>
      <c r="M1721" t="str">
        <f t="shared" si="27"/>
        <v>NICKEL AND NICKEL COMPOUNDS</v>
      </c>
    </row>
    <row r="1722" spans="1:13" ht="30" x14ac:dyDescent="0.25">
      <c r="A1722" s="359" t="s">
        <v>1945</v>
      </c>
      <c r="B1722" s="359" t="s">
        <v>819</v>
      </c>
      <c r="C1722" s="359" t="s">
        <v>1341</v>
      </c>
      <c r="D1722" s="359" t="s">
        <v>490</v>
      </c>
      <c r="E1722" s="361">
        <v>48689.13478</v>
      </c>
      <c r="F1722" s="359" t="s">
        <v>1270</v>
      </c>
      <c r="G1722" s="361">
        <v>3.0303030303030305E-6</v>
      </c>
      <c r="H1722" s="359" t="s">
        <v>490</v>
      </c>
      <c r="I1722" s="361">
        <v>4.0422693881278542E-4</v>
      </c>
      <c r="J1722" s="359" t="s">
        <v>1341</v>
      </c>
      <c r="K1722" s="359" t="s">
        <v>1277</v>
      </c>
      <c r="M1722" t="str">
        <f t="shared" si="27"/>
        <v>Oil &amp; grease</v>
      </c>
    </row>
    <row r="1723" spans="1:13" ht="30" x14ac:dyDescent="0.25">
      <c r="A1723" s="359" t="s">
        <v>1945</v>
      </c>
      <c r="B1723" s="359" t="s">
        <v>819</v>
      </c>
      <c r="C1723" s="359" t="s">
        <v>1948</v>
      </c>
      <c r="D1723" s="359" t="s">
        <v>490</v>
      </c>
      <c r="E1723" s="361">
        <v>633.72871955000005</v>
      </c>
      <c r="F1723" s="359" t="s">
        <v>1270</v>
      </c>
      <c r="G1723" s="361">
        <v>3.0303030303030305E-6</v>
      </c>
      <c r="H1723" s="359" t="s">
        <v>490</v>
      </c>
      <c r="I1723" s="361">
        <v>5.261342628061437E-6</v>
      </c>
      <c r="J1723" s="359" t="s">
        <v>1948</v>
      </c>
      <c r="K1723" s="359" t="s">
        <v>1277</v>
      </c>
      <c r="M1723" t="str">
        <f t="shared" si="27"/>
        <v>Oxidants, total residual</v>
      </c>
    </row>
    <row r="1724" spans="1:13" ht="30" x14ac:dyDescent="0.25">
      <c r="A1724" s="359" t="s">
        <v>1945</v>
      </c>
      <c r="B1724" s="359" t="s">
        <v>819</v>
      </c>
      <c r="C1724" s="359" t="s">
        <v>1457</v>
      </c>
      <c r="D1724" s="359" t="s">
        <v>490</v>
      </c>
      <c r="E1724" s="361">
        <v>27245.187000000002</v>
      </c>
      <c r="F1724" s="359" t="s">
        <v>1270</v>
      </c>
      <c r="G1724" s="361">
        <v>3.0303030303030305E-6</v>
      </c>
      <c r="H1724" s="359" t="s">
        <v>490</v>
      </c>
      <c r="I1724" s="361">
        <v>2.2619499377334997E-4</v>
      </c>
      <c r="J1724" s="359" t="s">
        <v>1457</v>
      </c>
      <c r="K1724" s="359" t="s">
        <v>1277</v>
      </c>
      <c r="M1724" t="str">
        <f t="shared" si="27"/>
        <v>Chemical Oxygen Demand (COD)</v>
      </c>
    </row>
    <row r="1725" spans="1:13" ht="30" x14ac:dyDescent="0.25">
      <c r="A1725" s="359" t="s">
        <v>1945</v>
      </c>
      <c r="B1725" s="359" t="s">
        <v>819</v>
      </c>
      <c r="C1725" s="359" t="s">
        <v>1615</v>
      </c>
      <c r="D1725" s="359" t="s">
        <v>1316</v>
      </c>
      <c r="E1725" s="361">
        <v>237.20140799999999</v>
      </c>
      <c r="F1725" s="359" t="s">
        <v>1270</v>
      </c>
      <c r="G1725" s="361">
        <v>3.0303030303030305E-6</v>
      </c>
      <c r="H1725" s="359" t="s">
        <v>490</v>
      </c>
      <c r="I1725" s="361">
        <v>1.9692935491905355E-6</v>
      </c>
      <c r="J1725" s="359" t="s">
        <v>1315</v>
      </c>
      <c r="K1725" s="359" t="s">
        <v>1277</v>
      </c>
      <c r="M1725" t="str">
        <f t="shared" si="27"/>
        <v>PHENOL</v>
      </c>
    </row>
    <row r="1726" spans="1:13" ht="30" x14ac:dyDescent="0.25">
      <c r="A1726" s="359" t="s">
        <v>1945</v>
      </c>
      <c r="B1726" s="359" t="s">
        <v>819</v>
      </c>
      <c r="C1726" s="359" t="s">
        <v>1318</v>
      </c>
      <c r="D1726" s="359" t="s">
        <v>490</v>
      </c>
      <c r="E1726" s="361">
        <v>549.12779999999998</v>
      </c>
      <c r="F1726" s="359" t="s">
        <v>1270</v>
      </c>
      <c r="G1726" s="361">
        <v>3.0303030303030305E-6</v>
      </c>
      <c r="H1726" s="359" t="s">
        <v>490</v>
      </c>
      <c r="I1726" s="361">
        <v>4.5589688667496888E-6</v>
      </c>
      <c r="J1726" s="359" t="s">
        <v>1318</v>
      </c>
      <c r="K1726" s="359" t="s">
        <v>1277</v>
      </c>
      <c r="M1726" t="str">
        <f t="shared" si="27"/>
        <v>Phenolics, total recoverable</v>
      </c>
    </row>
    <row r="1727" spans="1:13" ht="30" x14ac:dyDescent="0.25">
      <c r="A1727" s="359" t="s">
        <v>1945</v>
      </c>
      <c r="B1727" s="359" t="s">
        <v>819</v>
      </c>
      <c r="C1727" s="359" t="s">
        <v>1605</v>
      </c>
      <c r="D1727" s="359" t="s">
        <v>490</v>
      </c>
      <c r="E1727" s="361">
        <v>20646585.941</v>
      </c>
      <c r="F1727" s="359" t="s">
        <v>1270</v>
      </c>
      <c r="G1727" s="361">
        <v>3.0303030303030305E-6</v>
      </c>
      <c r="H1727" s="359" t="s">
        <v>490</v>
      </c>
      <c r="I1727" s="361">
        <v>0.1714120875134911</v>
      </c>
      <c r="J1727" s="359" t="s">
        <v>1605</v>
      </c>
      <c r="K1727" s="359" t="s">
        <v>1277</v>
      </c>
      <c r="M1727" t="str">
        <f t="shared" si="27"/>
        <v>Solids, total dissolved</v>
      </c>
    </row>
    <row r="1728" spans="1:13" ht="30" x14ac:dyDescent="0.25">
      <c r="A1728" s="359" t="s">
        <v>1945</v>
      </c>
      <c r="B1728" s="359" t="s">
        <v>819</v>
      </c>
      <c r="C1728" s="359" t="s">
        <v>1322</v>
      </c>
      <c r="D1728" s="359" t="s">
        <v>490</v>
      </c>
      <c r="E1728" s="361">
        <v>3041.3231999999998</v>
      </c>
      <c r="F1728" s="359" t="s">
        <v>1270</v>
      </c>
      <c r="G1728" s="361">
        <v>3.0303030303030305E-6</v>
      </c>
      <c r="H1728" s="359" t="s">
        <v>490</v>
      </c>
      <c r="I1728" s="361">
        <v>2.5249673723536739E-5</v>
      </c>
      <c r="J1728" s="359" t="s">
        <v>1322</v>
      </c>
      <c r="K1728" s="359" t="s">
        <v>1277</v>
      </c>
      <c r="M1728" t="str">
        <f t="shared" si="27"/>
        <v>Solids, total suspended</v>
      </c>
    </row>
    <row r="1729" spans="1:13" ht="30" x14ac:dyDescent="0.25">
      <c r="A1729" s="359" t="s">
        <v>1945</v>
      </c>
      <c r="B1729" s="359" t="s">
        <v>819</v>
      </c>
      <c r="C1729" s="359" t="s">
        <v>1396</v>
      </c>
      <c r="D1729" s="359" t="s">
        <v>1397</v>
      </c>
      <c r="E1729" s="360"/>
      <c r="F1729" s="359" t="s">
        <v>1270</v>
      </c>
      <c r="G1729" s="361">
        <v>3.0303030303030305E-6</v>
      </c>
      <c r="H1729" s="359" t="s">
        <v>1275</v>
      </c>
      <c r="I1729" s="361">
        <v>3.5119405980333133E-3</v>
      </c>
      <c r="J1729" s="359" t="s">
        <v>1398</v>
      </c>
      <c r="K1729" s="359" t="s">
        <v>1272</v>
      </c>
      <c r="M1729" t="str">
        <f t="shared" si="27"/>
        <v>PERCHLOROETHYLENE</v>
      </c>
    </row>
    <row r="1730" spans="1:13" ht="30" x14ac:dyDescent="0.25">
      <c r="A1730" s="359" t="s">
        <v>1945</v>
      </c>
      <c r="B1730" s="359" t="s">
        <v>819</v>
      </c>
      <c r="C1730" s="359" t="s">
        <v>291</v>
      </c>
      <c r="D1730" s="359" t="s">
        <v>1326</v>
      </c>
      <c r="E1730" s="361">
        <v>0.92164749999999995</v>
      </c>
      <c r="F1730" s="359" t="s">
        <v>1270</v>
      </c>
      <c r="G1730" s="361">
        <v>3.0303030303030305E-6</v>
      </c>
      <c r="H1730" s="359" t="s">
        <v>490</v>
      </c>
      <c r="I1730" s="361">
        <v>7.65170195101702E-9</v>
      </c>
      <c r="J1730" s="359" t="s">
        <v>1325</v>
      </c>
      <c r="K1730" s="359" t="s">
        <v>1277</v>
      </c>
      <c r="M1730" t="str">
        <f t="shared" si="27"/>
        <v>TOLUENE</v>
      </c>
    </row>
    <row r="1731" spans="1:13" ht="30" x14ac:dyDescent="0.25">
      <c r="A1731" s="359" t="s">
        <v>1945</v>
      </c>
      <c r="B1731" s="359" t="s">
        <v>819</v>
      </c>
      <c r="C1731" s="359" t="s">
        <v>1795</v>
      </c>
      <c r="D1731" s="359" t="s">
        <v>1328</v>
      </c>
      <c r="E1731" s="361">
        <v>0.92164749999999995</v>
      </c>
      <c r="F1731" s="359" t="s">
        <v>1270</v>
      </c>
      <c r="G1731" s="361">
        <v>3.0303030303030305E-6</v>
      </c>
      <c r="H1731" s="359" t="s">
        <v>490</v>
      </c>
      <c r="I1731" s="361">
        <v>7.65170195101702E-9</v>
      </c>
      <c r="J1731" s="359" t="s">
        <v>1329</v>
      </c>
      <c r="K1731" s="359" t="s">
        <v>1277</v>
      </c>
      <c r="M1731" t="str">
        <f t="shared" si="27"/>
        <v>XYLENES</v>
      </c>
    </row>
    <row r="1732" spans="1:13" ht="30" x14ac:dyDescent="0.25">
      <c r="A1732" s="359" t="s">
        <v>1945</v>
      </c>
      <c r="B1732" s="359" t="s">
        <v>819</v>
      </c>
      <c r="C1732" s="359" t="s">
        <v>1611</v>
      </c>
      <c r="D1732" s="359" t="s">
        <v>1343</v>
      </c>
      <c r="E1732" s="361">
        <v>394.20036924999999</v>
      </c>
      <c r="F1732" s="359" t="s">
        <v>1270</v>
      </c>
      <c r="G1732" s="361">
        <v>3.0303030303030305E-6</v>
      </c>
      <c r="H1732" s="359" t="s">
        <v>490</v>
      </c>
      <c r="I1732" s="361">
        <v>3.2727303383146539E-6</v>
      </c>
      <c r="J1732" s="359" t="s">
        <v>1611</v>
      </c>
      <c r="K1732" s="359" t="s">
        <v>1277</v>
      </c>
      <c r="M1732" t="str">
        <f t="shared" si="27"/>
        <v>Zinc, total (as Zn)</v>
      </c>
    </row>
    <row r="1733" spans="1:13" ht="30" x14ac:dyDescent="0.25">
      <c r="A1733" s="359" t="s">
        <v>1949</v>
      </c>
      <c r="B1733" s="359" t="s">
        <v>881</v>
      </c>
      <c r="C1733" s="359" t="s">
        <v>1268</v>
      </c>
      <c r="D1733" s="359" t="s">
        <v>1269</v>
      </c>
      <c r="E1733" s="360"/>
      <c r="F1733" s="359" t="s">
        <v>1270</v>
      </c>
      <c r="G1733" s="361">
        <v>8.3333333333333337E-6</v>
      </c>
      <c r="H1733" s="359" t="s">
        <v>1286</v>
      </c>
      <c r="I1733" s="361">
        <v>0</v>
      </c>
      <c r="J1733" s="359" t="s">
        <v>1268</v>
      </c>
      <c r="K1733" s="359" t="s">
        <v>1272</v>
      </c>
      <c r="M1733" t="str">
        <f t="shared" si="27"/>
        <v>1,2,4-TRIMETHYLBENZENE</v>
      </c>
    </row>
    <row r="1734" spans="1:13" ht="30" x14ac:dyDescent="0.25">
      <c r="A1734" s="359" t="s">
        <v>1949</v>
      </c>
      <c r="B1734" s="359" t="s">
        <v>881</v>
      </c>
      <c r="C1734" s="359" t="s">
        <v>1347</v>
      </c>
      <c r="D1734" s="359" t="s">
        <v>1348</v>
      </c>
      <c r="E1734" s="360"/>
      <c r="F1734" s="359" t="s">
        <v>1270</v>
      </c>
      <c r="G1734" s="361">
        <v>8.3333333333333337E-6</v>
      </c>
      <c r="H1734" s="359" t="s">
        <v>1286</v>
      </c>
      <c r="I1734" s="361">
        <v>0</v>
      </c>
      <c r="J1734" s="359" t="s">
        <v>1347</v>
      </c>
      <c r="K1734" s="359" t="s">
        <v>1272</v>
      </c>
      <c r="M1734" t="str">
        <f t="shared" ref="M1734:M1797" si="28">IF(J1734="",C1734,J1734)</f>
        <v>1,3-BUTADIENE</v>
      </c>
    </row>
    <row r="1735" spans="1:13" ht="30" x14ac:dyDescent="0.25">
      <c r="A1735" s="359" t="s">
        <v>1949</v>
      </c>
      <c r="B1735" s="359" t="s">
        <v>881</v>
      </c>
      <c r="C1735" s="359" t="s">
        <v>1313</v>
      </c>
      <c r="D1735" s="359" t="s">
        <v>1312</v>
      </c>
      <c r="E1735" s="360"/>
      <c r="F1735" s="359" t="s">
        <v>1270</v>
      </c>
      <c r="G1735" s="361">
        <v>8.3333333333333337E-6</v>
      </c>
      <c r="H1735" s="359" t="s">
        <v>1950</v>
      </c>
      <c r="I1735" s="361">
        <v>0.91887417218543055</v>
      </c>
      <c r="J1735" s="359" t="s">
        <v>1313</v>
      </c>
      <c r="K1735" s="359" t="s">
        <v>1272</v>
      </c>
      <c r="M1735" t="str">
        <f t="shared" si="28"/>
        <v>AMMONIA</v>
      </c>
    </row>
    <row r="1736" spans="1:13" ht="30" x14ac:dyDescent="0.25">
      <c r="A1736" s="359" t="s">
        <v>1949</v>
      </c>
      <c r="B1736" s="359" t="s">
        <v>881</v>
      </c>
      <c r="C1736" s="359" t="s">
        <v>1349</v>
      </c>
      <c r="D1736" s="359" t="s">
        <v>1350</v>
      </c>
      <c r="E1736" s="360"/>
      <c r="F1736" s="359" t="s">
        <v>1270</v>
      </c>
      <c r="G1736" s="361">
        <v>8.3333333333333337E-6</v>
      </c>
      <c r="H1736" s="359" t="s">
        <v>1333</v>
      </c>
      <c r="I1736" s="361">
        <v>1.3796909492273732E-3</v>
      </c>
      <c r="J1736" s="359" t="s">
        <v>1349</v>
      </c>
      <c r="K1736" s="359" t="s">
        <v>1272</v>
      </c>
      <c r="M1736" t="str">
        <f t="shared" si="28"/>
        <v>ANTHRACENE</v>
      </c>
    </row>
    <row r="1737" spans="1:13" ht="30" x14ac:dyDescent="0.25">
      <c r="A1737" s="359" t="s">
        <v>1949</v>
      </c>
      <c r="B1737" s="359" t="s">
        <v>881</v>
      </c>
      <c r="C1737" s="359" t="s">
        <v>1273</v>
      </c>
      <c r="D1737" s="359" t="s">
        <v>1274</v>
      </c>
      <c r="E1737" s="360"/>
      <c r="F1737" s="359" t="s">
        <v>1270</v>
      </c>
      <c r="G1737" s="361">
        <v>8.3333333333333337E-6</v>
      </c>
      <c r="H1737" s="359" t="s">
        <v>1951</v>
      </c>
      <c r="I1737" s="361">
        <v>0.17246136865342163</v>
      </c>
      <c r="J1737" s="359" t="s">
        <v>1273</v>
      </c>
      <c r="K1737" s="359" t="s">
        <v>1272</v>
      </c>
      <c r="M1737" t="str">
        <f t="shared" si="28"/>
        <v>BENZENE</v>
      </c>
    </row>
    <row r="1738" spans="1:13" ht="30" x14ac:dyDescent="0.25">
      <c r="A1738" s="359" t="s">
        <v>1949</v>
      </c>
      <c r="B1738" s="359" t="s">
        <v>881</v>
      </c>
      <c r="C1738" s="359" t="s">
        <v>1352</v>
      </c>
      <c r="D1738" s="359" t="s">
        <v>1353</v>
      </c>
      <c r="E1738" s="360"/>
      <c r="F1738" s="359" t="s">
        <v>1270</v>
      </c>
      <c r="G1738" s="361">
        <v>8.3333333333333337E-6</v>
      </c>
      <c r="H1738" s="359" t="s">
        <v>1286</v>
      </c>
      <c r="I1738" s="361">
        <v>0</v>
      </c>
      <c r="J1738" s="359" t="s">
        <v>1352</v>
      </c>
      <c r="K1738" s="359" t="s">
        <v>1272</v>
      </c>
      <c r="M1738" t="str">
        <f t="shared" si="28"/>
        <v>BENZO(G,H,I)PERYLENE</v>
      </c>
    </row>
    <row r="1739" spans="1:13" ht="30" x14ac:dyDescent="0.25">
      <c r="A1739" s="359" t="s">
        <v>1949</v>
      </c>
      <c r="B1739" s="359" t="s">
        <v>881</v>
      </c>
      <c r="C1739" s="359" t="s">
        <v>1414</v>
      </c>
      <c r="D1739" s="359" t="s">
        <v>1415</v>
      </c>
      <c r="E1739" s="360"/>
      <c r="F1739" s="359" t="s">
        <v>1270</v>
      </c>
      <c r="G1739" s="361">
        <v>8.3333333333333337E-6</v>
      </c>
      <c r="H1739" s="359" t="s">
        <v>1286</v>
      </c>
      <c r="I1739" s="361">
        <v>0</v>
      </c>
      <c r="J1739" s="359" t="s">
        <v>1414</v>
      </c>
      <c r="K1739" s="359" t="s">
        <v>1272</v>
      </c>
      <c r="M1739" t="str">
        <f t="shared" si="28"/>
        <v>BIPHENYL</v>
      </c>
    </row>
    <row r="1740" spans="1:13" ht="30" x14ac:dyDescent="0.25">
      <c r="A1740" s="359" t="s">
        <v>1949</v>
      </c>
      <c r="B1740" s="359" t="s">
        <v>881</v>
      </c>
      <c r="C1740" s="359" t="s">
        <v>1443</v>
      </c>
      <c r="D1740" s="359" t="s">
        <v>1444</v>
      </c>
      <c r="E1740" s="360"/>
      <c r="F1740" s="359" t="s">
        <v>1270</v>
      </c>
      <c r="G1740" s="361">
        <v>8.3333333333333337E-6</v>
      </c>
      <c r="H1740" s="359" t="s">
        <v>1286</v>
      </c>
      <c r="I1740" s="361">
        <v>0</v>
      </c>
      <c r="J1740" s="359" t="s">
        <v>1445</v>
      </c>
      <c r="K1740" s="359" t="s">
        <v>1272</v>
      </c>
      <c r="M1740" t="str">
        <f t="shared" si="28"/>
        <v>CRESOL(S)</v>
      </c>
    </row>
    <row r="1741" spans="1:13" ht="30" x14ac:dyDescent="0.25">
      <c r="A1741" s="359" t="s">
        <v>1949</v>
      </c>
      <c r="B1741" s="359" t="s">
        <v>881</v>
      </c>
      <c r="C1741" s="359" t="s">
        <v>1284</v>
      </c>
      <c r="D1741" s="359" t="s">
        <v>1285</v>
      </c>
      <c r="E1741" s="360"/>
      <c r="F1741" s="359" t="s">
        <v>1270</v>
      </c>
      <c r="G1741" s="361">
        <v>8.3333333333333337E-6</v>
      </c>
      <c r="H1741" s="359" t="s">
        <v>1286</v>
      </c>
      <c r="I1741" s="361">
        <v>0</v>
      </c>
      <c r="J1741" s="359" t="s">
        <v>1287</v>
      </c>
      <c r="K1741" s="359" t="s">
        <v>1272</v>
      </c>
      <c r="M1741" t="str">
        <f t="shared" si="28"/>
        <v>ISOPROPYLBENZENE</v>
      </c>
    </row>
    <row r="1742" spans="1:13" ht="30" x14ac:dyDescent="0.25">
      <c r="A1742" s="359" t="s">
        <v>1949</v>
      </c>
      <c r="B1742" s="359" t="s">
        <v>881</v>
      </c>
      <c r="C1742" s="359" t="s">
        <v>1291</v>
      </c>
      <c r="D1742" s="359" t="s">
        <v>1292</v>
      </c>
      <c r="E1742" s="360"/>
      <c r="F1742" s="359" t="s">
        <v>1270</v>
      </c>
      <c r="G1742" s="361">
        <v>8.3333333333333337E-6</v>
      </c>
      <c r="H1742" s="359" t="s">
        <v>1286</v>
      </c>
      <c r="I1742" s="361">
        <v>0</v>
      </c>
      <c r="J1742" s="359" t="s">
        <v>1291</v>
      </c>
      <c r="K1742" s="359" t="s">
        <v>1272</v>
      </c>
      <c r="M1742" t="str">
        <f t="shared" si="28"/>
        <v>CYCLOHEXANE</v>
      </c>
    </row>
    <row r="1743" spans="1:13" ht="30" x14ac:dyDescent="0.25">
      <c r="A1743" s="359" t="s">
        <v>1949</v>
      </c>
      <c r="B1743" s="359" t="s">
        <v>881</v>
      </c>
      <c r="C1743" s="359" t="s">
        <v>1362</v>
      </c>
      <c r="D1743" s="359" t="s">
        <v>1363</v>
      </c>
      <c r="E1743" s="360"/>
      <c r="F1743" s="359" t="s">
        <v>1270</v>
      </c>
      <c r="G1743" s="361">
        <v>8.3333333333333337E-6</v>
      </c>
      <c r="H1743" s="359" t="s">
        <v>1952</v>
      </c>
      <c r="I1743" s="361">
        <v>1.4052649006622517E-6</v>
      </c>
      <c r="J1743" s="359" t="s">
        <v>1362</v>
      </c>
      <c r="K1743" s="359" t="s">
        <v>1272</v>
      </c>
      <c r="M1743" t="str">
        <f t="shared" si="28"/>
        <v>DIOXIN AND DIOXIN-LIKE COMPOUNDS</v>
      </c>
    </row>
    <row r="1744" spans="1:13" ht="30" x14ac:dyDescent="0.25">
      <c r="A1744" s="359" t="s">
        <v>1949</v>
      </c>
      <c r="B1744" s="359" t="s">
        <v>881</v>
      </c>
      <c r="C1744" s="359" t="s">
        <v>1295</v>
      </c>
      <c r="D1744" s="359" t="s">
        <v>1296</v>
      </c>
      <c r="E1744" s="360"/>
      <c r="F1744" s="359" t="s">
        <v>1270</v>
      </c>
      <c r="G1744" s="361">
        <v>8.3333333333333337E-6</v>
      </c>
      <c r="H1744" s="359" t="s">
        <v>1333</v>
      </c>
      <c r="I1744" s="361">
        <v>1.3796909492273732E-3</v>
      </c>
      <c r="J1744" s="359" t="s">
        <v>1295</v>
      </c>
      <c r="K1744" s="359" t="s">
        <v>1272</v>
      </c>
      <c r="M1744" t="str">
        <f t="shared" si="28"/>
        <v>ETHYLBENZENE</v>
      </c>
    </row>
    <row r="1745" spans="1:13" ht="30" x14ac:dyDescent="0.25">
      <c r="A1745" s="359" t="s">
        <v>1949</v>
      </c>
      <c r="B1745" s="359" t="s">
        <v>881</v>
      </c>
      <c r="C1745" s="359" t="s">
        <v>1365</v>
      </c>
      <c r="D1745" s="359" t="s">
        <v>1366</v>
      </c>
      <c r="E1745" s="360"/>
      <c r="F1745" s="359" t="s">
        <v>1270</v>
      </c>
      <c r="G1745" s="361">
        <v>8.3333333333333337E-6</v>
      </c>
      <c r="H1745" s="359" t="s">
        <v>1286</v>
      </c>
      <c r="I1745" s="361">
        <v>0</v>
      </c>
      <c r="J1745" s="359" t="s">
        <v>1028</v>
      </c>
      <c r="K1745" s="359" t="s">
        <v>1272</v>
      </c>
      <c r="M1745" t="str">
        <f t="shared" si="28"/>
        <v>ETHENE</v>
      </c>
    </row>
    <row r="1746" spans="1:13" ht="30" x14ac:dyDescent="0.25">
      <c r="A1746" s="359" t="s">
        <v>1949</v>
      </c>
      <c r="B1746" s="359" t="s">
        <v>881</v>
      </c>
      <c r="C1746" s="359" t="s">
        <v>1297</v>
      </c>
      <c r="D1746" s="359" t="s">
        <v>1298</v>
      </c>
      <c r="E1746" s="360"/>
      <c r="F1746" s="359" t="s">
        <v>1270</v>
      </c>
      <c r="G1746" s="361">
        <v>8.3333333333333337E-6</v>
      </c>
      <c r="H1746" s="359" t="s">
        <v>1286</v>
      </c>
      <c r="I1746" s="361">
        <v>0</v>
      </c>
      <c r="J1746" s="359" t="s">
        <v>1297</v>
      </c>
      <c r="K1746" s="359" t="s">
        <v>1272</v>
      </c>
      <c r="M1746" t="str">
        <f t="shared" si="28"/>
        <v>LEAD AND LEAD COMPOUNDS</v>
      </c>
    </row>
    <row r="1747" spans="1:13" ht="30" x14ac:dyDescent="0.25">
      <c r="A1747" s="359" t="s">
        <v>1949</v>
      </c>
      <c r="B1747" s="359" t="s">
        <v>881</v>
      </c>
      <c r="C1747" s="359" t="s">
        <v>1300</v>
      </c>
      <c r="D1747" s="359" t="s">
        <v>1301</v>
      </c>
      <c r="E1747" s="360"/>
      <c r="F1747" s="359" t="s">
        <v>1270</v>
      </c>
      <c r="G1747" s="361">
        <v>8.3333333333333337E-6</v>
      </c>
      <c r="H1747" s="359" t="s">
        <v>1333</v>
      </c>
      <c r="I1747" s="361">
        <v>1.3796909492273732E-3</v>
      </c>
      <c r="J1747" s="359" t="s">
        <v>1300</v>
      </c>
      <c r="K1747" s="359" t="s">
        <v>1272</v>
      </c>
      <c r="M1747" t="str">
        <f t="shared" si="28"/>
        <v>MERCURY AND MERCURY COMPOUNDS</v>
      </c>
    </row>
    <row r="1748" spans="1:13" ht="30" x14ac:dyDescent="0.25">
      <c r="A1748" s="359" t="s">
        <v>1949</v>
      </c>
      <c r="B1748" s="359" t="s">
        <v>881</v>
      </c>
      <c r="C1748" s="359" t="s">
        <v>1375</v>
      </c>
      <c r="D1748" s="359" t="s">
        <v>1376</v>
      </c>
      <c r="E1748" s="360"/>
      <c r="F1748" s="359" t="s">
        <v>1270</v>
      </c>
      <c r="G1748" s="361">
        <v>8.3333333333333337E-6</v>
      </c>
      <c r="H1748" s="359" t="s">
        <v>1286</v>
      </c>
      <c r="I1748" s="361">
        <v>0</v>
      </c>
      <c r="J1748" s="359" t="s">
        <v>1375</v>
      </c>
      <c r="K1748" s="359" t="s">
        <v>1272</v>
      </c>
      <c r="M1748" t="str">
        <f t="shared" si="28"/>
        <v>METHANOL</v>
      </c>
    </row>
    <row r="1749" spans="1:13" ht="30" x14ac:dyDescent="0.25">
      <c r="A1749" s="359" t="s">
        <v>1949</v>
      </c>
      <c r="B1749" s="359" t="s">
        <v>881</v>
      </c>
      <c r="C1749" s="359" t="s">
        <v>1748</v>
      </c>
      <c r="D1749" s="359" t="s">
        <v>1749</v>
      </c>
      <c r="E1749" s="360"/>
      <c r="F1749" s="359" t="s">
        <v>1270</v>
      </c>
      <c r="G1749" s="361">
        <v>8.3333333333333337E-6</v>
      </c>
      <c r="H1749" s="359" t="s">
        <v>1286</v>
      </c>
      <c r="I1749" s="361">
        <v>0</v>
      </c>
      <c r="J1749" s="359" t="s">
        <v>1750</v>
      </c>
      <c r="K1749" s="359" t="s">
        <v>1272</v>
      </c>
      <c r="M1749" t="str">
        <f t="shared" si="28"/>
        <v>N,N'-DIMETHYLFORMAMIDE</v>
      </c>
    </row>
    <row r="1750" spans="1:13" ht="30" x14ac:dyDescent="0.25">
      <c r="A1750" s="359" t="s">
        <v>1949</v>
      </c>
      <c r="B1750" s="359" t="s">
        <v>881</v>
      </c>
      <c r="C1750" s="359" t="s">
        <v>1303</v>
      </c>
      <c r="D1750" s="359" t="s">
        <v>1304</v>
      </c>
      <c r="E1750" s="360"/>
      <c r="F1750" s="359" t="s">
        <v>1270</v>
      </c>
      <c r="G1750" s="361">
        <v>8.3333333333333337E-6</v>
      </c>
      <c r="H1750" s="359" t="s">
        <v>1286</v>
      </c>
      <c r="I1750" s="361">
        <v>0</v>
      </c>
      <c r="J1750" s="359" t="s">
        <v>1303</v>
      </c>
      <c r="K1750" s="359" t="s">
        <v>1272</v>
      </c>
      <c r="M1750" t="str">
        <f t="shared" si="28"/>
        <v>NAPHTHALENE</v>
      </c>
    </row>
    <row r="1751" spans="1:13" ht="30" x14ac:dyDescent="0.25">
      <c r="A1751" s="359" t="s">
        <v>1949</v>
      </c>
      <c r="B1751" s="359" t="s">
        <v>881</v>
      </c>
      <c r="C1751" s="359" t="s">
        <v>1305</v>
      </c>
      <c r="D1751" s="359" t="s">
        <v>1306</v>
      </c>
      <c r="E1751" s="360"/>
      <c r="F1751" s="359" t="s">
        <v>1270</v>
      </c>
      <c r="G1751" s="361">
        <v>8.3333333333333337E-6</v>
      </c>
      <c r="H1751" s="359" t="s">
        <v>1286</v>
      </c>
      <c r="I1751" s="361">
        <v>0</v>
      </c>
      <c r="J1751" s="359" t="s">
        <v>1305</v>
      </c>
      <c r="K1751" s="359" t="s">
        <v>1272</v>
      </c>
      <c r="M1751" t="str">
        <f t="shared" si="28"/>
        <v>N-HEXANE</v>
      </c>
    </row>
    <row r="1752" spans="1:13" ht="30" x14ac:dyDescent="0.25">
      <c r="A1752" s="359" t="s">
        <v>1949</v>
      </c>
      <c r="B1752" s="359" t="s">
        <v>881</v>
      </c>
      <c r="C1752" s="359" t="s">
        <v>1388</v>
      </c>
      <c r="D1752" s="359" t="s">
        <v>1389</v>
      </c>
      <c r="E1752" s="360"/>
      <c r="F1752" s="359" t="s">
        <v>1270</v>
      </c>
      <c r="G1752" s="361">
        <v>8.3333333333333337E-6</v>
      </c>
      <c r="H1752" s="359" t="s">
        <v>1333</v>
      </c>
      <c r="I1752" s="361">
        <v>1.3796909492273732E-3</v>
      </c>
      <c r="J1752" s="359" t="s">
        <v>1388</v>
      </c>
      <c r="K1752" s="359" t="s">
        <v>1272</v>
      </c>
      <c r="M1752" t="str">
        <f t="shared" si="28"/>
        <v>PHENANTHRENE</v>
      </c>
    </row>
    <row r="1753" spans="1:13" ht="30" x14ac:dyDescent="0.25">
      <c r="A1753" s="359" t="s">
        <v>1949</v>
      </c>
      <c r="B1753" s="359" t="s">
        <v>881</v>
      </c>
      <c r="C1753" s="359" t="s">
        <v>1315</v>
      </c>
      <c r="D1753" s="359" t="s">
        <v>1316</v>
      </c>
      <c r="E1753" s="360"/>
      <c r="F1753" s="359" t="s">
        <v>1270</v>
      </c>
      <c r="G1753" s="361">
        <v>8.3333333333333337E-6</v>
      </c>
      <c r="H1753" s="359" t="s">
        <v>1471</v>
      </c>
      <c r="I1753" s="361">
        <v>8.2781456953642391E-3</v>
      </c>
      <c r="J1753" s="359" t="s">
        <v>1315</v>
      </c>
      <c r="K1753" s="359" t="s">
        <v>1272</v>
      </c>
      <c r="M1753" t="str">
        <f t="shared" si="28"/>
        <v>PHENOL</v>
      </c>
    </row>
    <row r="1754" spans="1:13" ht="30" x14ac:dyDescent="0.25">
      <c r="A1754" s="359" t="s">
        <v>1949</v>
      </c>
      <c r="B1754" s="359" t="s">
        <v>881</v>
      </c>
      <c r="C1754" s="359" t="s">
        <v>1319</v>
      </c>
      <c r="D1754" s="359" t="s">
        <v>1320</v>
      </c>
      <c r="E1754" s="360"/>
      <c r="F1754" s="359" t="s">
        <v>1270</v>
      </c>
      <c r="G1754" s="361">
        <v>8.3333333333333337E-6</v>
      </c>
      <c r="H1754" s="359" t="s">
        <v>1333</v>
      </c>
      <c r="I1754" s="361">
        <v>1.3796909492273732E-3</v>
      </c>
      <c r="J1754" s="359" t="s">
        <v>1319</v>
      </c>
      <c r="K1754" s="359" t="s">
        <v>1272</v>
      </c>
      <c r="M1754" t="str">
        <f t="shared" si="28"/>
        <v>POLYCYCLIC AROMATIC COMPOUNDS</v>
      </c>
    </row>
    <row r="1755" spans="1:13" ht="30" x14ac:dyDescent="0.25">
      <c r="A1755" s="359" t="s">
        <v>1949</v>
      </c>
      <c r="B1755" s="359" t="s">
        <v>881</v>
      </c>
      <c r="C1755" s="359" t="s">
        <v>1425</v>
      </c>
      <c r="D1755" s="359" t="s">
        <v>1426</v>
      </c>
      <c r="E1755" s="360"/>
      <c r="F1755" s="359" t="s">
        <v>1270</v>
      </c>
      <c r="G1755" s="361">
        <v>8.3333333333333337E-6</v>
      </c>
      <c r="H1755" s="359" t="s">
        <v>1286</v>
      </c>
      <c r="I1755" s="361">
        <v>0</v>
      </c>
      <c r="J1755" s="359" t="s">
        <v>1425</v>
      </c>
      <c r="K1755" s="359" t="s">
        <v>1272</v>
      </c>
      <c r="M1755" t="str">
        <f t="shared" si="28"/>
        <v>PROPYLENE</v>
      </c>
    </row>
    <row r="1756" spans="1:13" ht="30" x14ac:dyDescent="0.25">
      <c r="A1756" s="359" t="s">
        <v>1949</v>
      </c>
      <c r="B1756" s="359" t="s">
        <v>881</v>
      </c>
      <c r="C1756" s="359" t="s">
        <v>1396</v>
      </c>
      <c r="D1756" s="359" t="s">
        <v>1397</v>
      </c>
      <c r="E1756" s="360"/>
      <c r="F1756" s="359" t="s">
        <v>1270</v>
      </c>
      <c r="G1756" s="361">
        <v>8.3333333333333337E-6</v>
      </c>
      <c r="H1756" s="359" t="s">
        <v>1286</v>
      </c>
      <c r="I1756" s="361">
        <v>0</v>
      </c>
      <c r="J1756" s="359" t="s">
        <v>1398</v>
      </c>
      <c r="K1756" s="359" t="s">
        <v>1272</v>
      </c>
      <c r="M1756" t="str">
        <f t="shared" si="28"/>
        <v>PERCHLOROETHYLENE</v>
      </c>
    </row>
    <row r="1757" spans="1:13" ht="30" x14ac:dyDescent="0.25">
      <c r="A1757" s="359" t="s">
        <v>1949</v>
      </c>
      <c r="B1757" s="359" t="s">
        <v>881</v>
      </c>
      <c r="C1757" s="359" t="s">
        <v>1325</v>
      </c>
      <c r="D1757" s="359" t="s">
        <v>1326</v>
      </c>
      <c r="E1757" s="360"/>
      <c r="F1757" s="359" t="s">
        <v>1270</v>
      </c>
      <c r="G1757" s="361">
        <v>8.3333333333333337E-6</v>
      </c>
      <c r="H1757" s="359" t="s">
        <v>1442</v>
      </c>
      <c r="I1757" s="361">
        <v>3.3112582781456956E-2</v>
      </c>
      <c r="J1757" s="359" t="s">
        <v>1325</v>
      </c>
      <c r="K1757" s="359" t="s">
        <v>1272</v>
      </c>
      <c r="M1757" t="str">
        <f t="shared" si="28"/>
        <v>TOLUENE</v>
      </c>
    </row>
    <row r="1758" spans="1:13" ht="30" x14ac:dyDescent="0.25">
      <c r="A1758" s="359" t="s">
        <v>1949</v>
      </c>
      <c r="B1758" s="359" t="s">
        <v>881</v>
      </c>
      <c r="C1758" s="359" t="s">
        <v>1327</v>
      </c>
      <c r="D1758" s="359" t="s">
        <v>1328</v>
      </c>
      <c r="E1758" s="360"/>
      <c r="F1758" s="359" t="s">
        <v>1270</v>
      </c>
      <c r="G1758" s="361">
        <v>8.3333333333333337E-6</v>
      </c>
      <c r="H1758" s="359" t="s">
        <v>1286</v>
      </c>
      <c r="I1758" s="361">
        <v>0</v>
      </c>
      <c r="J1758" s="359" t="s">
        <v>1329</v>
      </c>
      <c r="K1758" s="359" t="s">
        <v>1272</v>
      </c>
      <c r="M1758" t="str">
        <f t="shared" si="28"/>
        <v>XYLENES</v>
      </c>
    </row>
    <row r="1759" spans="1:13" ht="30" x14ac:dyDescent="0.25">
      <c r="A1759" s="359" t="s">
        <v>1953</v>
      </c>
      <c r="B1759" s="359" t="s">
        <v>662</v>
      </c>
      <c r="C1759" s="359" t="s">
        <v>1268</v>
      </c>
      <c r="D1759" s="359" t="s">
        <v>1269</v>
      </c>
      <c r="E1759" s="360"/>
      <c r="F1759" s="359" t="s">
        <v>1346</v>
      </c>
      <c r="G1759" s="361">
        <v>5.9433025715538109E-6</v>
      </c>
      <c r="H1759" s="359" t="s">
        <v>1286</v>
      </c>
      <c r="I1759" s="361">
        <v>0</v>
      </c>
      <c r="J1759" s="359" t="s">
        <v>1268</v>
      </c>
      <c r="K1759" s="359" t="s">
        <v>1272</v>
      </c>
      <c r="M1759" t="str">
        <f t="shared" si="28"/>
        <v>1,2,4-TRIMETHYLBENZENE</v>
      </c>
    </row>
    <row r="1760" spans="1:13" ht="30" x14ac:dyDescent="0.25">
      <c r="A1760" s="359" t="s">
        <v>1953</v>
      </c>
      <c r="B1760" s="359" t="s">
        <v>662</v>
      </c>
      <c r="C1760" s="359" t="s">
        <v>1273</v>
      </c>
      <c r="D1760" s="359" t="s">
        <v>1274</v>
      </c>
      <c r="E1760" s="360"/>
      <c r="F1760" s="359" t="s">
        <v>1346</v>
      </c>
      <c r="G1760" s="361">
        <v>5.9433025715538109E-6</v>
      </c>
      <c r="H1760" s="359" t="s">
        <v>1412</v>
      </c>
      <c r="I1760" s="361">
        <v>3.935961967916431E-3</v>
      </c>
      <c r="J1760" s="359" t="s">
        <v>1273</v>
      </c>
      <c r="K1760" s="359" t="s">
        <v>1272</v>
      </c>
      <c r="M1760" t="str">
        <f t="shared" si="28"/>
        <v>BENZENE</v>
      </c>
    </row>
    <row r="1761" spans="1:13" ht="30" x14ac:dyDescent="0.25">
      <c r="A1761" s="359" t="s">
        <v>1953</v>
      </c>
      <c r="B1761" s="359" t="s">
        <v>662</v>
      </c>
      <c r="C1761" s="359" t="s">
        <v>1352</v>
      </c>
      <c r="D1761" s="359" t="s">
        <v>1353</v>
      </c>
      <c r="E1761" s="360"/>
      <c r="F1761" s="359" t="s">
        <v>1346</v>
      </c>
      <c r="G1761" s="361">
        <v>5.9433025715538109E-6</v>
      </c>
      <c r="H1761" s="359" t="s">
        <v>1856</v>
      </c>
      <c r="I1761" s="361">
        <v>7.8719239358328633E-4</v>
      </c>
      <c r="J1761" s="359" t="s">
        <v>1352</v>
      </c>
      <c r="K1761" s="359" t="s">
        <v>1272</v>
      </c>
      <c r="M1761" t="str">
        <f t="shared" si="28"/>
        <v>BENZO(G,H,I)PERYLENE</v>
      </c>
    </row>
    <row r="1762" spans="1:13" ht="30" x14ac:dyDescent="0.25">
      <c r="A1762" s="359" t="s">
        <v>1953</v>
      </c>
      <c r="B1762" s="359" t="s">
        <v>662</v>
      </c>
      <c r="C1762" s="359" t="s">
        <v>1276</v>
      </c>
      <c r="D1762" s="359" t="s">
        <v>490</v>
      </c>
      <c r="E1762" s="361">
        <v>59113.378684800002</v>
      </c>
      <c r="F1762" s="359" t="s">
        <v>1346</v>
      </c>
      <c r="G1762" s="361">
        <v>5.9433025715538109E-6</v>
      </c>
      <c r="H1762" s="359" t="s">
        <v>490</v>
      </c>
      <c r="I1762" s="361">
        <v>9.6254437137152345E-4</v>
      </c>
      <c r="J1762" s="359" t="s">
        <v>1276</v>
      </c>
      <c r="K1762" s="359" t="s">
        <v>1277</v>
      </c>
      <c r="M1762" t="str">
        <f t="shared" si="28"/>
        <v>BOD, 5-day, 20 deg. C</v>
      </c>
    </row>
    <row r="1763" spans="1:13" ht="30" x14ac:dyDescent="0.25">
      <c r="A1763" s="359" t="s">
        <v>1953</v>
      </c>
      <c r="B1763" s="359" t="s">
        <v>662</v>
      </c>
      <c r="C1763" s="359" t="s">
        <v>1278</v>
      </c>
      <c r="D1763" s="359" t="s">
        <v>1279</v>
      </c>
      <c r="E1763" s="361">
        <v>34.811964769736896</v>
      </c>
      <c r="F1763" s="359" t="s">
        <v>1346</v>
      </c>
      <c r="G1763" s="361">
        <v>5.9433025715538109E-6</v>
      </c>
      <c r="H1763" s="359" t="s">
        <v>490</v>
      </c>
      <c r="I1763" s="361">
        <v>5.6684394448443273E-7</v>
      </c>
      <c r="J1763" s="359" t="s">
        <v>1278</v>
      </c>
      <c r="K1763" s="359" t="s">
        <v>1277</v>
      </c>
      <c r="M1763" t="str">
        <f t="shared" si="28"/>
        <v>Carbon, tot organic (TOC)</v>
      </c>
    </row>
    <row r="1764" spans="1:13" ht="30" x14ac:dyDescent="0.25">
      <c r="A1764" s="359" t="s">
        <v>1953</v>
      </c>
      <c r="B1764" s="359" t="s">
        <v>662</v>
      </c>
      <c r="C1764" s="359" t="s">
        <v>1457</v>
      </c>
      <c r="D1764" s="359" t="s">
        <v>490</v>
      </c>
      <c r="E1764" s="361">
        <v>467453.061224</v>
      </c>
      <c r="F1764" s="359" t="s">
        <v>1346</v>
      </c>
      <c r="G1764" s="361">
        <v>5.9433025715538109E-6</v>
      </c>
      <c r="H1764" s="359" t="s">
        <v>490</v>
      </c>
      <c r="I1764" s="361">
        <v>7.611547892748767E-3</v>
      </c>
      <c r="J1764" s="359" t="s">
        <v>1457</v>
      </c>
      <c r="K1764" s="359" t="s">
        <v>1277</v>
      </c>
      <c r="M1764" t="str">
        <f t="shared" si="28"/>
        <v>Chemical Oxygen Demand (COD)</v>
      </c>
    </row>
    <row r="1765" spans="1:13" ht="30" x14ac:dyDescent="0.25">
      <c r="A1765" s="359" t="s">
        <v>1953</v>
      </c>
      <c r="B1765" s="359" t="s">
        <v>662</v>
      </c>
      <c r="C1765" s="359" t="s">
        <v>1282</v>
      </c>
      <c r="D1765" s="359" t="s">
        <v>1283</v>
      </c>
      <c r="E1765" s="361">
        <v>8.9750566893400006</v>
      </c>
      <c r="F1765" s="359" t="s">
        <v>1346</v>
      </c>
      <c r="G1765" s="361">
        <v>5.9433025715538109E-6</v>
      </c>
      <c r="H1765" s="359" t="s">
        <v>490</v>
      </c>
      <c r="I1765" s="361">
        <v>1.4614103425094699E-7</v>
      </c>
      <c r="J1765" s="359" t="s">
        <v>1282</v>
      </c>
      <c r="K1765" s="359" t="s">
        <v>1277</v>
      </c>
      <c r="M1765" t="str">
        <f t="shared" si="28"/>
        <v>Chromium, total (as Cr)</v>
      </c>
    </row>
    <row r="1766" spans="1:13" ht="30" x14ac:dyDescent="0.25">
      <c r="A1766" s="359" t="s">
        <v>1953</v>
      </c>
      <c r="B1766" s="359" t="s">
        <v>662</v>
      </c>
      <c r="C1766" s="359" t="s">
        <v>1467</v>
      </c>
      <c r="D1766" s="359" t="s">
        <v>1441</v>
      </c>
      <c r="E1766" s="361">
        <v>5.1468236965000003</v>
      </c>
      <c r="F1766" s="359" t="s">
        <v>1346</v>
      </c>
      <c r="G1766" s="361">
        <v>5.9433025715538109E-6</v>
      </c>
      <c r="H1766" s="359" t="s">
        <v>490</v>
      </c>
      <c r="I1766" s="361">
        <v>8.3805837015732982E-8</v>
      </c>
      <c r="J1766" s="359" t="s">
        <v>1467</v>
      </c>
      <c r="K1766" s="359" t="s">
        <v>1277</v>
      </c>
      <c r="M1766" t="str">
        <f t="shared" si="28"/>
        <v>Copper, total (as Cu)</v>
      </c>
    </row>
    <row r="1767" spans="1:13" ht="30" x14ac:dyDescent="0.25">
      <c r="A1767" s="359" t="s">
        <v>1953</v>
      </c>
      <c r="B1767" s="359" t="s">
        <v>662</v>
      </c>
      <c r="C1767" s="359" t="s">
        <v>1284</v>
      </c>
      <c r="D1767" s="359" t="s">
        <v>1285</v>
      </c>
      <c r="E1767" s="360"/>
      <c r="F1767" s="359" t="s">
        <v>1346</v>
      </c>
      <c r="G1767" s="361">
        <v>5.9433025715538109E-6</v>
      </c>
      <c r="H1767" s="359" t="s">
        <v>1286</v>
      </c>
      <c r="I1767" s="361">
        <v>0</v>
      </c>
      <c r="J1767" s="359" t="s">
        <v>1287</v>
      </c>
      <c r="K1767" s="359" t="s">
        <v>1272</v>
      </c>
      <c r="M1767" t="str">
        <f t="shared" si="28"/>
        <v>ISOPROPYLBENZENE</v>
      </c>
    </row>
    <row r="1768" spans="1:13" ht="30" x14ac:dyDescent="0.25">
      <c r="A1768" s="359" t="s">
        <v>1953</v>
      </c>
      <c r="B1768" s="359" t="s">
        <v>662</v>
      </c>
      <c r="C1768" s="359" t="s">
        <v>1543</v>
      </c>
      <c r="D1768" s="359" t="s">
        <v>1544</v>
      </c>
      <c r="E1768" s="361">
        <v>22.890256839999999</v>
      </c>
      <c r="F1768" s="359" t="s">
        <v>1346</v>
      </c>
      <c r="G1768" s="361">
        <v>5.9433025715538109E-6</v>
      </c>
      <c r="H1768" s="359" t="s">
        <v>490</v>
      </c>
      <c r="I1768" s="361">
        <v>3.7272252696081972E-7</v>
      </c>
      <c r="J1768" s="359" t="s">
        <v>1543</v>
      </c>
      <c r="K1768" s="359" t="s">
        <v>1277</v>
      </c>
      <c r="M1768" t="str">
        <f t="shared" si="28"/>
        <v>Cyanide, total (as CN)</v>
      </c>
    </row>
    <row r="1769" spans="1:13" ht="30" x14ac:dyDescent="0.25">
      <c r="A1769" s="359" t="s">
        <v>1953</v>
      </c>
      <c r="B1769" s="359" t="s">
        <v>662</v>
      </c>
      <c r="C1769" s="359" t="s">
        <v>1291</v>
      </c>
      <c r="D1769" s="359" t="s">
        <v>1292</v>
      </c>
      <c r="E1769" s="360"/>
      <c r="F1769" s="359" t="s">
        <v>1346</v>
      </c>
      <c r="G1769" s="361">
        <v>5.9433025715538109E-6</v>
      </c>
      <c r="H1769" s="359" t="s">
        <v>1286</v>
      </c>
      <c r="I1769" s="361">
        <v>0</v>
      </c>
      <c r="J1769" s="359" t="s">
        <v>1291</v>
      </c>
      <c r="K1769" s="359" t="s">
        <v>1272</v>
      </c>
      <c r="M1769" t="str">
        <f t="shared" si="28"/>
        <v>CYCLOHEXANE</v>
      </c>
    </row>
    <row r="1770" spans="1:13" ht="30" x14ac:dyDescent="0.25">
      <c r="A1770" s="359" t="s">
        <v>1953</v>
      </c>
      <c r="B1770" s="359" t="s">
        <v>662</v>
      </c>
      <c r="C1770" s="359" t="s">
        <v>1293</v>
      </c>
      <c r="D1770" s="359" t="s">
        <v>1294</v>
      </c>
      <c r="E1770" s="360"/>
      <c r="F1770" s="359" t="s">
        <v>1346</v>
      </c>
      <c r="G1770" s="361">
        <v>5.9433025715538109E-6</v>
      </c>
      <c r="H1770" s="359" t="s">
        <v>1286</v>
      </c>
      <c r="I1770" s="361">
        <v>0</v>
      </c>
      <c r="J1770" s="359" t="s">
        <v>1293</v>
      </c>
      <c r="K1770" s="359" t="s">
        <v>1272</v>
      </c>
      <c r="M1770" t="str">
        <f t="shared" si="28"/>
        <v>DIETHANOLAMINE</v>
      </c>
    </row>
    <row r="1771" spans="1:13" ht="30" x14ac:dyDescent="0.25">
      <c r="A1771" s="359" t="s">
        <v>1953</v>
      </c>
      <c r="B1771" s="359" t="s">
        <v>662</v>
      </c>
      <c r="C1771" s="359" t="s">
        <v>1362</v>
      </c>
      <c r="D1771" s="359" t="s">
        <v>1363</v>
      </c>
      <c r="E1771" s="360"/>
      <c r="F1771" s="359" t="s">
        <v>1346</v>
      </c>
      <c r="G1771" s="361">
        <v>5.9433025715538109E-6</v>
      </c>
      <c r="H1771" s="359" t="s">
        <v>1286</v>
      </c>
      <c r="I1771" s="361">
        <v>0</v>
      </c>
      <c r="J1771" s="359" t="s">
        <v>1362</v>
      </c>
      <c r="K1771" s="359" t="s">
        <v>1272</v>
      </c>
      <c r="M1771" t="str">
        <f t="shared" si="28"/>
        <v>DIOXIN AND DIOXIN-LIKE COMPOUNDS</v>
      </c>
    </row>
    <row r="1772" spans="1:13" ht="30" x14ac:dyDescent="0.25">
      <c r="A1772" s="359" t="s">
        <v>1953</v>
      </c>
      <c r="B1772" s="359" t="s">
        <v>662</v>
      </c>
      <c r="C1772" s="359" t="s">
        <v>1295</v>
      </c>
      <c r="D1772" s="359" t="s">
        <v>1296</v>
      </c>
      <c r="E1772" s="360"/>
      <c r="F1772" s="359" t="s">
        <v>1346</v>
      </c>
      <c r="G1772" s="361">
        <v>5.9433025715538109E-6</v>
      </c>
      <c r="H1772" s="359" t="s">
        <v>1412</v>
      </c>
      <c r="I1772" s="361">
        <v>3.935961967916431E-3</v>
      </c>
      <c r="J1772" s="359" t="s">
        <v>1295</v>
      </c>
      <c r="K1772" s="359" t="s">
        <v>1272</v>
      </c>
      <c r="M1772" t="str">
        <f t="shared" si="28"/>
        <v>ETHYLBENZENE</v>
      </c>
    </row>
    <row r="1773" spans="1:13" ht="30" x14ac:dyDescent="0.25">
      <c r="A1773" s="359" t="s">
        <v>1953</v>
      </c>
      <c r="B1773" s="359" t="s">
        <v>662</v>
      </c>
      <c r="C1773" s="359" t="s">
        <v>1431</v>
      </c>
      <c r="D1773" s="359" t="s">
        <v>1298</v>
      </c>
      <c r="E1773" s="361">
        <v>5.6148328904999998</v>
      </c>
      <c r="F1773" s="359" t="s">
        <v>1346</v>
      </c>
      <c r="G1773" s="361">
        <v>5.9433025715538109E-6</v>
      </c>
      <c r="H1773" s="359" t="s">
        <v>490</v>
      </c>
      <c r="I1773" s="361">
        <v>9.1426440430009758E-8</v>
      </c>
      <c r="J1773" s="359" t="s">
        <v>1431</v>
      </c>
      <c r="K1773" s="359" t="s">
        <v>1277</v>
      </c>
      <c r="M1773" t="str">
        <f t="shared" si="28"/>
        <v>Lead, total (as Pb)</v>
      </c>
    </row>
    <row r="1774" spans="1:13" ht="30" x14ac:dyDescent="0.25">
      <c r="A1774" s="359" t="s">
        <v>1953</v>
      </c>
      <c r="B1774" s="359" t="s">
        <v>662</v>
      </c>
      <c r="C1774" s="359" t="s">
        <v>1300</v>
      </c>
      <c r="D1774" s="359" t="s">
        <v>1301</v>
      </c>
      <c r="E1774" s="360"/>
      <c r="F1774" s="359" t="s">
        <v>1346</v>
      </c>
      <c r="G1774" s="361">
        <v>5.9433025715538109E-6</v>
      </c>
      <c r="H1774" s="359" t="s">
        <v>1299</v>
      </c>
      <c r="I1774" s="361">
        <v>9.8399049197910791E-5</v>
      </c>
      <c r="J1774" s="359" t="s">
        <v>1300</v>
      </c>
      <c r="K1774" s="359" t="s">
        <v>1272</v>
      </c>
      <c r="M1774" t="str">
        <f t="shared" si="28"/>
        <v>MERCURY AND MERCURY COMPOUNDS</v>
      </c>
    </row>
    <row r="1775" spans="1:13" ht="30" x14ac:dyDescent="0.25">
      <c r="A1775" s="359" t="s">
        <v>1953</v>
      </c>
      <c r="B1775" s="359" t="s">
        <v>662</v>
      </c>
      <c r="C1775" s="359" t="s">
        <v>1468</v>
      </c>
      <c r="D1775" s="359" t="s">
        <v>1459</v>
      </c>
      <c r="E1775" s="361">
        <v>3.3977320475000003E-2</v>
      </c>
      <c r="F1775" s="359" t="s">
        <v>1346</v>
      </c>
      <c r="G1775" s="361">
        <v>5.9433025715538109E-6</v>
      </c>
      <c r="H1775" s="359" t="s">
        <v>490</v>
      </c>
      <c r="I1775" s="361">
        <v>5.532534141193848E-10</v>
      </c>
      <c r="J1775" s="359" t="s">
        <v>1468</v>
      </c>
      <c r="K1775" s="359" t="s">
        <v>1277</v>
      </c>
      <c r="M1775" t="str">
        <f t="shared" si="28"/>
        <v>Mercury, total (as Hg)</v>
      </c>
    </row>
    <row r="1776" spans="1:13" ht="30" x14ac:dyDescent="0.25">
      <c r="A1776" s="359" t="s">
        <v>1953</v>
      </c>
      <c r="B1776" s="359" t="s">
        <v>662</v>
      </c>
      <c r="C1776" s="359" t="s">
        <v>1375</v>
      </c>
      <c r="D1776" s="359" t="s">
        <v>1376</v>
      </c>
      <c r="E1776" s="360"/>
      <c r="F1776" s="359" t="s">
        <v>1346</v>
      </c>
      <c r="G1776" s="361">
        <v>5.9433025715538109E-6</v>
      </c>
      <c r="H1776" s="359" t="s">
        <v>1286</v>
      </c>
      <c r="I1776" s="361">
        <v>0</v>
      </c>
      <c r="J1776" s="359" t="s">
        <v>1375</v>
      </c>
      <c r="K1776" s="359" t="s">
        <v>1272</v>
      </c>
      <c r="M1776" t="str">
        <f t="shared" si="28"/>
        <v>METHANOL</v>
      </c>
    </row>
    <row r="1777" spans="1:13" ht="30" x14ac:dyDescent="0.25">
      <c r="A1777" s="359" t="s">
        <v>1953</v>
      </c>
      <c r="B1777" s="359" t="s">
        <v>662</v>
      </c>
      <c r="C1777" s="359" t="s">
        <v>1303</v>
      </c>
      <c r="D1777" s="359" t="s">
        <v>1304</v>
      </c>
      <c r="E1777" s="360"/>
      <c r="F1777" s="359" t="s">
        <v>1346</v>
      </c>
      <c r="G1777" s="361">
        <v>5.9433025715538109E-6</v>
      </c>
      <c r="H1777" s="359" t="s">
        <v>1286</v>
      </c>
      <c r="I1777" s="361">
        <v>0</v>
      </c>
      <c r="J1777" s="359" t="s">
        <v>1303</v>
      </c>
      <c r="K1777" s="359" t="s">
        <v>1272</v>
      </c>
      <c r="M1777" t="str">
        <f t="shared" si="28"/>
        <v>NAPHTHALENE</v>
      </c>
    </row>
    <row r="1778" spans="1:13" ht="30" x14ac:dyDescent="0.25">
      <c r="A1778" s="359" t="s">
        <v>1953</v>
      </c>
      <c r="B1778" s="359" t="s">
        <v>662</v>
      </c>
      <c r="C1778" s="359" t="s">
        <v>1305</v>
      </c>
      <c r="D1778" s="359" t="s">
        <v>1306</v>
      </c>
      <c r="E1778" s="360"/>
      <c r="F1778" s="359" t="s">
        <v>1346</v>
      </c>
      <c r="G1778" s="361">
        <v>5.9433025715538109E-6</v>
      </c>
      <c r="H1778" s="359" t="s">
        <v>1286</v>
      </c>
      <c r="I1778" s="361">
        <v>0</v>
      </c>
      <c r="J1778" s="359" t="s">
        <v>1305</v>
      </c>
      <c r="K1778" s="359" t="s">
        <v>1272</v>
      </c>
      <c r="M1778" t="str">
        <f t="shared" si="28"/>
        <v>N-HEXANE</v>
      </c>
    </row>
    <row r="1779" spans="1:13" ht="30" x14ac:dyDescent="0.25">
      <c r="A1779" s="359" t="s">
        <v>1953</v>
      </c>
      <c r="B1779" s="359" t="s">
        <v>662</v>
      </c>
      <c r="C1779" s="359" t="s">
        <v>1307</v>
      </c>
      <c r="D1779" s="359" t="s">
        <v>1308</v>
      </c>
      <c r="E1779" s="360"/>
      <c r="F1779" s="359" t="s">
        <v>1346</v>
      </c>
      <c r="G1779" s="361">
        <v>5.9433025715538109E-6</v>
      </c>
      <c r="H1779" s="359" t="s">
        <v>1954</v>
      </c>
      <c r="I1779" s="361">
        <v>9.3479096738015226</v>
      </c>
      <c r="J1779" s="359" t="s">
        <v>1310</v>
      </c>
      <c r="K1779" s="359" t="s">
        <v>1272</v>
      </c>
      <c r="M1779" t="str">
        <f t="shared" si="28"/>
        <v>NITRATE</v>
      </c>
    </row>
    <row r="1780" spans="1:13" ht="30" x14ac:dyDescent="0.25">
      <c r="A1780" s="359" t="s">
        <v>1953</v>
      </c>
      <c r="B1780" s="359" t="s">
        <v>662</v>
      </c>
      <c r="C1780" s="359" t="s">
        <v>1311</v>
      </c>
      <c r="D1780" s="359" t="s">
        <v>1312</v>
      </c>
      <c r="E1780" s="361">
        <v>48912.018140599997</v>
      </c>
      <c r="F1780" s="359" t="s">
        <v>1346</v>
      </c>
      <c r="G1780" s="361">
        <v>5.9433025715538109E-6</v>
      </c>
      <c r="H1780" s="359" t="s">
        <v>490</v>
      </c>
      <c r="I1780" s="361">
        <v>7.9643540601346467E-4</v>
      </c>
      <c r="J1780" s="359" t="s">
        <v>1313</v>
      </c>
      <c r="K1780" s="359" t="s">
        <v>1277</v>
      </c>
      <c r="M1780" t="str">
        <f t="shared" si="28"/>
        <v>AMMONIA</v>
      </c>
    </row>
    <row r="1781" spans="1:13" ht="30" x14ac:dyDescent="0.25">
      <c r="A1781" s="359" t="s">
        <v>1953</v>
      </c>
      <c r="B1781" s="359" t="s">
        <v>662</v>
      </c>
      <c r="C1781" s="359" t="s">
        <v>1482</v>
      </c>
      <c r="D1781" s="359" t="s">
        <v>490</v>
      </c>
      <c r="E1781" s="361">
        <v>209.18730158700001</v>
      </c>
      <c r="F1781" s="359" t="s">
        <v>1346</v>
      </c>
      <c r="G1781" s="361">
        <v>5.9433025715538109E-6</v>
      </c>
      <c r="H1781" s="359" t="s">
        <v>490</v>
      </c>
      <c r="I1781" s="361">
        <v>3.4062011711189579E-6</v>
      </c>
      <c r="J1781" s="359" t="s">
        <v>1482</v>
      </c>
      <c r="K1781" s="359" t="s">
        <v>1277</v>
      </c>
      <c r="M1781" t="str">
        <f t="shared" si="28"/>
        <v>Phenols</v>
      </c>
    </row>
    <row r="1782" spans="1:13" ht="30" x14ac:dyDescent="0.25">
      <c r="A1782" s="359" t="s">
        <v>1953</v>
      </c>
      <c r="B1782" s="359" t="s">
        <v>662</v>
      </c>
      <c r="C1782" s="359" t="s">
        <v>1319</v>
      </c>
      <c r="D1782" s="359" t="s">
        <v>1320</v>
      </c>
      <c r="E1782" s="360"/>
      <c r="F1782" s="359" t="s">
        <v>1346</v>
      </c>
      <c r="G1782" s="361">
        <v>5.9433025715538109E-6</v>
      </c>
      <c r="H1782" s="359" t="s">
        <v>1955</v>
      </c>
      <c r="I1782" s="361">
        <v>1.2791876395728402E-3</v>
      </c>
      <c r="J1782" s="359" t="s">
        <v>1319</v>
      </c>
      <c r="K1782" s="359" t="s">
        <v>1272</v>
      </c>
      <c r="M1782" t="str">
        <f t="shared" si="28"/>
        <v>POLYCYCLIC AROMATIC COMPOUNDS</v>
      </c>
    </row>
    <row r="1783" spans="1:13" ht="30" x14ac:dyDescent="0.25">
      <c r="A1783" s="359" t="s">
        <v>1953</v>
      </c>
      <c r="B1783" s="359" t="s">
        <v>662</v>
      </c>
      <c r="C1783" s="359" t="s">
        <v>1432</v>
      </c>
      <c r="D1783" s="359" t="s">
        <v>1427</v>
      </c>
      <c r="E1783" s="361">
        <v>56.57</v>
      </c>
      <c r="F1783" s="359" t="s">
        <v>1346</v>
      </c>
      <c r="G1783" s="361">
        <v>5.9433025715538109E-6</v>
      </c>
      <c r="H1783" s="359" t="s">
        <v>490</v>
      </c>
      <c r="I1783" s="361">
        <v>9.211304834871207E-7</v>
      </c>
      <c r="J1783" s="359" t="s">
        <v>1432</v>
      </c>
      <c r="K1783" s="359" t="s">
        <v>1277</v>
      </c>
      <c r="M1783" t="str">
        <f t="shared" si="28"/>
        <v>Selenium, total (as Se)</v>
      </c>
    </row>
    <row r="1784" spans="1:13" ht="30" x14ac:dyDescent="0.25">
      <c r="A1784" s="359" t="s">
        <v>1953</v>
      </c>
      <c r="B1784" s="359" t="s">
        <v>662</v>
      </c>
      <c r="C1784" s="359" t="s">
        <v>1322</v>
      </c>
      <c r="D1784" s="359" t="s">
        <v>490</v>
      </c>
      <c r="E1784" s="361">
        <v>68737.868480699995</v>
      </c>
      <c r="F1784" s="359" t="s">
        <v>1346</v>
      </c>
      <c r="G1784" s="361">
        <v>5.9433025715538109E-6</v>
      </c>
      <c r="H1784" s="359" t="s">
        <v>490</v>
      </c>
      <c r="I1784" s="361">
        <v>1.1192601383684161E-3</v>
      </c>
      <c r="J1784" s="359" t="s">
        <v>1322</v>
      </c>
      <c r="K1784" s="359" t="s">
        <v>1277</v>
      </c>
      <c r="M1784" t="str">
        <f t="shared" si="28"/>
        <v>Solids, total suspended</v>
      </c>
    </row>
    <row r="1785" spans="1:13" ht="30" x14ac:dyDescent="0.25">
      <c r="A1785" s="359" t="s">
        <v>1953</v>
      </c>
      <c r="B1785" s="359" t="s">
        <v>662</v>
      </c>
      <c r="C1785" s="359" t="s">
        <v>1325</v>
      </c>
      <c r="D1785" s="359" t="s">
        <v>1326</v>
      </c>
      <c r="E1785" s="360"/>
      <c r="F1785" s="359" t="s">
        <v>1346</v>
      </c>
      <c r="G1785" s="361">
        <v>5.9433025715538109E-6</v>
      </c>
      <c r="H1785" s="359" t="s">
        <v>1412</v>
      </c>
      <c r="I1785" s="361">
        <v>3.935961967916431E-3</v>
      </c>
      <c r="J1785" s="359" t="s">
        <v>1325</v>
      </c>
      <c r="K1785" s="359" t="s">
        <v>1272</v>
      </c>
      <c r="M1785" t="str">
        <f t="shared" si="28"/>
        <v>TOLUENE</v>
      </c>
    </row>
    <row r="1786" spans="1:13" ht="30" x14ac:dyDescent="0.25">
      <c r="A1786" s="359" t="s">
        <v>1953</v>
      </c>
      <c r="B1786" s="359" t="s">
        <v>662</v>
      </c>
      <c r="C1786" s="359" t="s">
        <v>1327</v>
      </c>
      <c r="D1786" s="359" t="s">
        <v>1328</v>
      </c>
      <c r="E1786" s="360"/>
      <c r="F1786" s="359" t="s">
        <v>1346</v>
      </c>
      <c r="G1786" s="361">
        <v>5.9433025715538109E-6</v>
      </c>
      <c r="H1786" s="359" t="s">
        <v>1412</v>
      </c>
      <c r="I1786" s="361">
        <v>3.935961967916431E-3</v>
      </c>
      <c r="J1786" s="359" t="s">
        <v>1329</v>
      </c>
      <c r="K1786" s="359" t="s">
        <v>1272</v>
      </c>
      <c r="M1786" t="str">
        <f t="shared" si="28"/>
        <v>XYLENES</v>
      </c>
    </row>
    <row r="1787" spans="1:13" ht="30" x14ac:dyDescent="0.25">
      <c r="A1787" s="359" t="s">
        <v>1956</v>
      </c>
      <c r="B1787" s="359" t="s">
        <v>639</v>
      </c>
      <c r="C1787" s="359" t="s">
        <v>1384</v>
      </c>
      <c r="D1787" s="359" t="s">
        <v>1385</v>
      </c>
      <c r="E1787" s="360"/>
      <c r="F1787" s="359" t="s">
        <v>1346</v>
      </c>
      <c r="G1787" s="361">
        <v>9.5687171402016357E-6</v>
      </c>
      <c r="H1787" s="359" t="s">
        <v>1286</v>
      </c>
      <c r="I1787" s="361">
        <v>0</v>
      </c>
      <c r="J1787" s="359" t="s">
        <v>1384</v>
      </c>
      <c r="K1787" s="359" t="s">
        <v>1272</v>
      </c>
      <c r="M1787" t="str">
        <f t="shared" si="28"/>
        <v>NICKEL AND NICKEL COMPOUNDS</v>
      </c>
    </row>
    <row r="1788" spans="1:13" ht="30" x14ac:dyDescent="0.25">
      <c r="A1788" s="359" t="s">
        <v>1956</v>
      </c>
      <c r="B1788" s="359" t="s">
        <v>639</v>
      </c>
      <c r="C1788" s="359" t="s">
        <v>1327</v>
      </c>
      <c r="D1788" s="359" t="s">
        <v>1328</v>
      </c>
      <c r="E1788" s="360"/>
      <c r="F1788" s="359" t="s">
        <v>1346</v>
      </c>
      <c r="G1788" s="361">
        <v>9.5687171402016357E-6</v>
      </c>
      <c r="H1788" s="359" t="s">
        <v>1286</v>
      </c>
      <c r="I1788" s="361">
        <v>0</v>
      </c>
      <c r="J1788" s="359" t="s">
        <v>1329</v>
      </c>
      <c r="K1788" s="359" t="s">
        <v>1272</v>
      </c>
      <c r="M1788" t="str">
        <f t="shared" si="28"/>
        <v>XYLENES</v>
      </c>
    </row>
    <row r="1789" spans="1:13" ht="30" x14ac:dyDescent="0.25">
      <c r="A1789" s="359" t="s">
        <v>1956</v>
      </c>
      <c r="B1789" s="359" t="s">
        <v>639</v>
      </c>
      <c r="C1789" s="359" t="s">
        <v>1342</v>
      </c>
      <c r="D1789" s="359" t="s">
        <v>1343</v>
      </c>
      <c r="E1789" s="360"/>
      <c r="F1789" s="359" t="s">
        <v>1346</v>
      </c>
      <c r="G1789" s="361">
        <v>9.5687171402016357E-6</v>
      </c>
      <c r="H1789" s="359" t="s">
        <v>1286</v>
      </c>
      <c r="I1789" s="361">
        <v>0</v>
      </c>
      <c r="J1789" s="359" t="s">
        <v>1342</v>
      </c>
      <c r="K1789" s="359" t="s">
        <v>1272</v>
      </c>
      <c r="M1789" t="str">
        <f t="shared" si="28"/>
        <v>ZINC AND ZINC COMPOUNDS</v>
      </c>
    </row>
    <row r="1790" spans="1:13" x14ac:dyDescent="0.25">
      <c r="A1790" s="359" t="s">
        <v>1957</v>
      </c>
      <c r="B1790" s="359" t="s">
        <v>831</v>
      </c>
      <c r="C1790" s="359" t="s">
        <v>1268</v>
      </c>
      <c r="D1790" s="359" t="s">
        <v>1269</v>
      </c>
      <c r="E1790" s="360"/>
      <c r="F1790" s="359" t="s">
        <v>1333</v>
      </c>
      <c r="G1790" s="361">
        <v>1.2994718063119994E-5</v>
      </c>
      <c r="H1790" s="359" t="s">
        <v>1286</v>
      </c>
      <c r="I1790" s="361">
        <v>0</v>
      </c>
      <c r="J1790" s="359" t="s">
        <v>1268</v>
      </c>
      <c r="K1790" s="359" t="s">
        <v>1272</v>
      </c>
      <c r="M1790" t="str">
        <f t="shared" si="28"/>
        <v>1,2,4-TRIMETHYLBENZENE</v>
      </c>
    </row>
    <row r="1791" spans="1:13" x14ac:dyDescent="0.25">
      <c r="A1791" s="359" t="s">
        <v>1958</v>
      </c>
      <c r="B1791" s="359" t="s">
        <v>831</v>
      </c>
      <c r="C1791" s="359" t="s">
        <v>1268</v>
      </c>
      <c r="D1791" s="359" t="s">
        <v>1269</v>
      </c>
      <c r="E1791" s="360"/>
      <c r="F1791" s="359" t="s">
        <v>1412</v>
      </c>
      <c r="G1791" s="361">
        <v>4.0310145828453861E-6</v>
      </c>
      <c r="H1791" s="359" t="s">
        <v>1333</v>
      </c>
      <c r="I1791" s="361">
        <v>6.6738652033863997E-4</v>
      </c>
      <c r="J1791" s="359" t="s">
        <v>1268</v>
      </c>
      <c r="K1791" s="359" t="s">
        <v>1272</v>
      </c>
      <c r="M1791" t="str">
        <f t="shared" si="28"/>
        <v>1,2,4-TRIMETHYLBENZENE</v>
      </c>
    </row>
    <row r="1792" spans="1:13" x14ac:dyDescent="0.25">
      <c r="A1792" s="359" t="s">
        <v>1958</v>
      </c>
      <c r="B1792" s="359" t="s">
        <v>831</v>
      </c>
      <c r="C1792" s="359" t="s">
        <v>1347</v>
      </c>
      <c r="D1792" s="359" t="s">
        <v>1348</v>
      </c>
      <c r="E1792" s="360"/>
      <c r="F1792" s="359" t="s">
        <v>1412</v>
      </c>
      <c r="G1792" s="361">
        <v>4.0310145828453861E-6</v>
      </c>
      <c r="H1792" s="359" t="s">
        <v>1270</v>
      </c>
      <c r="I1792" s="361">
        <v>1.3347730406772799E-3</v>
      </c>
      <c r="J1792" s="359" t="s">
        <v>1347</v>
      </c>
      <c r="K1792" s="359" t="s">
        <v>1272</v>
      </c>
      <c r="M1792" t="str">
        <f t="shared" si="28"/>
        <v>1,3-BUTADIENE</v>
      </c>
    </row>
    <row r="1793" spans="1:13" x14ac:dyDescent="0.25">
      <c r="A1793" s="359" t="s">
        <v>1957</v>
      </c>
      <c r="B1793" s="359" t="s">
        <v>831</v>
      </c>
      <c r="C1793" s="359" t="s">
        <v>1347</v>
      </c>
      <c r="D1793" s="359" t="s">
        <v>1348</v>
      </c>
      <c r="E1793" s="360"/>
      <c r="F1793" s="359" t="s">
        <v>1333</v>
      </c>
      <c r="G1793" s="361">
        <v>1.2994718063119994E-5</v>
      </c>
      <c r="H1793" s="359" t="s">
        <v>1286</v>
      </c>
      <c r="I1793" s="361">
        <v>0</v>
      </c>
      <c r="J1793" s="359" t="s">
        <v>1347</v>
      </c>
      <c r="K1793" s="359" t="s">
        <v>1272</v>
      </c>
      <c r="M1793" t="str">
        <f t="shared" si="28"/>
        <v>1,3-BUTADIENE</v>
      </c>
    </row>
    <row r="1794" spans="1:13" x14ac:dyDescent="0.25">
      <c r="A1794" s="359" t="s">
        <v>1957</v>
      </c>
      <c r="B1794" s="359" t="s">
        <v>831</v>
      </c>
      <c r="C1794" s="359" t="s">
        <v>1586</v>
      </c>
      <c r="D1794" s="359" t="s">
        <v>1587</v>
      </c>
      <c r="E1794" s="360"/>
      <c r="F1794" s="359" t="s">
        <v>1333</v>
      </c>
      <c r="G1794" s="361">
        <v>1.2994718063119994E-5</v>
      </c>
      <c r="H1794" s="359" t="s">
        <v>1959</v>
      </c>
      <c r="I1794" s="361">
        <v>1.8072124458643699</v>
      </c>
      <c r="J1794" s="359" t="s">
        <v>1586</v>
      </c>
      <c r="K1794" s="359" t="s">
        <v>1272</v>
      </c>
      <c r="M1794" t="str">
        <f t="shared" si="28"/>
        <v>ANTIMONY AND ANTIMONY COMPOUNDS</v>
      </c>
    </row>
    <row r="1795" spans="1:13" x14ac:dyDescent="0.25">
      <c r="A1795" s="359" t="s">
        <v>1958</v>
      </c>
      <c r="B1795" s="359" t="s">
        <v>831</v>
      </c>
      <c r="C1795" s="359" t="s">
        <v>1273</v>
      </c>
      <c r="D1795" s="359" t="s">
        <v>1274</v>
      </c>
      <c r="E1795" s="360"/>
      <c r="F1795" s="359" t="s">
        <v>1412</v>
      </c>
      <c r="G1795" s="361">
        <v>4.0310145828453861E-6</v>
      </c>
      <c r="H1795" s="359" t="s">
        <v>1333</v>
      </c>
      <c r="I1795" s="361">
        <v>6.6738652033863997E-4</v>
      </c>
      <c r="J1795" s="359" t="s">
        <v>1273</v>
      </c>
      <c r="K1795" s="359" t="s">
        <v>1272</v>
      </c>
      <c r="M1795" t="str">
        <f t="shared" si="28"/>
        <v>BENZENE</v>
      </c>
    </row>
    <row r="1796" spans="1:13" x14ac:dyDescent="0.25">
      <c r="A1796" s="359" t="s">
        <v>1957</v>
      </c>
      <c r="B1796" s="359" t="s">
        <v>831</v>
      </c>
      <c r="C1796" s="359" t="s">
        <v>1273</v>
      </c>
      <c r="D1796" s="359" t="s">
        <v>1274</v>
      </c>
      <c r="E1796" s="360"/>
      <c r="F1796" s="359" t="s">
        <v>1333</v>
      </c>
      <c r="G1796" s="361">
        <v>1.2994718063119994E-5</v>
      </c>
      <c r="H1796" s="359" t="s">
        <v>1473</v>
      </c>
      <c r="I1796" s="361">
        <v>6.4543301638013218E-3</v>
      </c>
      <c r="J1796" s="359" t="s">
        <v>1273</v>
      </c>
      <c r="K1796" s="359" t="s">
        <v>1272</v>
      </c>
      <c r="M1796" t="str">
        <f t="shared" si="28"/>
        <v>BENZENE</v>
      </c>
    </row>
    <row r="1797" spans="1:13" x14ac:dyDescent="0.25">
      <c r="A1797" s="359" t="s">
        <v>1958</v>
      </c>
      <c r="B1797" s="359" t="s">
        <v>831</v>
      </c>
      <c r="C1797" s="359" t="s">
        <v>1352</v>
      </c>
      <c r="D1797" s="359" t="s">
        <v>1353</v>
      </c>
      <c r="E1797" s="360"/>
      <c r="F1797" s="359" t="s">
        <v>1412</v>
      </c>
      <c r="G1797" s="361">
        <v>4.0310145828453861E-6</v>
      </c>
      <c r="H1797" s="359" t="s">
        <v>1286</v>
      </c>
      <c r="I1797" s="361">
        <v>0</v>
      </c>
      <c r="J1797" s="359" t="s">
        <v>1352</v>
      </c>
      <c r="K1797" s="359" t="s">
        <v>1272</v>
      </c>
      <c r="M1797" t="str">
        <f t="shared" si="28"/>
        <v>BENZO(G,H,I)PERYLENE</v>
      </c>
    </row>
    <row r="1798" spans="1:13" x14ac:dyDescent="0.25">
      <c r="A1798" s="359" t="s">
        <v>1958</v>
      </c>
      <c r="B1798" s="359" t="s">
        <v>831</v>
      </c>
      <c r="C1798" s="359" t="s">
        <v>1276</v>
      </c>
      <c r="D1798" s="359" t="s">
        <v>490</v>
      </c>
      <c r="E1798" s="361">
        <v>11350.1133787</v>
      </c>
      <c r="F1798" s="359" t="s">
        <v>1412</v>
      </c>
      <c r="G1798" s="361">
        <v>4.0310145828453861E-6</v>
      </c>
      <c r="H1798" s="359" t="s">
        <v>490</v>
      </c>
      <c r="I1798" s="361">
        <v>1.2534923985339238E-4</v>
      </c>
      <c r="J1798" s="359" t="s">
        <v>1276</v>
      </c>
      <c r="K1798" s="359" t="s">
        <v>1277</v>
      </c>
      <c r="M1798" t="str">
        <f t="shared" ref="M1798:M1861" si="29">IF(J1798="",C1798,J1798)</f>
        <v>BOD, 5-day, 20 deg. C</v>
      </c>
    </row>
    <row r="1799" spans="1:13" x14ac:dyDescent="0.25">
      <c r="A1799" s="359" t="s">
        <v>1957</v>
      </c>
      <c r="B1799" s="359" t="s">
        <v>831</v>
      </c>
      <c r="C1799" s="359" t="s">
        <v>1354</v>
      </c>
      <c r="D1799" s="359" t="s">
        <v>490</v>
      </c>
      <c r="E1799" s="361">
        <v>14334.1496599</v>
      </c>
      <c r="F1799" s="359" t="s">
        <v>1333</v>
      </c>
      <c r="G1799" s="361">
        <v>1.2994718063119994E-5</v>
      </c>
      <c r="H1799" s="359" t="s">
        <v>490</v>
      </c>
      <c r="I1799" s="361">
        <v>5.1032392741087089E-4</v>
      </c>
      <c r="J1799" s="359" t="s">
        <v>1354</v>
      </c>
      <c r="K1799" s="359" t="s">
        <v>1277</v>
      </c>
      <c r="M1799" t="str">
        <f t="shared" si="29"/>
        <v>BOD, carbonaceous, 05 day, 20 C</v>
      </c>
    </row>
    <row r="1800" spans="1:13" x14ac:dyDescent="0.25">
      <c r="A1800" s="359" t="s">
        <v>1957</v>
      </c>
      <c r="B1800" s="359" t="s">
        <v>831</v>
      </c>
      <c r="C1800" s="359" t="s">
        <v>1740</v>
      </c>
      <c r="D1800" s="359" t="s">
        <v>1741</v>
      </c>
      <c r="E1800" s="360"/>
      <c r="F1800" s="359" t="s">
        <v>1333</v>
      </c>
      <c r="G1800" s="361">
        <v>1.2994718063119994E-5</v>
      </c>
      <c r="H1800" s="359" t="s">
        <v>1286</v>
      </c>
      <c r="I1800" s="361">
        <v>0</v>
      </c>
      <c r="J1800" s="359" t="s">
        <v>1740</v>
      </c>
      <c r="K1800" s="359" t="s">
        <v>1272</v>
      </c>
      <c r="M1800" t="str">
        <f t="shared" si="29"/>
        <v>CERTAIN GLYCOL ETHERS</v>
      </c>
    </row>
    <row r="1801" spans="1:13" x14ac:dyDescent="0.25">
      <c r="A1801" s="359" t="s">
        <v>1957</v>
      </c>
      <c r="B1801" s="359" t="s">
        <v>831</v>
      </c>
      <c r="C1801" s="359" t="s">
        <v>1280</v>
      </c>
      <c r="D1801" s="359" t="s">
        <v>1281</v>
      </c>
      <c r="E1801" s="361">
        <v>0.76685219542399996</v>
      </c>
      <c r="F1801" s="359" t="s">
        <v>1333</v>
      </c>
      <c r="G1801" s="361">
        <v>1.2994718063119994E-5</v>
      </c>
      <c r="H1801" s="359" t="s">
        <v>490</v>
      </c>
      <c r="I1801" s="361">
        <v>2.7301446782519114E-8</v>
      </c>
      <c r="J1801" s="359" t="s">
        <v>1280</v>
      </c>
      <c r="K1801" s="359" t="s">
        <v>1277</v>
      </c>
      <c r="M1801" t="str">
        <f t="shared" si="29"/>
        <v>Chromium, hexavalent (as Cr)</v>
      </c>
    </row>
    <row r="1802" spans="1:13" x14ac:dyDescent="0.25">
      <c r="A1802" s="359" t="s">
        <v>1958</v>
      </c>
      <c r="B1802" s="359" t="s">
        <v>831</v>
      </c>
      <c r="C1802" s="359" t="s">
        <v>1280</v>
      </c>
      <c r="D1802" s="359" t="s">
        <v>1281</v>
      </c>
      <c r="E1802" s="361">
        <v>30.458049886600001</v>
      </c>
      <c r="F1802" s="359" t="s">
        <v>1412</v>
      </c>
      <c r="G1802" s="361">
        <v>4.0310145828453861E-6</v>
      </c>
      <c r="H1802" s="359" t="s">
        <v>490</v>
      </c>
      <c r="I1802" s="361">
        <v>3.3637491303538869E-7</v>
      </c>
      <c r="J1802" s="359" t="s">
        <v>1280</v>
      </c>
      <c r="K1802" s="359" t="s">
        <v>1277</v>
      </c>
      <c r="M1802" t="str">
        <f t="shared" si="29"/>
        <v>Chromium, hexavalent (as Cr)</v>
      </c>
    </row>
    <row r="1803" spans="1:13" x14ac:dyDescent="0.25">
      <c r="A1803" s="359" t="s">
        <v>1958</v>
      </c>
      <c r="B1803" s="359" t="s">
        <v>831</v>
      </c>
      <c r="C1803" s="359" t="s">
        <v>1282</v>
      </c>
      <c r="D1803" s="359" t="s">
        <v>1283</v>
      </c>
      <c r="E1803" s="361">
        <v>31.700680272100001</v>
      </c>
      <c r="F1803" s="359" t="s">
        <v>1412</v>
      </c>
      <c r="G1803" s="361">
        <v>4.0310145828453861E-6</v>
      </c>
      <c r="H1803" s="359" t="s">
        <v>490</v>
      </c>
      <c r="I1803" s="361">
        <v>3.5009836839165522E-7</v>
      </c>
      <c r="J1803" s="359" t="s">
        <v>1282</v>
      </c>
      <c r="K1803" s="359" t="s">
        <v>1277</v>
      </c>
      <c r="M1803" t="str">
        <f t="shared" si="29"/>
        <v>Chromium, total (as Cr)</v>
      </c>
    </row>
    <row r="1804" spans="1:13" x14ac:dyDescent="0.25">
      <c r="A1804" s="359" t="s">
        <v>1957</v>
      </c>
      <c r="B1804" s="359" t="s">
        <v>831</v>
      </c>
      <c r="C1804" s="359" t="s">
        <v>1282</v>
      </c>
      <c r="D1804" s="359" t="s">
        <v>1283</v>
      </c>
      <c r="E1804" s="361">
        <v>0.76685219542399996</v>
      </c>
      <c r="F1804" s="359" t="s">
        <v>1333</v>
      </c>
      <c r="G1804" s="361">
        <v>1.2994718063119994E-5</v>
      </c>
      <c r="H1804" s="359" t="s">
        <v>490</v>
      </c>
      <c r="I1804" s="361">
        <v>2.7301446782519114E-8</v>
      </c>
      <c r="J1804" s="359" t="s">
        <v>1282</v>
      </c>
      <c r="K1804" s="359" t="s">
        <v>1277</v>
      </c>
      <c r="M1804" t="str">
        <f t="shared" si="29"/>
        <v>Chromium, total (as Cr)</v>
      </c>
    </row>
    <row r="1805" spans="1:13" x14ac:dyDescent="0.25">
      <c r="A1805" s="359" t="s">
        <v>1958</v>
      </c>
      <c r="B1805" s="359" t="s">
        <v>831</v>
      </c>
      <c r="C1805" s="359" t="s">
        <v>1443</v>
      </c>
      <c r="D1805" s="359" t="s">
        <v>1444</v>
      </c>
      <c r="E1805" s="360"/>
      <c r="F1805" s="359" t="s">
        <v>1412</v>
      </c>
      <c r="G1805" s="361">
        <v>4.0310145828453861E-6</v>
      </c>
      <c r="H1805" s="359" t="s">
        <v>1517</v>
      </c>
      <c r="I1805" s="361">
        <v>1.134557084575688E-2</v>
      </c>
      <c r="J1805" s="359" t="s">
        <v>1445</v>
      </c>
      <c r="K1805" s="359" t="s">
        <v>1272</v>
      </c>
      <c r="M1805" t="str">
        <f t="shared" si="29"/>
        <v>CRESOL(S)</v>
      </c>
    </row>
    <row r="1806" spans="1:13" x14ac:dyDescent="0.25">
      <c r="A1806" s="359" t="s">
        <v>1957</v>
      </c>
      <c r="B1806" s="359" t="s">
        <v>831</v>
      </c>
      <c r="C1806" s="359" t="s">
        <v>1284</v>
      </c>
      <c r="D1806" s="359" t="s">
        <v>1285</v>
      </c>
      <c r="E1806" s="360"/>
      <c r="F1806" s="359" t="s">
        <v>1333</v>
      </c>
      <c r="G1806" s="361">
        <v>1.2994718063119994E-5</v>
      </c>
      <c r="H1806" s="359" t="s">
        <v>1286</v>
      </c>
      <c r="I1806" s="361">
        <v>0</v>
      </c>
      <c r="J1806" s="359" t="s">
        <v>1287</v>
      </c>
      <c r="K1806" s="359" t="s">
        <v>1272</v>
      </c>
      <c r="M1806" t="str">
        <f t="shared" si="29"/>
        <v>ISOPROPYLBENZENE</v>
      </c>
    </row>
    <row r="1807" spans="1:13" x14ac:dyDescent="0.25">
      <c r="A1807" s="359" t="s">
        <v>1958</v>
      </c>
      <c r="B1807" s="359" t="s">
        <v>831</v>
      </c>
      <c r="C1807" s="359" t="s">
        <v>1284</v>
      </c>
      <c r="D1807" s="359" t="s">
        <v>1285</v>
      </c>
      <c r="E1807" s="360"/>
      <c r="F1807" s="359" t="s">
        <v>1412</v>
      </c>
      <c r="G1807" s="361">
        <v>4.0310145828453861E-6</v>
      </c>
      <c r="H1807" s="359" t="s">
        <v>1333</v>
      </c>
      <c r="I1807" s="361">
        <v>6.6738652033863997E-4</v>
      </c>
      <c r="J1807" s="359" t="s">
        <v>1287</v>
      </c>
      <c r="K1807" s="359" t="s">
        <v>1272</v>
      </c>
      <c r="M1807" t="str">
        <f t="shared" si="29"/>
        <v>ISOPROPYLBENZENE</v>
      </c>
    </row>
    <row r="1808" spans="1:13" x14ac:dyDescent="0.25">
      <c r="A1808" s="359" t="s">
        <v>1958</v>
      </c>
      <c r="B1808" s="359" t="s">
        <v>831</v>
      </c>
      <c r="C1808" s="359" t="s">
        <v>1288</v>
      </c>
      <c r="D1808" s="359" t="s">
        <v>1289</v>
      </c>
      <c r="E1808" s="360"/>
      <c r="F1808" s="359" t="s">
        <v>1412</v>
      </c>
      <c r="G1808" s="361">
        <v>4.0310145828453861E-6</v>
      </c>
      <c r="H1808" s="359" t="s">
        <v>1960</v>
      </c>
      <c r="I1808" s="361">
        <v>0.20622243478463975</v>
      </c>
      <c r="J1808" s="359" t="s">
        <v>1288</v>
      </c>
      <c r="K1808" s="359" t="s">
        <v>1272</v>
      </c>
      <c r="M1808" t="str">
        <f t="shared" si="29"/>
        <v>CYANIDE COMPOUNDS</v>
      </c>
    </row>
    <row r="1809" spans="1:13" x14ac:dyDescent="0.25">
      <c r="A1809" s="359" t="s">
        <v>1958</v>
      </c>
      <c r="B1809" s="359" t="s">
        <v>831</v>
      </c>
      <c r="C1809" s="359" t="s">
        <v>1291</v>
      </c>
      <c r="D1809" s="359" t="s">
        <v>1292</v>
      </c>
      <c r="E1809" s="360"/>
      <c r="F1809" s="359" t="s">
        <v>1412</v>
      </c>
      <c r="G1809" s="361">
        <v>4.0310145828453861E-6</v>
      </c>
      <c r="H1809" s="359" t="s">
        <v>1270</v>
      </c>
      <c r="I1809" s="361">
        <v>1.3347730406772799E-3</v>
      </c>
      <c r="J1809" s="359" t="s">
        <v>1291</v>
      </c>
      <c r="K1809" s="359" t="s">
        <v>1272</v>
      </c>
      <c r="M1809" t="str">
        <f t="shared" si="29"/>
        <v>CYCLOHEXANE</v>
      </c>
    </row>
    <row r="1810" spans="1:13" x14ac:dyDescent="0.25">
      <c r="A1810" s="359" t="s">
        <v>1957</v>
      </c>
      <c r="B1810" s="359" t="s">
        <v>831</v>
      </c>
      <c r="C1810" s="359" t="s">
        <v>1291</v>
      </c>
      <c r="D1810" s="359" t="s">
        <v>1292</v>
      </c>
      <c r="E1810" s="360"/>
      <c r="F1810" s="359" t="s">
        <v>1333</v>
      </c>
      <c r="G1810" s="361">
        <v>1.2994718063119994E-5</v>
      </c>
      <c r="H1810" s="359" t="s">
        <v>1286</v>
      </c>
      <c r="I1810" s="361">
        <v>0</v>
      </c>
      <c r="J1810" s="359" t="s">
        <v>1291</v>
      </c>
      <c r="K1810" s="359" t="s">
        <v>1272</v>
      </c>
      <c r="M1810" t="str">
        <f t="shared" si="29"/>
        <v>CYCLOHEXANE</v>
      </c>
    </row>
    <row r="1811" spans="1:13" x14ac:dyDescent="0.25">
      <c r="A1811" s="359" t="s">
        <v>1957</v>
      </c>
      <c r="B1811" s="359" t="s">
        <v>831</v>
      </c>
      <c r="C1811" s="359" t="s">
        <v>1362</v>
      </c>
      <c r="D1811" s="359" t="s">
        <v>1363</v>
      </c>
      <c r="E1811" s="360"/>
      <c r="F1811" s="359" t="s">
        <v>1333</v>
      </c>
      <c r="G1811" s="361">
        <v>1.2994718063119994E-5</v>
      </c>
      <c r="H1811" s="359" t="s">
        <v>1961</v>
      </c>
      <c r="I1811" s="361">
        <v>1.6359489464112897E-6</v>
      </c>
      <c r="J1811" s="359" t="s">
        <v>1362</v>
      </c>
      <c r="K1811" s="359" t="s">
        <v>1272</v>
      </c>
      <c r="M1811" t="str">
        <f t="shared" si="29"/>
        <v>DIOXIN AND DIOXIN-LIKE COMPOUNDS</v>
      </c>
    </row>
    <row r="1812" spans="1:13" x14ac:dyDescent="0.25">
      <c r="A1812" s="359" t="s">
        <v>1957</v>
      </c>
      <c r="B1812" s="359" t="s">
        <v>831</v>
      </c>
      <c r="C1812" s="359" t="s">
        <v>1295</v>
      </c>
      <c r="D1812" s="359" t="s">
        <v>1296</v>
      </c>
      <c r="E1812" s="360"/>
      <c r="F1812" s="359" t="s">
        <v>1333</v>
      </c>
      <c r="G1812" s="361">
        <v>1.2994718063119994E-5</v>
      </c>
      <c r="H1812" s="359" t="s">
        <v>1520</v>
      </c>
      <c r="I1812" s="361">
        <v>2.5817320655205287E-2</v>
      </c>
      <c r="J1812" s="359" t="s">
        <v>1295</v>
      </c>
      <c r="K1812" s="359" t="s">
        <v>1272</v>
      </c>
      <c r="M1812" t="str">
        <f t="shared" si="29"/>
        <v>ETHYLBENZENE</v>
      </c>
    </row>
    <row r="1813" spans="1:13" x14ac:dyDescent="0.25">
      <c r="A1813" s="359" t="s">
        <v>1958</v>
      </c>
      <c r="B1813" s="359" t="s">
        <v>831</v>
      </c>
      <c r="C1813" s="359" t="s">
        <v>1295</v>
      </c>
      <c r="D1813" s="359" t="s">
        <v>1296</v>
      </c>
      <c r="E1813" s="360"/>
      <c r="F1813" s="359" t="s">
        <v>1412</v>
      </c>
      <c r="G1813" s="361">
        <v>4.0310145828453861E-6</v>
      </c>
      <c r="H1813" s="359" t="s">
        <v>1333</v>
      </c>
      <c r="I1813" s="361">
        <v>6.6738652033863997E-4</v>
      </c>
      <c r="J1813" s="359" t="s">
        <v>1295</v>
      </c>
      <c r="K1813" s="359" t="s">
        <v>1272</v>
      </c>
      <c r="M1813" t="str">
        <f t="shared" si="29"/>
        <v>ETHYLBENZENE</v>
      </c>
    </row>
    <row r="1814" spans="1:13" x14ac:dyDescent="0.25">
      <c r="A1814" s="359" t="s">
        <v>1958</v>
      </c>
      <c r="B1814" s="359" t="s">
        <v>831</v>
      </c>
      <c r="C1814" s="359" t="s">
        <v>1365</v>
      </c>
      <c r="D1814" s="359" t="s">
        <v>1366</v>
      </c>
      <c r="E1814" s="360"/>
      <c r="F1814" s="359" t="s">
        <v>1412</v>
      </c>
      <c r="G1814" s="361">
        <v>4.0310145828453861E-6</v>
      </c>
      <c r="H1814" s="359" t="s">
        <v>1286</v>
      </c>
      <c r="I1814" s="361">
        <v>0</v>
      </c>
      <c r="J1814" s="359" t="s">
        <v>1028</v>
      </c>
      <c r="K1814" s="359" t="s">
        <v>1272</v>
      </c>
      <c r="M1814" t="str">
        <f t="shared" si="29"/>
        <v>ETHENE</v>
      </c>
    </row>
    <row r="1815" spans="1:13" x14ac:dyDescent="0.25">
      <c r="A1815" s="359" t="s">
        <v>1957</v>
      </c>
      <c r="B1815" s="359" t="s">
        <v>831</v>
      </c>
      <c r="C1815" s="359" t="s">
        <v>1365</v>
      </c>
      <c r="D1815" s="359" t="s">
        <v>1366</v>
      </c>
      <c r="E1815" s="360"/>
      <c r="F1815" s="359" t="s">
        <v>1333</v>
      </c>
      <c r="G1815" s="361">
        <v>1.2994718063119994E-5</v>
      </c>
      <c r="H1815" s="359" t="s">
        <v>1286</v>
      </c>
      <c r="I1815" s="361">
        <v>0</v>
      </c>
      <c r="J1815" s="359" t="s">
        <v>1028</v>
      </c>
      <c r="K1815" s="359" t="s">
        <v>1272</v>
      </c>
      <c r="M1815" t="str">
        <f t="shared" si="29"/>
        <v>ETHENE</v>
      </c>
    </row>
    <row r="1816" spans="1:13" x14ac:dyDescent="0.25">
      <c r="A1816" s="359" t="s">
        <v>1957</v>
      </c>
      <c r="B1816" s="359" t="s">
        <v>831</v>
      </c>
      <c r="C1816" s="359" t="s">
        <v>1488</v>
      </c>
      <c r="D1816" s="359" t="s">
        <v>1489</v>
      </c>
      <c r="E1816" s="360"/>
      <c r="F1816" s="359" t="s">
        <v>1333</v>
      </c>
      <c r="G1816" s="361">
        <v>1.2994718063119994E-5</v>
      </c>
      <c r="H1816" s="359" t="s">
        <v>1286</v>
      </c>
      <c r="I1816" s="361">
        <v>0</v>
      </c>
      <c r="J1816" s="359" t="s">
        <v>1490</v>
      </c>
      <c r="K1816" s="359" t="s">
        <v>1272</v>
      </c>
      <c r="M1816" t="str">
        <f t="shared" si="29"/>
        <v>HYDROFLUORIC ACID</v>
      </c>
    </row>
    <row r="1817" spans="1:13" x14ac:dyDescent="0.25">
      <c r="A1817" s="359" t="s">
        <v>1958</v>
      </c>
      <c r="B1817" s="359" t="s">
        <v>831</v>
      </c>
      <c r="C1817" s="359" t="s">
        <v>1297</v>
      </c>
      <c r="D1817" s="359" t="s">
        <v>1298</v>
      </c>
      <c r="E1817" s="360"/>
      <c r="F1817" s="359" t="s">
        <v>1412</v>
      </c>
      <c r="G1817" s="361">
        <v>4.0310145828453861E-6</v>
      </c>
      <c r="H1817" s="359" t="s">
        <v>1286</v>
      </c>
      <c r="I1817" s="361">
        <v>0</v>
      </c>
      <c r="J1817" s="359" t="s">
        <v>1297</v>
      </c>
      <c r="K1817" s="359" t="s">
        <v>1272</v>
      </c>
      <c r="M1817" t="str">
        <f t="shared" si="29"/>
        <v>LEAD AND LEAD COMPOUNDS</v>
      </c>
    </row>
    <row r="1818" spans="1:13" x14ac:dyDescent="0.25">
      <c r="A1818" s="359" t="s">
        <v>1957</v>
      </c>
      <c r="B1818" s="359" t="s">
        <v>831</v>
      </c>
      <c r="C1818" s="359" t="s">
        <v>1300</v>
      </c>
      <c r="D1818" s="359" t="s">
        <v>1301</v>
      </c>
      <c r="E1818" s="360"/>
      <c r="F1818" s="359" t="s">
        <v>1333</v>
      </c>
      <c r="G1818" s="361">
        <v>1.2994718063119994E-5</v>
      </c>
      <c r="H1818" s="359" t="s">
        <v>1546</v>
      </c>
      <c r="I1818" s="361">
        <v>8.6057735517350959E-4</v>
      </c>
      <c r="J1818" s="359" t="s">
        <v>1300</v>
      </c>
      <c r="K1818" s="359" t="s">
        <v>1272</v>
      </c>
      <c r="M1818" t="str">
        <f t="shared" si="29"/>
        <v>MERCURY AND MERCURY COMPOUNDS</v>
      </c>
    </row>
    <row r="1819" spans="1:13" x14ac:dyDescent="0.25">
      <c r="A1819" s="359" t="s">
        <v>1958</v>
      </c>
      <c r="B1819" s="359" t="s">
        <v>831</v>
      </c>
      <c r="C1819" s="359" t="s">
        <v>1300</v>
      </c>
      <c r="D1819" s="359" t="s">
        <v>1301</v>
      </c>
      <c r="E1819" s="360"/>
      <c r="F1819" s="359" t="s">
        <v>1412</v>
      </c>
      <c r="G1819" s="361">
        <v>4.0310145828453861E-6</v>
      </c>
      <c r="H1819" s="359" t="s">
        <v>1286</v>
      </c>
      <c r="I1819" s="361">
        <v>0</v>
      </c>
      <c r="J1819" s="359" t="s">
        <v>1300</v>
      </c>
      <c r="K1819" s="359" t="s">
        <v>1272</v>
      </c>
      <c r="M1819" t="str">
        <f t="shared" si="29"/>
        <v>MERCURY AND MERCURY COMPOUNDS</v>
      </c>
    </row>
    <row r="1820" spans="1:13" x14ac:dyDescent="0.25">
      <c r="A1820" s="359" t="s">
        <v>1957</v>
      </c>
      <c r="B1820" s="359" t="s">
        <v>831</v>
      </c>
      <c r="C1820" s="359" t="s">
        <v>1303</v>
      </c>
      <c r="D1820" s="359" t="s">
        <v>1304</v>
      </c>
      <c r="E1820" s="360"/>
      <c r="F1820" s="359" t="s">
        <v>1333</v>
      </c>
      <c r="G1820" s="361">
        <v>1.2994718063119994E-5</v>
      </c>
      <c r="H1820" s="359" t="s">
        <v>1442</v>
      </c>
      <c r="I1820" s="361">
        <v>5.1634641310410574E-2</v>
      </c>
      <c r="J1820" s="359" t="s">
        <v>1303</v>
      </c>
      <c r="K1820" s="359" t="s">
        <v>1272</v>
      </c>
      <c r="M1820" t="str">
        <f t="shared" si="29"/>
        <v>NAPHTHALENE</v>
      </c>
    </row>
    <row r="1821" spans="1:13" x14ac:dyDescent="0.25">
      <c r="A1821" s="359" t="s">
        <v>1958</v>
      </c>
      <c r="B1821" s="359" t="s">
        <v>831</v>
      </c>
      <c r="C1821" s="359" t="s">
        <v>1303</v>
      </c>
      <c r="D1821" s="359" t="s">
        <v>1304</v>
      </c>
      <c r="E1821" s="360"/>
      <c r="F1821" s="359" t="s">
        <v>1412</v>
      </c>
      <c r="G1821" s="361">
        <v>4.0310145828453861E-6</v>
      </c>
      <c r="H1821" s="359" t="s">
        <v>1412</v>
      </c>
      <c r="I1821" s="361">
        <v>2.6695460813545599E-3</v>
      </c>
      <c r="J1821" s="359" t="s">
        <v>1303</v>
      </c>
      <c r="K1821" s="359" t="s">
        <v>1272</v>
      </c>
      <c r="M1821" t="str">
        <f t="shared" si="29"/>
        <v>NAPHTHALENE</v>
      </c>
    </row>
    <row r="1822" spans="1:13" x14ac:dyDescent="0.25">
      <c r="A1822" s="359" t="s">
        <v>1958</v>
      </c>
      <c r="B1822" s="359" t="s">
        <v>831</v>
      </c>
      <c r="C1822" s="359" t="s">
        <v>1629</v>
      </c>
      <c r="D1822" s="359" t="s">
        <v>1630</v>
      </c>
      <c r="E1822" s="360"/>
      <c r="F1822" s="359" t="s">
        <v>1412</v>
      </c>
      <c r="G1822" s="361">
        <v>4.0310145828453861E-6</v>
      </c>
      <c r="H1822" s="359" t="s">
        <v>1286</v>
      </c>
      <c r="I1822" s="361">
        <v>0</v>
      </c>
      <c r="J1822" s="359" t="s">
        <v>1631</v>
      </c>
      <c r="K1822" s="359" t="s">
        <v>1272</v>
      </c>
      <c r="M1822" t="str">
        <f t="shared" si="29"/>
        <v>1-BUTANOL</v>
      </c>
    </row>
    <row r="1823" spans="1:13" x14ac:dyDescent="0.25">
      <c r="A1823" s="359" t="s">
        <v>1958</v>
      </c>
      <c r="B1823" s="359" t="s">
        <v>831</v>
      </c>
      <c r="C1823" s="359" t="s">
        <v>1305</v>
      </c>
      <c r="D1823" s="359" t="s">
        <v>1306</v>
      </c>
      <c r="E1823" s="360"/>
      <c r="F1823" s="359" t="s">
        <v>1412</v>
      </c>
      <c r="G1823" s="361">
        <v>4.0310145828453861E-6</v>
      </c>
      <c r="H1823" s="359" t="s">
        <v>1270</v>
      </c>
      <c r="I1823" s="361">
        <v>1.3347730406772799E-3</v>
      </c>
      <c r="J1823" s="359" t="s">
        <v>1305</v>
      </c>
      <c r="K1823" s="359" t="s">
        <v>1272</v>
      </c>
      <c r="M1823" t="str">
        <f t="shared" si="29"/>
        <v>N-HEXANE</v>
      </c>
    </row>
    <row r="1824" spans="1:13" x14ac:dyDescent="0.25">
      <c r="A1824" s="359" t="s">
        <v>1957</v>
      </c>
      <c r="B1824" s="359" t="s">
        <v>831</v>
      </c>
      <c r="C1824" s="359" t="s">
        <v>1305</v>
      </c>
      <c r="D1824" s="359" t="s">
        <v>1306</v>
      </c>
      <c r="E1824" s="360"/>
      <c r="F1824" s="359" t="s">
        <v>1333</v>
      </c>
      <c r="G1824" s="361">
        <v>1.2994718063119994E-5</v>
      </c>
      <c r="H1824" s="359" t="s">
        <v>1286</v>
      </c>
      <c r="I1824" s="361">
        <v>0</v>
      </c>
      <c r="J1824" s="359" t="s">
        <v>1305</v>
      </c>
      <c r="K1824" s="359" t="s">
        <v>1272</v>
      </c>
      <c r="M1824" t="str">
        <f t="shared" si="29"/>
        <v>N-HEXANE</v>
      </c>
    </row>
    <row r="1825" spans="1:13" x14ac:dyDescent="0.25">
      <c r="A1825" s="359" t="s">
        <v>1958</v>
      </c>
      <c r="B1825" s="359" t="s">
        <v>831</v>
      </c>
      <c r="C1825" s="359" t="s">
        <v>1307</v>
      </c>
      <c r="D1825" s="359" t="s">
        <v>1308</v>
      </c>
      <c r="E1825" s="360"/>
      <c r="F1825" s="359" t="s">
        <v>1412</v>
      </c>
      <c r="G1825" s="361">
        <v>4.0310145828453861E-6</v>
      </c>
      <c r="H1825" s="359" t="s">
        <v>1962</v>
      </c>
      <c r="I1825" s="361">
        <v>458.25428032532375</v>
      </c>
      <c r="J1825" s="359" t="s">
        <v>1310</v>
      </c>
      <c r="K1825" s="359" t="s">
        <v>1272</v>
      </c>
      <c r="M1825" t="str">
        <f t="shared" si="29"/>
        <v>NITRATE</v>
      </c>
    </row>
    <row r="1826" spans="1:13" x14ac:dyDescent="0.25">
      <c r="A1826" s="359" t="s">
        <v>1957</v>
      </c>
      <c r="B1826" s="359" t="s">
        <v>831</v>
      </c>
      <c r="C1826" s="359" t="s">
        <v>1307</v>
      </c>
      <c r="D1826" s="359" t="s">
        <v>1308</v>
      </c>
      <c r="E1826" s="360"/>
      <c r="F1826" s="359" t="s">
        <v>1333</v>
      </c>
      <c r="G1826" s="361">
        <v>1.2994718063119994E-5</v>
      </c>
      <c r="H1826" s="359" t="s">
        <v>1963</v>
      </c>
      <c r="I1826" s="361">
        <v>91.558976260297612</v>
      </c>
      <c r="J1826" s="359" t="s">
        <v>1310</v>
      </c>
      <c r="K1826" s="359" t="s">
        <v>1272</v>
      </c>
      <c r="M1826" t="str">
        <f t="shared" si="29"/>
        <v>NITRATE</v>
      </c>
    </row>
    <row r="1827" spans="1:13" x14ac:dyDescent="0.25">
      <c r="A1827" s="359" t="s">
        <v>1958</v>
      </c>
      <c r="B1827" s="359" t="s">
        <v>831</v>
      </c>
      <c r="C1827" s="359" t="s">
        <v>1311</v>
      </c>
      <c r="D1827" s="359" t="s">
        <v>1312</v>
      </c>
      <c r="E1827" s="361">
        <v>2030.3854875300001</v>
      </c>
      <c r="F1827" s="359" t="s">
        <v>1412</v>
      </c>
      <c r="G1827" s="361">
        <v>4.0310145828453861E-6</v>
      </c>
      <c r="H1827" s="359" t="s">
        <v>490</v>
      </c>
      <c r="I1827" s="361">
        <v>2.2423324682276902E-5</v>
      </c>
      <c r="J1827" s="359" t="s">
        <v>1313</v>
      </c>
      <c r="K1827" s="359" t="s">
        <v>1277</v>
      </c>
      <c r="M1827" t="str">
        <f t="shared" si="29"/>
        <v>AMMONIA</v>
      </c>
    </row>
    <row r="1828" spans="1:13" x14ac:dyDescent="0.25">
      <c r="A1828" s="359" t="s">
        <v>1957</v>
      </c>
      <c r="B1828" s="359" t="s">
        <v>831</v>
      </c>
      <c r="C1828" s="359" t="s">
        <v>1311</v>
      </c>
      <c r="D1828" s="359" t="s">
        <v>1312</v>
      </c>
      <c r="E1828" s="361">
        <v>11014.739229000001</v>
      </c>
      <c r="F1828" s="359" t="s">
        <v>1333</v>
      </c>
      <c r="G1828" s="361">
        <v>1.2994718063119994E-5</v>
      </c>
      <c r="H1828" s="359" t="s">
        <v>490</v>
      </c>
      <c r="I1828" s="361">
        <v>3.9214638580724033E-4</v>
      </c>
      <c r="J1828" s="359" t="s">
        <v>1313</v>
      </c>
      <c r="K1828" s="359" t="s">
        <v>1277</v>
      </c>
      <c r="M1828" t="str">
        <f t="shared" si="29"/>
        <v>AMMONIA</v>
      </c>
    </row>
    <row r="1829" spans="1:13" x14ac:dyDescent="0.25">
      <c r="A1829" s="359" t="s">
        <v>1958</v>
      </c>
      <c r="B1829" s="359" t="s">
        <v>831</v>
      </c>
      <c r="C1829" s="359" t="s">
        <v>1341</v>
      </c>
      <c r="D1829" s="359" t="s">
        <v>490</v>
      </c>
      <c r="E1829" s="361">
        <v>11323.79671447</v>
      </c>
      <c r="F1829" s="359" t="s">
        <v>1412</v>
      </c>
      <c r="G1829" s="361">
        <v>4.0310145828453861E-6</v>
      </c>
      <c r="H1829" s="359" t="s">
        <v>490</v>
      </c>
      <c r="I1829" s="361">
        <v>1.2505860188823353E-4</v>
      </c>
      <c r="J1829" s="359" t="s">
        <v>1341</v>
      </c>
      <c r="K1829" s="359" t="s">
        <v>1277</v>
      </c>
      <c r="M1829" t="str">
        <f t="shared" si="29"/>
        <v>Oil &amp; grease</v>
      </c>
    </row>
    <row r="1830" spans="1:13" x14ac:dyDescent="0.25">
      <c r="A1830" s="359" t="s">
        <v>1957</v>
      </c>
      <c r="B1830" s="359" t="s">
        <v>831</v>
      </c>
      <c r="C1830" s="359" t="s">
        <v>1341</v>
      </c>
      <c r="D1830" s="359" t="s">
        <v>490</v>
      </c>
      <c r="E1830" s="361">
        <v>7000.9977324299998</v>
      </c>
      <c r="F1830" s="359" t="s">
        <v>1333</v>
      </c>
      <c r="G1830" s="361">
        <v>1.2994718063119994E-5</v>
      </c>
      <c r="H1830" s="359" t="s">
        <v>490</v>
      </c>
      <c r="I1830" s="361">
        <v>2.4924929231087738E-4</v>
      </c>
      <c r="J1830" s="359" t="s">
        <v>1341</v>
      </c>
      <c r="K1830" s="359" t="s">
        <v>1277</v>
      </c>
      <c r="M1830" t="str">
        <f t="shared" si="29"/>
        <v>Oil &amp; grease</v>
      </c>
    </row>
    <row r="1831" spans="1:13" x14ac:dyDescent="0.25">
      <c r="A1831" s="359" t="s">
        <v>1957</v>
      </c>
      <c r="B1831" s="359" t="s">
        <v>831</v>
      </c>
      <c r="C1831" s="359" t="s">
        <v>1457</v>
      </c>
      <c r="D1831" s="359" t="s">
        <v>490</v>
      </c>
      <c r="E1831" s="361">
        <v>147131.46485300001</v>
      </c>
      <c r="F1831" s="359" t="s">
        <v>1333</v>
      </c>
      <c r="G1831" s="361">
        <v>1.2994718063119994E-5</v>
      </c>
      <c r="H1831" s="359" t="s">
        <v>490</v>
      </c>
      <c r="I1831" s="361">
        <v>5.2381695999413258E-3</v>
      </c>
      <c r="J1831" s="359" t="s">
        <v>1457</v>
      </c>
      <c r="K1831" s="359" t="s">
        <v>1277</v>
      </c>
      <c r="M1831" t="str">
        <f t="shared" si="29"/>
        <v>Chemical Oxygen Demand (COD)</v>
      </c>
    </row>
    <row r="1832" spans="1:13" x14ac:dyDescent="0.25">
      <c r="A1832" s="359" t="s">
        <v>1958</v>
      </c>
      <c r="B1832" s="359" t="s">
        <v>831</v>
      </c>
      <c r="C1832" s="359" t="s">
        <v>1457</v>
      </c>
      <c r="D1832" s="359" t="s">
        <v>490</v>
      </c>
      <c r="E1832" s="361">
        <v>333561.196734</v>
      </c>
      <c r="F1832" s="359" t="s">
        <v>1412</v>
      </c>
      <c r="G1832" s="361">
        <v>4.0310145828453861E-6</v>
      </c>
      <c r="H1832" s="359" t="s">
        <v>490</v>
      </c>
      <c r="I1832" s="361">
        <v>3.6838083515235969E-3</v>
      </c>
      <c r="J1832" s="359" t="s">
        <v>1457</v>
      </c>
      <c r="K1832" s="359" t="s">
        <v>1277</v>
      </c>
      <c r="M1832" t="str">
        <f t="shared" si="29"/>
        <v>Chemical Oxygen Demand (COD)</v>
      </c>
    </row>
    <row r="1833" spans="1:13" x14ac:dyDescent="0.25">
      <c r="A1833" s="359" t="s">
        <v>1957</v>
      </c>
      <c r="B1833" s="359" t="s">
        <v>831</v>
      </c>
      <c r="C1833" s="359" t="s">
        <v>1480</v>
      </c>
      <c r="D1833" s="359" t="s">
        <v>1481</v>
      </c>
      <c r="E1833" s="361">
        <v>11109.4008125</v>
      </c>
      <c r="F1833" s="359" t="s">
        <v>1333</v>
      </c>
      <c r="G1833" s="361">
        <v>1.2994718063119994E-5</v>
      </c>
      <c r="H1833" s="359" t="s">
        <v>490</v>
      </c>
      <c r="I1833" s="361">
        <v>3.9551652440721562E-4</v>
      </c>
      <c r="J1833" s="359" t="s">
        <v>1480</v>
      </c>
      <c r="K1833" s="359" t="s">
        <v>1277</v>
      </c>
      <c r="M1833" t="str">
        <f t="shared" si="29"/>
        <v>Oxygen, dissolved (DO)</v>
      </c>
    </row>
    <row r="1834" spans="1:13" x14ac:dyDescent="0.25">
      <c r="A1834" s="359" t="s">
        <v>1958</v>
      </c>
      <c r="B1834" s="359" t="s">
        <v>831</v>
      </c>
      <c r="C1834" s="359" t="s">
        <v>1315</v>
      </c>
      <c r="D1834" s="359" t="s">
        <v>1316</v>
      </c>
      <c r="E1834" s="360"/>
      <c r="F1834" s="359" t="s">
        <v>1412</v>
      </c>
      <c r="G1834" s="361">
        <v>4.0310145828453861E-6</v>
      </c>
      <c r="H1834" s="359" t="s">
        <v>1539</v>
      </c>
      <c r="I1834" s="361">
        <v>7.3412517237250391E-3</v>
      </c>
      <c r="J1834" s="359" t="s">
        <v>1315</v>
      </c>
      <c r="K1834" s="359" t="s">
        <v>1272</v>
      </c>
      <c r="M1834" t="str">
        <f t="shared" si="29"/>
        <v>PHENOL</v>
      </c>
    </row>
    <row r="1835" spans="1:13" x14ac:dyDescent="0.25">
      <c r="A1835" s="359" t="s">
        <v>1957</v>
      </c>
      <c r="B1835" s="359" t="s">
        <v>831</v>
      </c>
      <c r="C1835" s="359" t="s">
        <v>1482</v>
      </c>
      <c r="D1835" s="359" t="s">
        <v>490</v>
      </c>
      <c r="E1835" s="361">
        <v>169.20717377899999</v>
      </c>
      <c r="F1835" s="359" t="s">
        <v>1333</v>
      </c>
      <c r="G1835" s="361">
        <v>1.2994718063119994E-5</v>
      </c>
      <c r="H1835" s="359" t="s">
        <v>490</v>
      </c>
      <c r="I1835" s="361">
        <v>6.0241082671656306E-6</v>
      </c>
      <c r="J1835" s="359" t="s">
        <v>1482</v>
      </c>
      <c r="K1835" s="359" t="s">
        <v>1277</v>
      </c>
      <c r="M1835" t="str">
        <f t="shared" si="29"/>
        <v>Phenols</v>
      </c>
    </row>
    <row r="1836" spans="1:13" x14ac:dyDescent="0.25">
      <c r="A1836" s="359" t="s">
        <v>1958</v>
      </c>
      <c r="B1836" s="359" t="s">
        <v>831</v>
      </c>
      <c r="C1836" s="359" t="s">
        <v>1482</v>
      </c>
      <c r="D1836" s="359" t="s">
        <v>490</v>
      </c>
      <c r="E1836" s="361">
        <v>35.827664399100001</v>
      </c>
      <c r="F1836" s="359" t="s">
        <v>1412</v>
      </c>
      <c r="G1836" s="361">
        <v>4.0310145828453861E-6</v>
      </c>
      <c r="H1836" s="359" t="s">
        <v>490</v>
      </c>
      <c r="I1836" s="361">
        <v>3.9567626756729478E-7</v>
      </c>
      <c r="J1836" s="359" t="s">
        <v>1482</v>
      </c>
      <c r="K1836" s="359" t="s">
        <v>1277</v>
      </c>
      <c r="M1836" t="str">
        <f t="shared" si="29"/>
        <v>Phenols</v>
      </c>
    </row>
    <row r="1837" spans="1:13" x14ac:dyDescent="0.25">
      <c r="A1837" s="359" t="s">
        <v>1958</v>
      </c>
      <c r="B1837" s="359" t="s">
        <v>831</v>
      </c>
      <c r="C1837" s="359" t="s">
        <v>1319</v>
      </c>
      <c r="D1837" s="359" t="s">
        <v>1320</v>
      </c>
      <c r="E1837" s="360"/>
      <c r="F1837" s="359" t="s">
        <v>1412</v>
      </c>
      <c r="G1837" s="361">
        <v>4.0310145828453861E-6</v>
      </c>
      <c r="H1837" s="359" t="s">
        <v>1286</v>
      </c>
      <c r="I1837" s="361">
        <v>0</v>
      </c>
      <c r="J1837" s="359" t="s">
        <v>1319</v>
      </c>
      <c r="K1837" s="359" t="s">
        <v>1272</v>
      </c>
      <c r="M1837" t="str">
        <f t="shared" si="29"/>
        <v>POLYCYCLIC AROMATIC COMPOUNDS</v>
      </c>
    </row>
    <row r="1838" spans="1:13" x14ac:dyDescent="0.25">
      <c r="A1838" s="359" t="s">
        <v>1957</v>
      </c>
      <c r="B1838" s="359" t="s">
        <v>831</v>
      </c>
      <c r="C1838" s="359" t="s">
        <v>1319</v>
      </c>
      <c r="D1838" s="359" t="s">
        <v>1320</v>
      </c>
      <c r="E1838" s="360"/>
      <c r="F1838" s="359" t="s">
        <v>1333</v>
      </c>
      <c r="G1838" s="361">
        <v>1.2994718063119994E-5</v>
      </c>
      <c r="H1838" s="359" t="s">
        <v>1890</v>
      </c>
      <c r="I1838" s="361">
        <v>7.7451961965615851E-2</v>
      </c>
      <c r="J1838" s="359" t="s">
        <v>1319</v>
      </c>
      <c r="K1838" s="359" t="s">
        <v>1272</v>
      </c>
      <c r="M1838" t="str">
        <f t="shared" si="29"/>
        <v>POLYCYCLIC AROMATIC COMPOUNDS</v>
      </c>
    </row>
    <row r="1839" spans="1:13" x14ac:dyDescent="0.25">
      <c r="A1839" s="359" t="s">
        <v>1958</v>
      </c>
      <c r="B1839" s="359" t="s">
        <v>831</v>
      </c>
      <c r="C1839" s="359" t="s">
        <v>1425</v>
      </c>
      <c r="D1839" s="359" t="s">
        <v>1426</v>
      </c>
      <c r="E1839" s="360"/>
      <c r="F1839" s="359" t="s">
        <v>1412</v>
      </c>
      <c r="G1839" s="361">
        <v>4.0310145828453861E-6</v>
      </c>
      <c r="H1839" s="359" t="s">
        <v>1286</v>
      </c>
      <c r="I1839" s="361">
        <v>0</v>
      </c>
      <c r="J1839" s="359" t="s">
        <v>1425</v>
      </c>
      <c r="K1839" s="359" t="s">
        <v>1272</v>
      </c>
      <c r="M1839" t="str">
        <f t="shared" si="29"/>
        <v>PROPYLENE</v>
      </c>
    </row>
    <row r="1840" spans="1:13" x14ac:dyDescent="0.25">
      <c r="A1840" s="359" t="s">
        <v>1957</v>
      </c>
      <c r="B1840" s="359" t="s">
        <v>831</v>
      </c>
      <c r="C1840" s="359" t="s">
        <v>1425</v>
      </c>
      <c r="D1840" s="359" t="s">
        <v>1426</v>
      </c>
      <c r="E1840" s="360"/>
      <c r="F1840" s="359" t="s">
        <v>1333</v>
      </c>
      <c r="G1840" s="361">
        <v>1.2994718063119994E-5</v>
      </c>
      <c r="H1840" s="359" t="s">
        <v>1286</v>
      </c>
      <c r="I1840" s="361">
        <v>0</v>
      </c>
      <c r="J1840" s="359" t="s">
        <v>1425</v>
      </c>
      <c r="K1840" s="359" t="s">
        <v>1272</v>
      </c>
      <c r="M1840" t="str">
        <f t="shared" si="29"/>
        <v>PROPYLENE</v>
      </c>
    </row>
    <row r="1841" spans="1:13" x14ac:dyDescent="0.25">
      <c r="A1841" s="359" t="s">
        <v>1957</v>
      </c>
      <c r="B1841" s="359" t="s">
        <v>831</v>
      </c>
      <c r="C1841" s="359" t="s">
        <v>1322</v>
      </c>
      <c r="D1841" s="359" t="s">
        <v>490</v>
      </c>
      <c r="E1841" s="361">
        <v>39140.356815200001</v>
      </c>
      <c r="F1841" s="359" t="s">
        <v>1333</v>
      </c>
      <c r="G1841" s="361">
        <v>1.2994718063119994E-5</v>
      </c>
      <c r="H1841" s="359" t="s">
        <v>490</v>
      </c>
      <c r="I1841" s="361">
        <v>1.3934737032970993E-3</v>
      </c>
      <c r="J1841" s="359" t="s">
        <v>1322</v>
      </c>
      <c r="K1841" s="359" t="s">
        <v>1277</v>
      </c>
      <c r="M1841" t="str">
        <f t="shared" si="29"/>
        <v>Solids, total suspended</v>
      </c>
    </row>
    <row r="1842" spans="1:13" x14ac:dyDescent="0.25">
      <c r="A1842" s="359" t="s">
        <v>1958</v>
      </c>
      <c r="B1842" s="359" t="s">
        <v>831</v>
      </c>
      <c r="C1842" s="359" t="s">
        <v>1322</v>
      </c>
      <c r="D1842" s="359" t="s">
        <v>490</v>
      </c>
      <c r="E1842" s="361">
        <v>23435.374149700001</v>
      </c>
      <c r="F1842" s="359" t="s">
        <v>1412</v>
      </c>
      <c r="G1842" s="361">
        <v>4.0310145828453861E-6</v>
      </c>
      <c r="H1842" s="359" t="s">
        <v>490</v>
      </c>
      <c r="I1842" s="361">
        <v>2.5881735603254383E-4</v>
      </c>
      <c r="J1842" s="359" t="s">
        <v>1322</v>
      </c>
      <c r="K1842" s="359" t="s">
        <v>1277</v>
      </c>
      <c r="M1842" t="str">
        <f t="shared" si="29"/>
        <v>Solids, total suspended</v>
      </c>
    </row>
    <row r="1843" spans="1:13" x14ac:dyDescent="0.25">
      <c r="A1843" s="359" t="s">
        <v>1958</v>
      </c>
      <c r="B1843" s="359" t="s">
        <v>831</v>
      </c>
      <c r="C1843" s="359" t="s">
        <v>1392</v>
      </c>
      <c r="D1843" s="359" t="s">
        <v>1393</v>
      </c>
      <c r="E1843" s="360"/>
      <c r="F1843" s="359" t="s">
        <v>1412</v>
      </c>
      <c r="G1843" s="361">
        <v>4.0310145828453861E-6</v>
      </c>
      <c r="H1843" s="359" t="s">
        <v>1333</v>
      </c>
      <c r="I1843" s="361">
        <v>6.6738652033863997E-4</v>
      </c>
      <c r="J1843" s="359" t="s">
        <v>1392</v>
      </c>
      <c r="K1843" s="359" t="s">
        <v>1272</v>
      </c>
      <c r="M1843" t="str">
        <f t="shared" si="29"/>
        <v>STYRENE</v>
      </c>
    </row>
    <row r="1844" spans="1:13" x14ac:dyDescent="0.25">
      <c r="A1844" s="359" t="s">
        <v>1958</v>
      </c>
      <c r="B1844" s="359" t="s">
        <v>831</v>
      </c>
      <c r="C1844" s="359" t="s">
        <v>1323</v>
      </c>
      <c r="D1844" s="359" t="s">
        <v>1324</v>
      </c>
      <c r="E1844" s="361">
        <v>38.458049886600001</v>
      </c>
      <c r="F1844" s="359" t="s">
        <v>1412</v>
      </c>
      <c r="G1844" s="361">
        <v>4.0310145828453861E-6</v>
      </c>
      <c r="H1844" s="359" t="s">
        <v>490</v>
      </c>
      <c r="I1844" s="361">
        <v>4.2472591759090403E-7</v>
      </c>
      <c r="J1844" s="359" t="s">
        <v>1323</v>
      </c>
      <c r="K1844" s="359" t="s">
        <v>1277</v>
      </c>
      <c r="M1844" t="str">
        <f t="shared" si="29"/>
        <v>Sulfide, total (as S)</v>
      </c>
    </row>
    <row r="1845" spans="1:13" x14ac:dyDescent="0.25">
      <c r="A1845" s="359" t="s">
        <v>1957</v>
      </c>
      <c r="B1845" s="359" t="s">
        <v>831</v>
      </c>
      <c r="C1845" s="359" t="s">
        <v>1323</v>
      </c>
      <c r="D1845" s="359" t="s">
        <v>1324</v>
      </c>
      <c r="E1845" s="361">
        <v>112.128633271</v>
      </c>
      <c r="F1845" s="359" t="s">
        <v>1333</v>
      </c>
      <c r="G1845" s="361">
        <v>1.2994718063119994E-5</v>
      </c>
      <c r="H1845" s="359" t="s">
        <v>490</v>
      </c>
      <c r="I1845" s="361">
        <v>3.9919999346838936E-6</v>
      </c>
      <c r="J1845" s="359" t="s">
        <v>1323</v>
      </c>
      <c r="K1845" s="359" t="s">
        <v>1277</v>
      </c>
      <c r="M1845" t="str">
        <f t="shared" si="29"/>
        <v>Sulfide, total (as S)</v>
      </c>
    </row>
    <row r="1846" spans="1:13" x14ac:dyDescent="0.25">
      <c r="A1846" s="359" t="s">
        <v>1957</v>
      </c>
      <c r="B1846" s="359" t="s">
        <v>831</v>
      </c>
      <c r="C1846" s="359" t="s">
        <v>1325</v>
      </c>
      <c r="D1846" s="359" t="s">
        <v>1326</v>
      </c>
      <c r="E1846" s="360"/>
      <c r="F1846" s="359" t="s">
        <v>1333</v>
      </c>
      <c r="G1846" s="361">
        <v>1.2994718063119994E-5</v>
      </c>
      <c r="H1846" s="359" t="s">
        <v>1473</v>
      </c>
      <c r="I1846" s="361">
        <v>6.4543301638013218E-3</v>
      </c>
      <c r="J1846" s="359" t="s">
        <v>1325</v>
      </c>
      <c r="K1846" s="359" t="s">
        <v>1272</v>
      </c>
      <c r="M1846" t="str">
        <f t="shared" si="29"/>
        <v>TOLUENE</v>
      </c>
    </row>
    <row r="1847" spans="1:13" x14ac:dyDescent="0.25">
      <c r="A1847" s="359" t="s">
        <v>1958</v>
      </c>
      <c r="B1847" s="359" t="s">
        <v>831</v>
      </c>
      <c r="C1847" s="359" t="s">
        <v>1325</v>
      </c>
      <c r="D1847" s="359" t="s">
        <v>1326</v>
      </c>
      <c r="E1847" s="360"/>
      <c r="F1847" s="359" t="s">
        <v>1412</v>
      </c>
      <c r="G1847" s="361">
        <v>4.0310145828453861E-6</v>
      </c>
      <c r="H1847" s="359" t="s">
        <v>1333</v>
      </c>
      <c r="I1847" s="361">
        <v>6.6738652033863997E-4</v>
      </c>
      <c r="J1847" s="359" t="s">
        <v>1325</v>
      </c>
      <c r="K1847" s="359" t="s">
        <v>1272</v>
      </c>
      <c r="M1847" t="str">
        <f t="shared" si="29"/>
        <v>TOLUENE</v>
      </c>
    </row>
    <row r="1848" spans="1:13" x14ac:dyDescent="0.25">
      <c r="A1848" s="359" t="s">
        <v>1958</v>
      </c>
      <c r="B1848" s="359" t="s">
        <v>831</v>
      </c>
      <c r="C1848" s="359" t="s">
        <v>1495</v>
      </c>
      <c r="D1848" s="359" t="s">
        <v>1465</v>
      </c>
      <c r="E1848" s="360"/>
      <c r="F1848" s="359" t="s">
        <v>1412</v>
      </c>
      <c r="G1848" s="361">
        <v>4.0310145828453861E-6</v>
      </c>
      <c r="H1848" s="359" t="s">
        <v>1964</v>
      </c>
      <c r="I1848" s="361">
        <v>0.25093733164732862</v>
      </c>
      <c r="J1848" s="359" t="s">
        <v>1495</v>
      </c>
      <c r="K1848" s="359" t="s">
        <v>1272</v>
      </c>
      <c r="M1848" t="str">
        <f t="shared" si="29"/>
        <v>VANADIUM AND VANADIUM COMPOUNDS</v>
      </c>
    </row>
    <row r="1849" spans="1:13" x14ac:dyDescent="0.25">
      <c r="A1849" s="359" t="s">
        <v>1957</v>
      </c>
      <c r="B1849" s="359" t="s">
        <v>831</v>
      </c>
      <c r="C1849" s="359" t="s">
        <v>1327</v>
      </c>
      <c r="D1849" s="359" t="s">
        <v>1328</v>
      </c>
      <c r="E1849" s="360"/>
      <c r="F1849" s="359" t="s">
        <v>1333</v>
      </c>
      <c r="G1849" s="361">
        <v>1.2994718063119994E-5</v>
      </c>
      <c r="H1849" s="359" t="s">
        <v>1890</v>
      </c>
      <c r="I1849" s="361">
        <v>7.7451961965615851E-2</v>
      </c>
      <c r="J1849" s="359" t="s">
        <v>1329</v>
      </c>
      <c r="K1849" s="359" t="s">
        <v>1272</v>
      </c>
      <c r="M1849" t="str">
        <f t="shared" si="29"/>
        <v>XYLENES</v>
      </c>
    </row>
    <row r="1850" spans="1:13" x14ac:dyDescent="0.25">
      <c r="A1850" s="359" t="s">
        <v>1958</v>
      </c>
      <c r="B1850" s="359" t="s">
        <v>831</v>
      </c>
      <c r="C1850" s="359" t="s">
        <v>1327</v>
      </c>
      <c r="D1850" s="359" t="s">
        <v>1328</v>
      </c>
      <c r="E1850" s="360"/>
      <c r="F1850" s="359" t="s">
        <v>1412</v>
      </c>
      <c r="G1850" s="361">
        <v>4.0310145828453861E-6</v>
      </c>
      <c r="H1850" s="359" t="s">
        <v>1270</v>
      </c>
      <c r="I1850" s="361">
        <v>1.3347730406772799E-3</v>
      </c>
      <c r="J1850" s="359" t="s">
        <v>1329</v>
      </c>
      <c r="K1850" s="359" t="s">
        <v>1272</v>
      </c>
      <c r="M1850" t="str">
        <f t="shared" si="29"/>
        <v>XYLENES</v>
      </c>
    </row>
    <row r="1851" spans="1:13" x14ac:dyDescent="0.25">
      <c r="A1851" s="359" t="s">
        <v>1957</v>
      </c>
      <c r="B1851" s="359" t="s">
        <v>831</v>
      </c>
      <c r="C1851" s="359" t="s">
        <v>1342</v>
      </c>
      <c r="D1851" s="359" t="s">
        <v>1343</v>
      </c>
      <c r="E1851" s="360"/>
      <c r="F1851" s="359" t="s">
        <v>1333</v>
      </c>
      <c r="G1851" s="361">
        <v>1.2994718063119994E-5</v>
      </c>
      <c r="H1851" s="359" t="s">
        <v>1286</v>
      </c>
      <c r="I1851" s="361">
        <v>0</v>
      </c>
      <c r="J1851" s="359" t="s">
        <v>1342</v>
      </c>
      <c r="K1851" s="359" t="s">
        <v>1272</v>
      </c>
      <c r="M1851" t="str">
        <f t="shared" si="29"/>
        <v>ZINC AND ZINC COMPOUNDS</v>
      </c>
    </row>
    <row r="1852" spans="1:13" x14ac:dyDescent="0.25">
      <c r="A1852" s="359" t="s">
        <v>1965</v>
      </c>
      <c r="B1852" s="359" t="s">
        <v>862</v>
      </c>
      <c r="C1852" s="359" t="s">
        <v>1273</v>
      </c>
      <c r="D1852" s="359" t="s">
        <v>1274</v>
      </c>
      <c r="E1852" s="360"/>
      <c r="F1852" s="359" t="s">
        <v>1270</v>
      </c>
      <c r="G1852" s="361">
        <v>9.8759857279711965E-6</v>
      </c>
      <c r="H1852" s="359" t="s">
        <v>1333</v>
      </c>
      <c r="I1852" s="361">
        <v>1.6350969748296683E-3</v>
      </c>
      <c r="J1852" s="359" t="s">
        <v>1273</v>
      </c>
      <c r="K1852" s="359" t="s">
        <v>1272</v>
      </c>
      <c r="M1852" t="str">
        <f t="shared" si="29"/>
        <v>BENZENE</v>
      </c>
    </row>
    <row r="1853" spans="1:13" x14ac:dyDescent="0.25">
      <c r="A1853" s="359" t="s">
        <v>1965</v>
      </c>
      <c r="B1853" s="359" t="s">
        <v>862</v>
      </c>
      <c r="C1853" s="359" t="s">
        <v>1354</v>
      </c>
      <c r="D1853" s="359" t="s">
        <v>490</v>
      </c>
      <c r="E1853" s="361">
        <v>426.76190476199997</v>
      </c>
      <c r="F1853" s="359" t="s">
        <v>1270</v>
      </c>
      <c r="G1853" s="361">
        <v>9.8759857279711965E-6</v>
      </c>
      <c r="H1853" s="359" t="s">
        <v>490</v>
      </c>
      <c r="I1853" s="361">
        <v>1.1547108166222781E-5</v>
      </c>
      <c r="J1853" s="359" t="s">
        <v>1354</v>
      </c>
      <c r="K1853" s="359" t="s">
        <v>1277</v>
      </c>
      <c r="M1853" t="str">
        <f t="shared" si="29"/>
        <v>BOD, carbonaceous, 05 day, 20 C</v>
      </c>
    </row>
    <row r="1854" spans="1:13" x14ac:dyDescent="0.25">
      <c r="A1854" s="359" t="s">
        <v>1965</v>
      </c>
      <c r="B1854" s="359" t="s">
        <v>862</v>
      </c>
      <c r="C1854" s="359" t="s">
        <v>1476</v>
      </c>
      <c r="D1854" s="359" t="s">
        <v>1477</v>
      </c>
      <c r="E1854" s="361">
        <v>153552.462585</v>
      </c>
      <c r="F1854" s="359" t="s">
        <v>1270</v>
      </c>
      <c r="G1854" s="361">
        <v>9.8759857279711965E-6</v>
      </c>
      <c r="H1854" s="359" t="s">
        <v>490</v>
      </c>
      <c r="I1854" s="361">
        <v>4.1547450109158659E-3</v>
      </c>
      <c r="J1854" s="359" t="s">
        <v>1476</v>
      </c>
      <c r="K1854" s="359" t="s">
        <v>1277</v>
      </c>
      <c r="M1854" t="str">
        <f t="shared" si="29"/>
        <v>Chloride (as Cl)</v>
      </c>
    </row>
    <row r="1855" spans="1:13" x14ac:dyDescent="0.25">
      <c r="A1855" s="359" t="s">
        <v>1965</v>
      </c>
      <c r="B1855" s="359" t="s">
        <v>862</v>
      </c>
      <c r="C1855" s="359" t="s">
        <v>1280</v>
      </c>
      <c r="D1855" s="359" t="s">
        <v>1281</v>
      </c>
      <c r="E1855" s="361">
        <v>2.2208616779999999</v>
      </c>
      <c r="F1855" s="359" t="s">
        <v>1270</v>
      </c>
      <c r="G1855" s="361">
        <v>9.8759857279711965E-6</v>
      </c>
      <c r="H1855" s="359" t="s">
        <v>490</v>
      </c>
      <c r="I1855" s="361">
        <v>6.0090954070482641E-8</v>
      </c>
      <c r="J1855" s="359" t="s">
        <v>1280</v>
      </c>
      <c r="K1855" s="359" t="s">
        <v>1277</v>
      </c>
      <c r="M1855" t="str">
        <f t="shared" si="29"/>
        <v>Chromium, hexavalent (as Cr)</v>
      </c>
    </row>
    <row r="1856" spans="1:13" x14ac:dyDescent="0.25">
      <c r="A1856" s="359" t="s">
        <v>1965</v>
      </c>
      <c r="B1856" s="359" t="s">
        <v>862</v>
      </c>
      <c r="C1856" s="359" t="s">
        <v>1282</v>
      </c>
      <c r="D1856" s="359" t="s">
        <v>1283</v>
      </c>
      <c r="E1856" s="361">
        <v>3.5464852607699999</v>
      </c>
      <c r="F1856" s="359" t="s">
        <v>1270</v>
      </c>
      <c r="G1856" s="361">
        <v>9.8759857279711965E-6</v>
      </c>
      <c r="H1856" s="359" t="s">
        <v>490</v>
      </c>
      <c r="I1856" s="361">
        <v>9.5959007725547199E-8</v>
      </c>
      <c r="J1856" s="359" t="s">
        <v>1282</v>
      </c>
      <c r="K1856" s="359" t="s">
        <v>1277</v>
      </c>
      <c r="M1856" t="str">
        <f t="shared" si="29"/>
        <v>Chromium, total (as Cr)</v>
      </c>
    </row>
    <row r="1857" spans="1:13" x14ac:dyDescent="0.25">
      <c r="A1857" s="359" t="s">
        <v>1965</v>
      </c>
      <c r="B1857" s="359" t="s">
        <v>862</v>
      </c>
      <c r="C1857" s="359" t="s">
        <v>1467</v>
      </c>
      <c r="D1857" s="359" t="s">
        <v>1441</v>
      </c>
      <c r="E1857" s="361">
        <v>5.7370768780399999</v>
      </c>
      <c r="F1857" s="359" t="s">
        <v>1270</v>
      </c>
      <c r="G1857" s="361">
        <v>9.8759857279711965E-6</v>
      </c>
      <c r="H1857" s="359" t="s">
        <v>490</v>
      </c>
      <c r="I1857" s="361">
        <v>1.5523092977478517E-7</v>
      </c>
      <c r="J1857" s="359" t="s">
        <v>1467</v>
      </c>
      <c r="K1857" s="359" t="s">
        <v>1277</v>
      </c>
      <c r="M1857" t="str">
        <f t="shared" si="29"/>
        <v>Copper, total (as Cu)</v>
      </c>
    </row>
    <row r="1858" spans="1:13" x14ac:dyDescent="0.25">
      <c r="A1858" s="359" t="s">
        <v>1965</v>
      </c>
      <c r="B1858" s="359" t="s">
        <v>862</v>
      </c>
      <c r="C1858" s="359" t="s">
        <v>1295</v>
      </c>
      <c r="D1858" s="359" t="s">
        <v>1296</v>
      </c>
      <c r="E1858" s="360"/>
      <c r="F1858" s="359" t="s">
        <v>1270</v>
      </c>
      <c r="G1858" s="361">
        <v>9.8759857279711965E-6</v>
      </c>
      <c r="H1858" s="359" t="s">
        <v>1286</v>
      </c>
      <c r="I1858" s="361">
        <v>0</v>
      </c>
      <c r="J1858" s="359" t="s">
        <v>1295</v>
      </c>
      <c r="K1858" s="359" t="s">
        <v>1272</v>
      </c>
      <c r="M1858" t="str">
        <f t="shared" si="29"/>
        <v>ETHYLBENZENE</v>
      </c>
    </row>
    <row r="1859" spans="1:13" x14ac:dyDescent="0.25">
      <c r="A1859" s="359" t="s">
        <v>1965</v>
      </c>
      <c r="B1859" s="359" t="s">
        <v>862</v>
      </c>
      <c r="C1859" s="359" t="s">
        <v>1297</v>
      </c>
      <c r="D1859" s="359" t="s">
        <v>1298</v>
      </c>
      <c r="E1859" s="360"/>
      <c r="F1859" s="359" t="s">
        <v>1270</v>
      </c>
      <c r="G1859" s="361">
        <v>9.8759857279711965E-6</v>
      </c>
      <c r="H1859" s="359" t="s">
        <v>1333</v>
      </c>
      <c r="I1859" s="361">
        <v>1.6350969748296683E-3</v>
      </c>
      <c r="J1859" s="359" t="s">
        <v>1297</v>
      </c>
      <c r="K1859" s="359" t="s">
        <v>1272</v>
      </c>
      <c r="M1859" t="str">
        <f t="shared" si="29"/>
        <v>LEAD AND LEAD COMPOUNDS</v>
      </c>
    </row>
    <row r="1860" spans="1:13" x14ac:dyDescent="0.25">
      <c r="A1860" s="359" t="s">
        <v>1965</v>
      </c>
      <c r="B1860" s="359" t="s">
        <v>862</v>
      </c>
      <c r="C1860" s="359" t="s">
        <v>1300</v>
      </c>
      <c r="D1860" s="359" t="s">
        <v>1301</v>
      </c>
      <c r="E1860" s="360"/>
      <c r="F1860" s="359" t="s">
        <v>1270</v>
      </c>
      <c r="G1860" s="361">
        <v>9.8759857279711965E-6</v>
      </c>
      <c r="H1860" s="359" t="s">
        <v>1299</v>
      </c>
      <c r="I1860" s="361">
        <v>1.6350969748296683E-4</v>
      </c>
      <c r="J1860" s="359" t="s">
        <v>1300</v>
      </c>
      <c r="K1860" s="359" t="s">
        <v>1272</v>
      </c>
      <c r="M1860" t="str">
        <f t="shared" si="29"/>
        <v>MERCURY AND MERCURY COMPOUNDS</v>
      </c>
    </row>
    <row r="1861" spans="1:13" x14ac:dyDescent="0.25">
      <c r="A1861" s="359" t="s">
        <v>1965</v>
      </c>
      <c r="B1861" s="359" t="s">
        <v>862</v>
      </c>
      <c r="C1861" s="359" t="s">
        <v>1468</v>
      </c>
      <c r="D1861" s="359" t="s">
        <v>1459</v>
      </c>
      <c r="E1861" s="361">
        <v>0</v>
      </c>
      <c r="F1861" s="359" t="s">
        <v>1270</v>
      </c>
      <c r="G1861" s="361">
        <v>9.8759857279711965E-6</v>
      </c>
      <c r="H1861" s="359" t="s">
        <v>490</v>
      </c>
      <c r="I1861" s="361">
        <v>0</v>
      </c>
      <c r="J1861" s="359" t="s">
        <v>1468</v>
      </c>
      <c r="K1861" s="359" t="s">
        <v>1277</v>
      </c>
      <c r="M1861" t="str">
        <f t="shared" si="29"/>
        <v>Mercury, total (as Hg)</v>
      </c>
    </row>
    <row r="1862" spans="1:13" x14ac:dyDescent="0.25">
      <c r="A1862" s="359" t="s">
        <v>1965</v>
      </c>
      <c r="B1862" s="359" t="s">
        <v>862</v>
      </c>
      <c r="C1862" s="359" t="s">
        <v>1384</v>
      </c>
      <c r="D1862" s="359" t="s">
        <v>1385</v>
      </c>
      <c r="E1862" s="360"/>
      <c r="F1862" s="359" t="s">
        <v>1270</v>
      </c>
      <c r="G1862" s="361">
        <v>9.8759857279711965E-6</v>
      </c>
      <c r="H1862" s="359" t="s">
        <v>1580</v>
      </c>
      <c r="I1862" s="361">
        <v>3.2701939496593363E-2</v>
      </c>
      <c r="J1862" s="359" t="s">
        <v>1384</v>
      </c>
      <c r="K1862" s="359" t="s">
        <v>1272</v>
      </c>
      <c r="M1862" t="str">
        <f t="shared" ref="M1862:M1925" si="30">IF(J1862="",C1862,J1862)</f>
        <v>NICKEL AND NICKEL COMPOUNDS</v>
      </c>
    </row>
    <row r="1863" spans="1:13" x14ac:dyDescent="0.25">
      <c r="A1863" s="359" t="s">
        <v>1965</v>
      </c>
      <c r="B1863" s="359" t="s">
        <v>862</v>
      </c>
      <c r="C1863" s="359" t="s">
        <v>1307</v>
      </c>
      <c r="D1863" s="359" t="s">
        <v>1308</v>
      </c>
      <c r="E1863" s="360"/>
      <c r="F1863" s="359" t="s">
        <v>1270</v>
      </c>
      <c r="G1863" s="361">
        <v>9.8759857279711965E-6</v>
      </c>
      <c r="H1863" s="359" t="s">
        <v>1966</v>
      </c>
      <c r="I1863" s="361">
        <v>9.6372615696460642</v>
      </c>
      <c r="J1863" s="359" t="s">
        <v>1310</v>
      </c>
      <c r="K1863" s="359" t="s">
        <v>1272</v>
      </c>
      <c r="M1863" t="str">
        <f t="shared" si="30"/>
        <v>NITRATE</v>
      </c>
    </row>
    <row r="1864" spans="1:13" x14ac:dyDescent="0.25">
      <c r="A1864" s="359" t="s">
        <v>1965</v>
      </c>
      <c r="B1864" s="359" t="s">
        <v>862</v>
      </c>
      <c r="C1864" s="359" t="s">
        <v>1311</v>
      </c>
      <c r="D1864" s="359" t="s">
        <v>1312</v>
      </c>
      <c r="E1864" s="361">
        <v>50.408163265299997</v>
      </c>
      <c r="F1864" s="359" t="s">
        <v>1270</v>
      </c>
      <c r="G1864" s="361">
        <v>9.8759857279711965E-6</v>
      </c>
      <c r="H1864" s="359" t="s">
        <v>490</v>
      </c>
      <c r="I1864" s="361">
        <v>1.363918632825602E-6</v>
      </c>
      <c r="J1864" s="359" t="s">
        <v>1313</v>
      </c>
      <c r="K1864" s="359" t="s">
        <v>1277</v>
      </c>
      <c r="M1864" t="str">
        <f t="shared" si="30"/>
        <v>AMMONIA</v>
      </c>
    </row>
    <row r="1865" spans="1:13" x14ac:dyDescent="0.25">
      <c r="A1865" s="359" t="s">
        <v>1965</v>
      </c>
      <c r="B1865" s="359" t="s">
        <v>862</v>
      </c>
      <c r="C1865" s="359" t="s">
        <v>1341</v>
      </c>
      <c r="D1865" s="359" t="s">
        <v>490</v>
      </c>
      <c r="E1865" s="361">
        <v>388.802721088</v>
      </c>
      <c r="F1865" s="359" t="s">
        <v>1270</v>
      </c>
      <c r="G1865" s="361">
        <v>9.8759857279711965E-6</v>
      </c>
      <c r="H1865" s="359" t="s">
        <v>490</v>
      </c>
      <c r="I1865" s="361">
        <v>1.0520027738250559E-5</v>
      </c>
      <c r="J1865" s="359" t="s">
        <v>1341</v>
      </c>
      <c r="K1865" s="359" t="s">
        <v>1277</v>
      </c>
      <c r="M1865" t="str">
        <f t="shared" si="30"/>
        <v>Oil &amp; grease</v>
      </c>
    </row>
    <row r="1866" spans="1:13" x14ac:dyDescent="0.25">
      <c r="A1866" s="359" t="s">
        <v>1965</v>
      </c>
      <c r="B1866" s="359" t="s">
        <v>862</v>
      </c>
      <c r="C1866" s="359" t="s">
        <v>1457</v>
      </c>
      <c r="D1866" s="359" t="s">
        <v>490</v>
      </c>
      <c r="E1866" s="361">
        <v>7632.3809523800001</v>
      </c>
      <c r="F1866" s="359" t="s">
        <v>1270</v>
      </c>
      <c r="G1866" s="361">
        <v>9.8759857279711965E-6</v>
      </c>
      <c r="H1866" s="359" t="s">
        <v>490</v>
      </c>
      <c r="I1866" s="361">
        <v>2.0651311056477833E-4</v>
      </c>
      <c r="J1866" s="359" t="s">
        <v>1457</v>
      </c>
      <c r="K1866" s="359" t="s">
        <v>1277</v>
      </c>
      <c r="M1866" t="str">
        <f t="shared" si="30"/>
        <v>Chemical Oxygen Demand (COD)</v>
      </c>
    </row>
    <row r="1867" spans="1:13" x14ac:dyDescent="0.25">
      <c r="A1867" s="359" t="s">
        <v>1965</v>
      </c>
      <c r="B1867" s="359" t="s">
        <v>862</v>
      </c>
      <c r="C1867" s="359" t="s">
        <v>1480</v>
      </c>
      <c r="D1867" s="359" t="s">
        <v>1481</v>
      </c>
      <c r="E1867" s="361">
        <v>1187.75124673</v>
      </c>
      <c r="F1867" s="359" t="s">
        <v>1270</v>
      </c>
      <c r="G1867" s="361">
        <v>9.8759857279711965E-6</v>
      </c>
      <c r="H1867" s="359" t="s">
        <v>490</v>
      </c>
      <c r="I1867" s="361">
        <v>3.2137573592015005E-5</v>
      </c>
      <c r="J1867" s="359" t="s">
        <v>1480</v>
      </c>
      <c r="K1867" s="359" t="s">
        <v>1277</v>
      </c>
      <c r="M1867" t="str">
        <f t="shared" si="30"/>
        <v>Oxygen, dissolved (DO)</v>
      </c>
    </row>
    <row r="1868" spans="1:13" x14ac:dyDescent="0.25">
      <c r="A1868" s="359" t="s">
        <v>1965</v>
      </c>
      <c r="B1868" s="359" t="s">
        <v>862</v>
      </c>
      <c r="C1868" s="359" t="s">
        <v>1482</v>
      </c>
      <c r="D1868" s="359" t="s">
        <v>490</v>
      </c>
      <c r="E1868" s="361">
        <v>1.0884353741499999</v>
      </c>
      <c r="F1868" s="359" t="s">
        <v>1270</v>
      </c>
      <c r="G1868" s="361">
        <v>9.8759857279711965E-6</v>
      </c>
      <c r="H1868" s="359" t="s">
        <v>490</v>
      </c>
      <c r="I1868" s="361">
        <v>2.9450334851847641E-8</v>
      </c>
      <c r="J1868" s="359" t="s">
        <v>1482</v>
      </c>
      <c r="K1868" s="359" t="s">
        <v>1277</v>
      </c>
      <c r="M1868" t="str">
        <f t="shared" si="30"/>
        <v>Phenols</v>
      </c>
    </row>
    <row r="1869" spans="1:13" x14ac:dyDescent="0.25">
      <c r="A1869" s="359" t="s">
        <v>1965</v>
      </c>
      <c r="B1869" s="359" t="s">
        <v>862</v>
      </c>
      <c r="C1869" s="359" t="s">
        <v>1432</v>
      </c>
      <c r="D1869" s="359" t="s">
        <v>1427</v>
      </c>
      <c r="E1869" s="361">
        <v>2.44798217041</v>
      </c>
      <c r="F1869" s="359" t="s">
        <v>1270</v>
      </c>
      <c r="G1869" s="361">
        <v>9.8759857279711965E-6</v>
      </c>
      <c r="H1869" s="359" t="s">
        <v>490</v>
      </c>
      <c r="I1869" s="361">
        <v>6.6236265691224976E-8</v>
      </c>
      <c r="J1869" s="359" t="s">
        <v>1432</v>
      </c>
      <c r="K1869" s="359" t="s">
        <v>1277</v>
      </c>
      <c r="M1869" t="str">
        <f t="shared" si="30"/>
        <v>Selenium, total (as Se)</v>
      </c>
    </row>
    <row r="1870" spans="1:13" x14ac:dyDescent="0.25">
      <c r="A1870" s="359" t="s">
        <v>1965</v>
      </c>
      <c r="B1870" s="359" t="s">
        <v>862</v>
      </c>
      <c r="C1870" s="359" t="s">
        <v>1433</v>
      </c>
      <c r="D1870" s="359" t="s">
        <v>1434</v>
      </c>
      <c r="E1870" s="361">
        <v>0.30997950912</v>
      </c>
      <c r="F1870" s="359" t="s">
        <v>1270</v>
      </c>
      <c r="G1870" s="361">
        <v>9.8759857279711965E-6</v>
      </c>
      <c r="H1870" s="359" t="s">
        <v>490</v>
      </c>
      <c r="I1870" s="361">
        <v>8.3872690631031165E-9</v>
      </c>
      <c r="J1870" s="359" t="s">
        <v>1433</v>
      </c>
      <c r="K1870" s="359" t="s">
        <v>1277</v>
      </c>
      <c r="M1870" t="str">
        <f t="shared" si="30"/>
        <v>Silver, total (as Ag)</v>
      </c>
    </row>
    <row r="1871" spans="1:13" x14ac:dyDescent="0.25">
      <c r="A1871" s="359" t="s">
        <v>1965</v>
      </c>
      <c r="B1871" s="359" t="s">
        <v>862</v>
      </c>
      <c r="C1871" s="359" t="s">
        <v>1605</v>
      </c>
      <c r="D1871" s="359" t="s">
        <v>490</v>
      </c>
      <c r="E1871" s="361">
        <v>545893.03854900005</v>
      </c>
      <c r="F1871" s="359" t="s">
        <v>1270</v>
      </c>
      <c r="G1871" s="361">
        <v>9.8759857279711965E-6</v>
      </c>
      <c r="H1871" s="359" t="s">
        <v>490</v>
      </c>
      <c r="I1871" s="361">
        <v>1.4770498240297959E-2</v>
      </c>
      <c r="J1871" s="359" t="s">
        <v>1605</v>
      </c>
      <c r="K1871" s="359" t="s">
        <v>1277</v>
      </c>
      <c r="M1871" t="str">
        <f t="shared" si="30"/>
        <v>Solids, total dissolved</v>
      </c>
    </row>
    <row r="1872" spans="1:13" x14ac:dyDescent="0.25">
      <c r="A1872" s="359" t="s">
        <v>1965</v>
      </c>
      <c r="B1872" s="359" t="s">
        <v>862</v>
      </c>
      <c r="C1872" s="359" t="s">
        <v>1322</v>
      </c>
      <c r="D1872" s="359" t="s">
        <v>490</v>
      </c>
      <c r="E1872" s="361">
        <v>839.67346938799994</v>
      </c>
      <c r="F1872" s="359" t="s">
        <v>1270</v>
      </c>
      <c r="G1872" s="361">
        <v>9.8759857279711965E-6</v>
      </c>
      <c r="H1872" s="359" t="s">
        <v>490</v>
      </c>
      <c r="I1872" s="361">
        <v>2.2719460821457389E-5</v>
      </c>
      <c r="J1872" s="359" t="s">
        <v>1322</v>
      </c>
      <c r="K1872" s="359" t="s">
        <v>1277</v>
      </c>
      <c r="M1872" t="str">
        <f t="shared" si="30"/>
        <v>Solids, total suspended</v>
      </c>
    </row>
    <row r="1873" spans="1:13" x14ac:dyDescent="0.25">
      <c r="A1873" s="359" t="s">
        <v>1965</v>
      </c>
      <c r="B1873" s="359" t="s">
        <v>862</v>
      </c>
      <c r="C1873" s="359" t="s">
        <v>1323</v>
      </c>
      <c r="D1873" s="359" t="s">
        <v>1324</v>
      </c>
      <c r="E1873" s="361">
        <v>2.1065759637200001</v>
      </c>
      <c r="F1873" s="359" t="s">
        <v>1270</v>
      </c>
      <c r="G1873" s="361">
        <v>9.8759857279711965E-6</v>
      </c>
      <c r="H1873" s="359" t="s">
        <v>490</v>
      </c>
      <c r="I1873" s="361">
        <v>5.6998668911194224E-8</v>
      </c>
      <c r="J1873" s="359" t="s">
        <v>1323</v>
      </c>
      <c r="K1873" s="359" t="s">
        <v>1277</v>
      </c>
      <c r="M1873" t="str">
        <f t="shared" si="30"/>
        <v>Sulfide, total (as S)</v>
      </c>
    </row>
    <row r="1874" spans="1:13" x14ac:dyDescent="0.25">
      <c r="A1874" s="359" t="s">
        <v>1965</v>
      </c>
      <c r="B1874" s="359" t="s">
        <v>862</v>
      </c>
      <c r="C1874" s="359" t="s">
        <v>1325</v>
      </c>
      <c r="D1874" s="359" t="s">
        <v>1326</v>
      </c>
      <c r="E1874" s="360"/>
      <c r="F1874" s="359" t="s">
        <v>1270</v>
      </c>
      <c r="G1874" s="361">
        <v>9.8759857279711965E-6</v>
      </c>
      <c r="H1874" s="359" t="s">
        <v>1286</v>
      </c>
      <c r="I1874" s="361">
        <v>0</v>
      </c>
      <c r="J1874" s="359" t="s">
        <v>1325</v>
      </c>
      <c r="K1874" s="359" t="s">
        <v>1272</v>
      </c>
      <c r="M1874" t="str">
        <f t="shared" si="30"/>
        <v>TOLUENE</v>
      </c>
    </row>
    <row r="1875" spans="1:13" x14ac:dyDescent="0.25">
      <c r="A1875" s="359" t="s">
        <v>1965</v>
      </c>
      <c r="B1875" s="359" t="s">
        <v>862</v>
      </c>
      <c r="C1875" s="359" t="s">
        <v>1327</v>
      </c>
      <c r="D1875" s="359" t="s">
        <v>1328</v>
      </c>
      <c r="E1875" s="360"/>
      <c r="F1875" s="359" t="s">
        <v>1270</v>
      </c>
      <c r="G1875" s="361">
        <v>9.8759857279711965E-6</v>
      </c>
      <c r="H1875" s="359" t="s">
        <v>1286</v>
      </c>
      <c r="I1875" s="361">
        <v>0</v>
      </c>
      <c r="J1875" s="359" t="s">
        <v>1329</v>
      </c>
      <c r="K1875" s="359" t="s">
        <v>1272</v>
      </c>
      <c r="M1875" t="str">
        <f t="shared" si="30"/>
        <v>XYLENES</v>
      </c>
    </row>
    <row r="1876" spans="1:13" x14ac:dyDescent="0.25">
      <c r="A1876" s="359" t="s">
        <v>1965</v>
      </c>
      <c r="B1876" s="359" t="s">
        <v>862</v>
      </c>
      <c r="C1876" s="359" t="s">
        <v>1611</v>
      </c>
      <c r="D1876" s="359" t="s">
        <v>1343</v>
      </c>
      <c r="E1876" s="361">
        <v>1.8773696145100001</v>
      </c>
      <c r="F1876" s="359" t="s">
        <v>1270</v>
      </c>
      <c r="G1876" s="361">
        <v>9.8759857279711965E-6</v>
      </c>
      <c r="H1876" s="359" t="s">
        <v>490</v>
      </c>
      <c r="I1876" s="361">
        <v>5.0796919230212463E-8</v>
      </c>
      <c r="J1876" s="359" t="s">
        <v>1611</v>
      </c>
      <c r="K1876" s="359" t="s">
        <v>1277</v>
      </c>
      <c r="M1876" t="str">
        <f t="shared" si="30"/>
        <v>Zinc, total (as Zn)</v>
      </c>
    </row>
    <row r="1877" spans="1:13" x14ac:dyDescent="0.25">
      <c r="A1877" s="359" t="s">
        <v>490</v>
      </c>
      <c r="B1877" s="359" t="s">
        <v>1236</v>
      </c>
      <c r="C1877" s="359" t="s">
        <v>1268</v>
      </c>
      <c r="D1877" s="359" t="s">
        <v>1269</v>
      </c>
      <c r="E1877" s="360"/>
      <c r="F1877" s="359" t="s">
        <v>1333</v>
      </c>
      <c r="G1877" s="361">
        <v>7.815632801997311E-6</v>
      </c>
      <c r="H1877" s="359" t="s">
        <v>1346</v>
      </c>
      <c r="I1877" s="361">
        <v>4.8563668257760613E-8</v>
      </c>
      <c r="J1877" s="359" t="s">
        <v>1268</v>
      </c>
      <c r="K1877" s="359" t="s">
        <v>1272</v>
      </c>
      <c r="M1877" t="str">
        <f t="shared" si="30"/>
        <v>1,2,4-TRIMETHYLBENZENE</v>
      </c>
    </row>
    <row r="1878" spans="1:13" x14ac:dyDescent="0.25">
      <c r="A1878" s="359" t="s">
        <v>490</v>
      </c>
      <c r="B1878" s="359" t="s">
        <v>1236</v>
      </c>
      <c r="C1878" s="359" t="s">
        <v>1349</v>
      </c>
      <c r="D1878" s="359" t="s">
        <v>1350</v>
      </c>
      <c r="E1878" s="360"/>
      <c r="F1878" s="359" t="s">
        <v>1333</v>
      </c>
      <c r="G1878" s="361">
        <v>7.815632801997311E-6</v>
      </c>
      <c r="H1878" s="359" t="s">
        <v>1967</v>
      </c>
      <c r="I1878" s="361">
        <v>8.5472056133658674E-7</v>
      </c>
      <c r="J1878" s="359" t="s">
        <v>1349</v>
      </c>
      <c r="K1878" s="359" t="s">
        <v>1272</v>
      </c>
      <c r="M1878" t="str">
        <f t="shared" si="30"/>
        <v>ANTHRACENE</v>
      </c>
    </row>
    <row r="1879" spans="1:13" x14ac:dyDescent="0.25">
      <c r="A1879" s="359" t="s">
        <v>490</v>
      </c>
      <c r="B1879" s="359" t="s">
        <v>1236</v>
      </c>
      <c r="C1879" s="359" t="s">
        <v>260</v>
      </c>
      <c r="D1879" s="359" t="s">
        <v>1274</v>
      </c>
      <c r="E1879" s="361">
        <v>0</v>
      </c>
      <c r="F1879" s="359" t="s">
        <v>1333</v>
      </c>
      <c r="G1879" s="361">
        <v>7.815632801997311E-6</v>
      </c>
      <c r="H1879" s="359" t="s">
        <v>490</v>
      </c>
      <c r="I1879" s="361">
        <v>0</v>
      </c>
      <c r="J1879" s="359" t="s">
        <v>1273</v>
      </c>
      <c r="K1879" s="359" t="s">
        <v>1277</v>
      </c>
      <c r="M1879" t="str">
        <f t="shared" si="30"/>
        <v>BENZENE</v>
      </c>
    </row>
    <row r="1880" spans="1:13" x14ac:dyDescent="0.25">
      <c r="A1880" s="359" t="s">
        <v>490</v>
      </c>
      <c r="B1880" s="359" t="s">
        <v>1236</v>
      </c>
      <c r="C1880" s="359" t="s">
        <v>1352</v>
      </c>
      <c r="D1880" s="359" t="s">
        <v>1353</v>
      </c>
      <c r="E1880" s="360"/>
      <c r="F1880" s="359" t="s">
        <v>1333</v>
      </c>
      <c r="G1880" s="361">
        <v>7.815632801997311E-6</v>
      </c>
      <c r="H1880" s="359" t="s">
        <v>1967</v>
      </c>
      <c r="I1880" s="361">
        <v>8.5472056133658674E-7</v>
      </c>
      <c r="J1880" s="359" t="s">
        <v>1352</v>
      </c>
      <c r="K1880" s="359" t="s">
        <v>1272</v>
      </c>
      <c r="M1880" t="str">
        <f t="shared" si="30"/>
        <v>BENZO(G,H,I)PERYLENE</v>
      </c>
    </row>
    <row r="1881" spans="1:13" x14ac:dyDescent="0.25">
      <c r="A1881" s="359" t="s">
        <v>490</v>
      </c>
      <c r="B1881" s="359" t="s">
        <v>1236</v>
      </c>
      <c r="C1881" s="359" t="s">
        <v>1414</v>
      </c>
      <c r="D1881" s="359" t="s">
        <v>1415</v>
      </c>
      <c r="E1881" s="360"/>
      <c r="F1881" s="359" t="s">
        <v>1333</v>
      </c>
      <c r="G1881" s="361">
        <v>7.815632801997311E-6</v>
      </c>
      <c r="H1881" s="359" t="s">
        <v>1286</v>
      </c>
      <c r="I1881" s="361">
        <v>0</v>
      </c>
      <c r="J1881" s="359" t="s">
        <v>1414</v>
      </c>
      <c r="K1881" s="359" t="s">
        <v>1272</v>
      </c>
      <c r="M1881" t="str">
        <f t="shared" si="30"/>
        <v>BIPHENYL</v>
      </c>
    </row>
    <row r="1882" spans="1:13" x14ac:dyDescent="0.25">
      <c r="A1882" s="359" t="s">
        <v>490</v>
      </c>
      <c r="B1882" s="359" t="s">
        <v>1236</v>
      </c>
      <c r="C1882" s="359" t="s">
        <v>1276</v>
      </c>
      <c r="D1882" s="359" t="s">
        <v>490</v>
      </c>
      <c r="E1882" s="361">
        <v>36919.345822520001</v>
      </c>
      <c r="F1882" s="359" t="s">
        <v>1333</v>
      </c>
      <c r="G1882" s="361">
        <v>7.815632801997311E-6</v>
      </c>
      <c r="H1882" s="359" t="s">
        <v>490</v>
      </c>
      <c r="I1882" s="361">
        <v>7.9054260339388963E-4</v>
      </c>
      <c r="J1882" s="359" t="s">
        <v>1276</v>
      </c>
      <c r="K1882" s="359" t="s">
        <v>1277</v>
      </c>
      <c r="M1882" t="str">
        <f t="shared" si="30"/>
        <v>BOD, 5-day, 20 deg. C</v>
      </c>
    </row>
    <row r="1883" spans="1:13" x14ac:dyDescent="0.25">
      <c r="A1883" s="359" t="s">
        <v>490</v>
      </c>
      <c r="B1883" s="359" t="s">
        <v>1236</v>
      </c>
      <c r="C1883" s="359" t="s">
        <v>1484</v>
      </c>
      <c r="D1883" s="359" t="s">
        <v>490</v>
      </c>
      <c r="E1883" s="361">
        <v>0</v>
      </c>
      <c r="F1883" s="359" t="s">
        <v>1333</v>
      </c>
      <c r="G1883" s="361">
        <v>7.815632801997311E-6</v>
      </c>
      <c r="H1883" s="359" t="s">
        <v>490</v>
      </c>
      <c r="I1883" s="361">
        <v>0</v>
      </c>
      <c r="J1883" s="359" t="s">
        <v>1484</v>
      </c>
      <c r="K1883" s="359" t="s">
        <v>1277</v>
      </c>
      <c r="M1883" t="str">
        <f t="shared" si="30"/>
        <v>BTEX</v>
      </c>
    </row>
    <row r="1884" spans="1:13" x14ac:dyDescent="0.25">
      <c r="A1884" s="359" t="s">
        <v>490</v>
      </c>
      <c r="B1884" s="359" t="s">
        <v>1236</v>
      </c>
      <c r="C1884" s="359" t="s">
        <v>1355</v>
      </c>
      <c r="D1884" s="359" t="s">
        <v>1356</v>
      </c>
      <c r="E1884" s="360"/>
      <c r="F1884" s="359" t="s">
        <v>1333</v>
      </c>
      <c r="G1884" s="361">
        <v>7.815632801997311E-6</v>
      </c>
      <c r="H1884" s="359" t="s">
        <v>1286</v>
      </c>
      <c r="I1884" s="361">
        <v>0</v>
      </c>
      <c r="J1884" s="359" t="s">
        <v>1355</v>
      </c>
      <c r="K1884" s="359" t="s">
        <v>1272</v>
      </c>
      <c r="M1884" t="str">
        <f t="shared" si="30"/>
        <v>CARBON DISULFIDE</v>
      </c>
    </row>
    <row r="1885" spans="1:13" x14ac:dyDescent="0.25">
      <c r="A1885" s="359" t="s">
        <v>490</v>
      </c>
      <c r="B1885" s="359" t="s">
        <v>1236</v>
      </c>
      <c r="C1885" s="359" t="s">
        <v>1278</v>
      </c>
      <c r="D1885" s="359" t="s">
        <v>1279</v>
      </c>
      <c r="E1885" s="361">
        <v>18979.337459999999</v>
      </c>
      <c r="F1885" s="359" t="s">
        <v>1333</v>
      </c>
      <c r="G1885" s="361">
        <v>7.815632801997311E-6</v>
      </c>
      <c r="H1885" s="359" t="s">
        <v>490</v>
      </c>
      <c r="I1885" s="361">
        <v>4.0639871893849953E-4</v>
      </c>
      <c r="J1885" s="359" t="s">
        <v>1278</v>
      </c>
      <c r="K1885" s="359" t="s">
        <v>1277</v>
      </c>
      <c r="M1885" t="str">
        <f t="shared" si="30"/>
        <v>Carbon, tot organic (TOC)</v>
      </c>
    </row>
    <row r="1886" spans="1:13" x14ac:dyDescent="0.25">
      <c r="A1886" s="359" t="s">
        <v>490</v>
      </c>
      <c r="B1886" s="359" t="s">
        <v>1236</v>
      </c>
      <c r="C1886" s="359" t="s">
        <v>1357</v>
      </c>
      <c r="D1886" s="359" t="s">
        <v>1358</v>
      </c>
      <c r="E1886" s="360"/>
      <c r="F1886" s="359" t="s">
        <v>1333</v>
      </c>
      <c r="G1886" s="361">
        <v>7.815632801997311E-6</v>
      </c>
      <c r="H1886" s="359" t="s">
        <v>1286</v>
      </c>
      <c r="I1886" s="361">
        <v>0</v>
      </c>
      <c r="J1886" s="359" t="s">
        <v>1357</v>
      </c>
      <c r="K1886" s="359" t="s">
        <v>1272</v>
      </c>
      <c r="M1886" t="str">
        <f t="shared" si="30"/>
        <v>CARBONYL SULFIDE</v>
      </c>
    </row>
    <row r="1887" spans="1:13" x14ac:dyDescent="0.25">
      <c r="A1887" s="359" t="s">
        <v>490</v>
      </c>
      <c r="B1887" s="359" t="s">
        <v>1236</v>
      </c>
      <c r="C1887" s="359" t="s">
        <v>1280</v>
      </c>
      <c r="D1887" s="359" t="s">
        <v>1281</v>
      </c>
      <c r="E1887" s="361">
        <v>127.5410334422</v>
      </c>
      <c r="F1887" s="359" t="s">
        <v>1333</v>
      </c>
      <c r="G1887" s="361">
        <v>7.815632801997311E-6</v>
      </c>
      <c r="H1887" s="359" t="s">
        <v>490</v>
      </c>
      <c r="I1887" s="361">
        <v>2.7309969440314915E-6</v>
      </c>
      <c r="J1887" s="359" t="s">
        <v>1280</v>
      </c>
      <c r="K1887" s="359" t="s">
        <v>1277</v>
      </c>
      <c r="M1887" t="str">
        <f t="shared" si="30"/>
        <v>Chromium, hexavalent (as Cr)</v>
      </c>
    </row>
    <row r="1888" spans="1:13" x14ac:dyDescent="0.25">
      <c r="A1888" s="359" t="s">
        <v>490</v>
      </c>
      <c r="B1888" s="359" t="s">
        <v>1236</v>
      </c>
      <c r="C1888" s="359" t="s">
        <v>1282</v>
      </c>
      <c r="D1888" s="359" t="s">
        <v>1283</v>
      </c>
      <c r="E1888" s="361">
        <v>0</v>
      </c>
      <c r="F1888" s="359" t="s">
        <v>1333</v>
      </c>
      <c r="G1888" s="361">
        <v>7.815632801997311E-6</v>
      </c>
      <c r="H1888" s="359" t="s">
        <v>490</v>
      </c>
      <c r="I1888" s="361">
        <v>0</v>
      </c>
      <c r="J1888" s="359" t="s">
        <v>1282</v>
      </c>
      <c r="K1888" s="359" t="s">
        <v>1277</v>
      </c>
      <c r="M1888" t="str">
        <f t="shared" si="30"/>
        <v>Chromium, total (as Cr)</v>
      </c>
    </row>
    <row r="1889" spans="1:13" x14ac:dyDescent="0.25">
      <c r="A1889" s="359" t="s">
        <v>490</v>
      </c>
      <c r="B1889" s="359" t="s">
        <v>1236</v>
      </c>
      <c r="C1889" s="359" t="s">
        <v>1443</v>
      </c>
      <c r="D1889" s="359" t="s">
        <v>1444</v>
      </c>
      <c r="E1889" s="360"/>
      <c r="F1889" s="359" t="s">
        <v>1333</v>
      </c>
      <c r="G1889" s="361">
        <v>7.815632801997311E-6</v>
      </c>
      <c r="H1889" s="359" t="s">
        <v>1286</v>
      </c>
      <c r="I1889" s="361">
        <v>0</v>
      </c>
      <c r="J1889" s="359" t="s">
        <v>1445</v>
      </c>
      <c r="K1889" s="359" t="s">
        <v>1272</v>
      </c>
      <c r="M1889" t="str">
        <f t="shared" si="30"/>
        <v>CRESOL(S)</v>
      </c>
    </row>
    <row r="1890" spans="1:13" x14ac:dyDescent="0.25">
      <c r="A1890" s="359" t="s">
        <v>490</v>
      </c>
      <c r="B1890" s="359" t="s">
        <v>1236</v>
      </c>
      <c r="C1890" s="359" t="s">
        <v>1284</v>
      </c>
      <c r="D1890" s="359" t="s">
        <v>1285</v>
      </c>
      <c r="E1890" s="360"/>
      <c r="F1890" s="359" t="s">
        <v>1333</v>
      </c>
      <c r="G1890" s="361">
        <v>7.815632801997311E-6</v>
      </c>
      <c r="H1890" s="359" t="s">
        <v>1286</v>
      </c>
      <c r="I1890" s="361">
        <v>0</v>
      </c>
      <c r="J1890" s="359" t="s">
        <v>1287</v>
      </c>
      <c r="K1890" s="359" t="s">
        <v>1272</v>
      </c>
      <c r="M1890" t="str">
        <f t="shared" si="30"/>
        <v>ISOPROPYLBENZENE</v>
      </c>
    </row>
    <row r="1891" spans="1:13" x14ac:dyDescent="0.25">
      <c r="A1891" s="359" t="s">
        <v>490</v>
      </c>
      <c r="B1891" s="359" t="s">
        <v>1236</v>
      </c>
      <c r="C1891" s="359" t="s">
        <v>1291</v>
      </c>
      <c r="D1891" s="359" t="s">
        <v>1292</v>
      </c>
      <c r="E1891" s="360"/>
      <c r="F1891" s="359" t="s">
        <v>1333</v>
      </c>
      <c r="G1891" s="361">
        <v>7.815632801997311E-6</v>
      </c>
      <c r="H1891" s="359" t="s">
        <v>1286</v>
      </c>
      <c r="I1891" s="361">
        <v>0</v>
      </c>
      <c r="J1891" s="359" t="s">
        <v>1291</v>
      </c>
      <c r="K1891" s="359" t="s">
        <v>1272</v>
      </c>
      <c r="M1891" t="str">
        <f t="shared" si="30"/>
        <v>CYCLOHEXANE</v>
      </c>
    </row>
    <row r="1892" spans="1:13" x14ac:dyDescent="0.25">
      <c r="A1892" s="359" t="s">
        <v>490</v>
      </c>
      <c r="B1892" s="359" t="s">
        <v>1236</v>
      </c>
      <c r="C1892" s="359" t="s">
        <v>1362</v>
      </c>
      <c r="D1892" s="359" t="s">
        <v>1363</v>
      </c>
      <c r="E1892" s="360"/>
      <c r="F1892" s="359" t="s">
        <v>1333</v>
      </c>
      <c r="G1892" s="361">
        <v>7.815632801997311E-6</v>
      </c>
      <c r="H1892" s="359" t="s">
        <v>1286</v>
      </c>
      <c r="I1892" s="361">
        <v>0</v>
      </c>
      <c r="J1892" s="359" t="s">
        <v>1362</v>
      </c>
      <c r="K1892" s="359" t="s">
        <v>1272</v>
      </c>
      <c r="M1892" t="str">
        <f t="shared" si="30"/>
        <v>DIOXIN AND DIOXIN-LIKE COMPOUNDS</v>
      </c>
    </row>
    <row r="1893" spans="1:13" x14ac:dyDescent="0.25">
      <c r="A1893" s="359" t="s">
        <v>490</v>
      </c>
      <c r="B1893" s="359" t="s">
        <v>1236</v>
      </c>
      <c r="C1893" s="359" t="s">
        <v>1295</v>
      </c>
      <c r="D1893" s="359" t="s">
        <v>1296</v>
      </c>
      <c r="E1893" s="360"/>
      <c r="F1893" s="359" t="s">
        <v>1333</v>
      </c>
      <c r="G1893" s="361">
        <v>7.815632801997311E-6</v>
      </c>
      <c r="H1893" s="359" t="s">
        <v>1500</v>
      </c>
      <c r="I1893" s="361">
        <v>9.7127336515521227E-8</v>
      </c>
      <c r="J1893" s="359" t="s">
        <v>1295</v>
      </c>
      <c r="K1893" s="359" t="s">
        <v>1272</v>
      </c>
      <c r="M1893" t="str">
        <f t="shared" si="30"/>
        <v>ETHYLBENZENE</v>
      </c>
    </row>
    <row r="1894" spans="1:13" x14ac:dyDescent="0.25">
      <c r="A1894" s="359" t="s">
        <v>490</v>
      </c>
      <c r="B1894" s="359" t="s">
        <v>1236</v>
      </c>
      <c r="C1894" s="359" t="s">
        <v>1365</v>
      </c>
      <c r="D1894" s="359" t="s">
        <v>1366</v>
      </c>
      <c r="E1894" s="360"/>
      <c r="F1894" s="359" t="s">
        <v>1333</v>
      </c>
      <c r="G1894" s="361">
        <v>7.815632801997311E-6</v>
      </c>
      <c r="H1894" s="359" t="s">
        <v>1286</v>
      </c>
      <c r="I1894" s="361">
        <v>0</v>
      </c>
      <c r="J1894" s="359" t="s">
        <v>1028</v>
      </c>
      <c r="K1894" s="359" t="s">
        <v>1272</v>
      </c>
      <c r="M1894" t="str">
        <f t="shared" si="30"/>
        <v>ETHENE</v>
      </c>
    </row>
    <row r="1895" spans="1:13" x14ac:dyDescent="0.25">
      <c r="A1895" s="359" t="s">
        <v>490</v>
      </c>
      <c r="B1895" s="359" t="s">
        <v>1236</v>
      </c>
      <c r="C1895" s="359" t="s">
        <v>1297</v>
      </c>
      <c r="D1895" s="359" t="s">
        <v>1298</v>
      </c>
      <c r="E1895" s="360"/>
      <c r="F1895" s="359" t="s">
        <v>1333</v>
      </c>
      <c r="G1895" s="361">
        <v>7.815632801997311E-6</v>
      </c>
      <c r="H1895" s="359" t="s">
        <v>1968</v>
      </c>
      <c r="I1895" s="361">
        <v>2.6309852915324395E-5</v>
      </c>
      <c r="J1895" s="359" t="s">
        <v>1297</v>
      </c>
      <c r="K1895" s="359" t="s">
        <v>1272</v>
      </c>
      <c r="M1895" t="str">
        <f t="shared" si="30"/>
        <v>LEAD AND LEAD COMPOUNDS</v>
      </c>
    </row>
    <row r="1896" spans="1:13" x14ac:dyDescent="0.25">
      <c r="A1896" s="359" t="s">
        <v>490</v>
      </c>
      <c r="B1896" s="359" t="s">
        <v>1236</v>
      </c>
      <c r="C1896" s="359" t="s">
        <v>1300</v>
      </c>
      <c r="D1896" s="359" t="s">
        <v>1301</v>
      </c>
      <c r="E1896" s="360"/>
      <c r="F1896" s="359" t="s">
        <v>1333</v>
      </c>
      <c r="G1896" s="361">
        <v>7.815632801997311E-6</v>
      </c>
      <c r="H1896" s="359" t="s">
        <v>1969</v>
      </c>
      <c r="I1896" s="361">
        <v>2.4281834128880307E-8</v>
      </c>
      <c r="J1896" s="359" t="s">
        <v>1300</v>
      </c>
      <c r="K1896" s="359" t="s">
        <v>1272</v>
      </c>
      <c r="M1896" t="str">
        <f t="shared" si="30"/>
        <v>MERCURY AND MERCURY COMPOUNDS</v>
      </c>
    </row>
    <row r="1897" spans="1:13" x14ac:dyDescent="0.25">
      <c r="A1897" s="359" t="s">
        <v>490</v>
      </c>
      <c r="B1897" s="359" t="s">
        <v>1236</v>
      </c>
      <c r="C1897" s="359" t="s">
        <v>1375</v>
      </c>
      <c r="D1897" s="359" t="s">
        <v>1376</v>
      </c>
      <c r="E1897" s="360"/>
      <c r="F1897" s="359" t="s">
        <v>1333</v>
      </c>
      <c r="G1897" s="361">
        <v>7.815632801997311E-6</v>
      </c>
      <c r="H1897" s="359" t="s">
        <v>1286</v>
      </c>
      <c r="I1897" s="361">
        <v>0</v>
      </c>
      <c r="J1897" s="359" t="s">
        <v>1375</v>
      </c>
      <c r="K1897" s="359" t="s">
        <v>1272</v>
      </c>
      <c r="M1897" t="str">
        <f t="shared" si="30"/>
        <v>METHANOL</v>
      </c>
    </row>
    <row r="1898" spans="1:13" x14ac:dyDescent="0.25">
      <c r="A1898" s="359" t="s">
        <v>490</v>
      </c>
      <c r="B1898" s="359" t="s">
        <v>1236</v>
      </c>
      <c r="C1898" s="359" t="s">
        <v>1303</v>
      </c>
      <c r="D1898" s="359" t="s">
        <v>1304</v>
      </c>
      <c r="E1898" s="360"/>
      <c r="F1898" s="359" t="s">
        <v>1333</v>
      </c>
      <c r="G1898" s="361">
        <v>7.815632801997311E-6</v>
      </c>
      <c r="H1898" s="359" t="s">
        <v>1970</v>
      </c>
      <c r="I1898" s="361">
        <v>1.4374845804297143E-5</v>
      </c>
      <c r="J1898" s="359" t="s">
        <v>1303</v>
      </c>
      <c r="K1898" s="359" t="s">
        <v>1272</v>
      </c>
      <c r="M1898" t="str">
        <f t="shared" si="30"/>
        <v>NAPHTHALENE</v>
      </c>
    </row>
    <row r="1899" spans="1:13" x14ac:dyDescent="0.25">
      <c r="A1899" s="359" t="s">
        <v>490</v>
      </c>
      <c r="B1899" s="359" t="s">
        <v>1236</v>
      </c>
      <c r="C1899" s="359" t="s">
        <v>1305</v>
      </c>
      <c r="D1899" s="359" t="s">
        <v>1306</v>
      </c>
      <c r="E1899" s="360"/>
      <c r="F1899" s="359" t="s">
        <v>1333</v>
      </c>
      <c r="G1899" s="361">
        <v>7.815632801997311E-6</v>
      </c>
      <c r="H1899" s="359" t="s">
        <v>1286</v>
      </c>
      <c r="I1899" s="361">
        <v>0</v>
      </c>
      <c r="J1899" s="359" t="s">
        <v>1305</v>
      </c>
      <c r="K1899" s="359" t="s">
        <v>1272</v>
      </c>
      <c r="M1899" t="str">
        <f t="shared" si="30"/>
        <v>N-HEXANE</v>
      </c>
    </row>
    <row r="1900" spans="1:13" x14ac:dyDescent="0.25">
      <c r="A1900" s="359" t="s">
        <v>490</v>
      </c>
      <c r="B1900" s="359" t="s">
        <v>1236</v>
      </c>
      <c r="C1900" s="359" t="s">
        <v>1384</v>
      </c>
      <c r="D1900" s="359" t="s">
        <v>1385</v>
      </c>
      <c r="E1900" s="360"/>
      <c r="F1900" s="359" t="s">
        <v>1333</v>
      </c>
      <c r="G1900" s="361">
        <v>7.815632801997311E-6</v>
      </c>
      <c r="H1900" s="359" t="s">
        <v>1520</v>
      </c>
      <c r="I1900" s="361">
        <v>1.1655280381862549E-7</v>
      </c>
      <c r="J1900" s="359" t="s">
        <v>1384</v>
      </c>
      <c r="K1900" s="359" t="s">
        <v>1272</v>
      </c>
      <c r="M1900" t="str">
        <f t="shared" si="30"/>
        <v>NICKEL AND NICKEL COMPOUNDS</v>
      </c>
    </row>
    <row r="1901" spans="1:13" x14ac:dyDescent="0.25">
      <c r="A1901" s="359" t="s">
        <v>490</v>
      </c>
      <c r="B1901" s="359" t="s">
        <v>1236</v>
      </c>
      <c r="C1901" s="359" t="s">
        <v>1307</v>
      </c>
      <c r="D1901" s="359" t="s">
        <v>1308</v>
      </c>
      <c r="E1901" s="360"/>
      <c r="F1901" s="359" t="s">
        <v>1333</v>
      </c>
      <c r="G1901" s="361">
        <v>7.815632801997311E-6</v>
      </c>
      <c r="H1901" s="359" t="s">
        <v>1971</v>
      </c>
      <c r="I1901" s="361">
        <v>1.0878261689738378E-3</v>
      </c>
      <c r="J1901" s="359" t="s">
        <v>1310</v>
      </c>
      <c r="K1901" s="359" t="s">
        <v>1272</v>
      </c>
      <c r="M1901" t="str">
        <f t="shared" si="30"/>
        <v>NITRATE</v>
      </c>
    </row>
    <row r="1902" spans="1:13" x14ac:dyDescent="0.25">
      <c r="A1902" s="359" t="s">
        <v>490</v>
      </c>
      <c r="B1902" s="359" t="s">
        <v>1236</v>
      </c>
      <c r="C1902" s="359" t="s">
        <v>1311</v>
      </c>
      <c r="D1902" s="359" t="s">
        <v>1312</v>
      </c>
      <c r="E1902" s="361">
        <v>4815.02545121</v>
      </c>
      <c r="F1902" s="359" t="s">
        <v>1333</v>
      </c>
      <c r="G1902" s="361">
        <v>7.815632801997311E-6</v>
      </c>
      <c r="H1902" s="359" t="s">
        <v>490</v>
      </c>
      <c r="I1902" s="361">
        <v>1.0310265988747611E-4</v>
      </c>
      <c r="J1902" s="359" t="s">
        <v>1313</v>
      </c>
      <c r="K1902" s="359" t="s">
        <v>1277</v>
      </c>
      <c r="M1902" t="str">
        <f t="shared" si="30"/>
        <v>AMMONIA</v>
      </c>
    </row>
    <row r="1903" spans="1:13" x14ac:dyDescent="0.25">
      <c r="A1903" s="359" t="s">
        <v>490</v>
      </c>
      <c r="B1903" s="359" t="s">
        <v>1236</v>
      </c>
      <c r="C1903" s="359" t="s">
        <v>1510</v>
      </c>
      <c r="D1903" s="359" t="s">
        <v>1505</v>
      </c>
      <c r="E1903" s="361">
        <v>51.026310067399997</v>
      </c>
      <c r="F1903" s="359" t="s">
        <v>1333</v>
      </c>
      <c r="G1903" s="361">
        <v>7.815632801997311E-6</v>
      </c>
      <c r="H1903" s="359" t="s">
        <v>490</v>
      </c>
      <c r="I1903" s="361">
        <v>1.0926106924045399E-6</v>
      </c>
      <c r="J1903" s="359" t="s">
        <v>1506</v>
      </c>
      <c r="K1903" s="359" t="s">
        <v>1277</v>
      </c>
      <c r="M1903" t="str">
        <f t="shared" si="30"/>
        <v>NITROGEN</v>
      </c>
    </row>
    <row r="1904" spans="1:13" x14ac:dyDescent="0.25">
      <c r="A1904" s="359" t="s">
        <v>490</v>
      </c>
      <c r="B1904" s="359" t="s">
        <v>1236</v>
      </c>
      <c r="C1904" s="359" t="s">
        <v>1341</v>
      </c>
      <c r="D1904" s="359" t="s">
        <v>490</v>
      </c>
      <c r="E1904" s="361">
        <v>0</v>
      </c>
      <c r="F1904" s="359" t="s">
        <v>1333</v>
      </c>
      <c r="G1904" s="361">
        <v>7.815632801997311E-6</v>
      </c>
      <c r="H1904" s="359" t="s">
        <v>490</v>
      </c>
      <c r="I1904" s="361">
        <v>0</v>
      </c>
      <c r="J1904" s="359" t="s">
        <v>1341</v>
      </c>
      <c r="K1904" s="359" t="s">
        <v>1277</v>
      </c>
      <c r="M1904" t="str">
        <f t="shared" si="30"/>
        <v>Oil &amp; grease</v>
      </c>
    </row>
    <row r="1905" spans="1:13" x14ac:dyDescent="0.25">
      <c r="A1905" s="359" t="s">
        <v>490</v>
      </c>
      <c r="B1905" s="359" t="s">
        <v>1236</v>
      </c>
      <c r="C1905" s="359" t="s">
        <v>1460</v>
      </c>
      <c r="D1905" s="359" t="s">
        <v>490</v>
      </c>
      <c r="E1905" s="361">
        <v>55212.902751100002</v>
      </c>
      <c r="F1905" s="359" t="s">
        <v>1333</v>
      </c>
      <c r="G1905" s="361">
        <v>7.815632801997311E-6</v>
      </c>
      <c r="H1905" s="359" t="s">
        <v>490</v>
      </c>
      <c r="I1905" s="361">
        <v>1.1822569146163965E-3</v>
      </c>
      <c r="J1905" s="359" t="s">
        <v>1460</v>
      </c>
      <c r="K1905" s="359" t="s">
        <v>1277</v>
      </c>
      <c r="M1905" t="str">
        <f t="shared" si="30"/>
        <v>Oil and grease, hexane extr method</v>
      </c>
    </row>
    <row r="1906" spans="1:13" x14ac:dyDescent="0.25">
      <c r="A1906" s="359" t="s">
        <v>490</v>
      </c>
      <c r="B1906" s="359" t="s">
        <v>1236</v>
      </c>
      <c r="C1906" s="359" t="s">
        <v>1457</v>
      </c>
      <c r="D1906" s="359" t="s">
        <v>490</v>
      </c>
      <c r="E1906" s="361">
        <v>318570.98422020004</v>
      </c>
      <c r="F1906" s="359" t="s">
        <v>1333</v>
      </c>
      <c r="G1906" s="361">
        <v>7.815632801997311E-6</v>
      </c>
      <c r="H1906" s="359" t="s">
        <v>490</v>
      </c>
      <c r="I1906" s="361">
        <v>6.8214625590026388E-3</v>
      </c>
      <c r="J1906" s="359" t="s">
        <v>1457</v>
      </c>
      <c r="K1906" s="359" t="s">
        <v>1277</v>
      </c>
      <c r="M1906" t="str">
        <f t="shared" si="30"/>
        <v>Chemical Oxygen Demand (COD)</v>
      </c>
    </row>
    <row r="1907" spans="1:13" x14ac:dyDescent="0.25">
      <c r="A1907" s="359" t="s">
        <v>490</v>
      </c>
      <c r="B1907" s="359" t="s">
        <v>1236</v>
      </c>
      <c r="C1907" s="359" t="s">
        <v>1388</v>
      </c>
      <c r="D1907" s="359" t="s">
        <v>1389</v>
      </c>
      <c r="E1907" s="360"/>
      <c r="F1907" s="359" t="s">
        <v>1333</v>
      </c>
      <c r="G1907" s="361">
        <v>7.815632801997311E-6</v>
      </c>
      <c r="H1907" s="359" t="s">
        <v>1967</v>
      </c>
      <c r="I1907" s="361">
        <v>8.5472056133658674E-7</v>
      </c>
      <c r="J1907" s="359" t="s">
        <v>1388</v>
      </c>
      <c r="K1907" s="359" t="s">
        <v>1272</v>
      </c>
      <c r="M1907" t="str">
        <f t="shared" si="30"/>
        <v>PHENANTHRENE</v>
      </c>
    </row>
    <row r="1908" spans="1:13" x14ac:dyDescent="0.25">
      <c r="A1908" s="359" t="s">
        <v>490</v>
      </c>
      <c r="B1908" s="359" t="s">
        <v>1236</v>
      </c>
      <c r="C1908" s="359" t="s">
        <v>1315</v>
      </c>
      <c r="D1908" s="359" t="s">
        <v>1316</v>
      </c>
      <c r="E1908" s="360"/>
      <c r="F1908" s="359" t="s">
        <v>1333</v>
      </c>
      <c r="G1908" s="361">
        <v>7.815632801997311E-6</v>
      </c>
      <c r="H1908" s="359" t="s">
        <v>1972</v>
      </c>
      <c r="I1908" s="361">
        <v>4.8612231926018377E-5</v>
      </c>
      <c r="J1908" s="359" t="s">
        <v>1315</v>
      </c>
      <c r="K1908" s="359" t="s">
        <v>1272</v>
      </c>
      <c r="M1908" t="str">
        <f t="shared" si="30"/>
        <v>PHENOL</v>
      </c>
    </row>
    <row r="1909" spans="1:13" x14ac:dyDescent="0.25">
      <c r="A1909" s="359" t="s">
        <v>490</v>
      </c>
      <c r="B1909" s="359" t="s">
        <v>1236</v>
      </c>
      <c r="C1909" s="359" t="s">
        <v>1318</v>
      </c>
      <c r="D1909" s="359" t="s">
        <v>490</v>
      </c>
      <c r="E1909" s="361">
        <v>221.96810157933001</v>
      </c>
      <c r="F1909" s="359" t="s">
        <v>1333</v>
      </c>
      <c r="G1909" s="361">
        <v>7.815632801997311E-6</v>
      </c>
      <c r="H1909" s="359" t="s">
        <v>490</v>
      </c>
      <c r="I1909" s="361">
        <v>4.7529347279465281E-6</v>
      </c>
      <c r="J1909" s="359" t="s">
        <v>1318</v>
      </c>
      <c r="K1909" s="359" t="s">
        <v>1277</v>
      </c>
      <c r="M1909" t="str">
        <f t="shared" si="30"/>
        <v>Phenolics, total recoverable</v>
      </c>
    </row>
    <row r="1910" spans="1:13" x14ac:dyDescent="0.25">
      <c r="A1910" s="359" t="s">
        <v>490</v>
      </c>
      <c r="B1910" s="359" t="s">
        <v>1236</v>
      </c>
      <c r="C1910" s="359" t="s">
        <v>1319</v>
      </c>
      <c r="D1910" s="359" t="s">
        <v>1320</v>
      </c>
      <c r="E1910" s="360"/>
      <c r="F1910" s="359" t="s">
        <v>1333</v>
      </c>
      <c r="G1910" s="361">
        <v>7.815632801997311E-6</v>
      </c>
      <c r="H1910" s="359" t="s">
        <v>1286</v>
      </c>
      <c r="I1910" s="361">
        <v>0</v>
      </c>
      <c r="J1910" s="359" t="s">
        <v>1319</v>
      </c>
      <c r="K1910" s="359" t="s">
        <v>1272</v>
      </c>
      <c r="M1910" t="str">
        <f t="shared" si="30"/>
        <v>POLYCYCLIC AROMATIC COMPOUNDS</v>
      </c>
    </row>
    <row r="1911" spans="1:13" x14ac:dyDescent="0.25">
      <c r="A1911" s="359" t="s">
        <v>490</v>
      </c>
      <c r="B1911" s="359" t="s">
        <v>1236</v>
      </c>
      <c r="C1911" s="359" t="s">
        <v>1425</v>
      </c>
      <c r="D1911" s="359" t="s">
        <v>1426</v>
      </c>
      <c r="E1911" s="360"/>
      <c r="F1911" s="359" t="s">
        <v>1333</v>
      </c>
      <c r="G1911" s="361">
        <v>7.815632801997311E-6</v>
      </c>
      <c r="H1911" s="359" t="s">
        <v>1286</v>
      </c>
      <c r="I1911" s="361">
        <v>0</v>
      </c>
      <c r="J1911" s="359" t="s">
        <v>1425</v>
      </c>
      <c r="K1911" s="359" t="s">
        <v>1272</v>
      </c>
      <c r="M1911" t="str">
        <f t="shared" si="30"/>
        <v>PROPYLENE</v>
      </c>
    </row>
    <row r="1912" spans="1:13" x14ac:dyDescent="0.25">
      <c r="A1912" s="359" t="s">
        <v>490</v>
      </c>
      <c r="B1912" s="359" t="s">
        <v>1236</v>
      </c>
      <c r="C1912" s="359" t="s">
        <v>1322</v>
      </c>
      <c r="D1912" s="359" t="s">
        <v>490</v>
      </c>
      <c r="E1912" s="361">
        <v>163920.96076059999</v>
      </c>
      <c r="F1912" s="359" t="s">
        <v>1333</v>
      </c>
      <c r="G1912" s="361">
        <v>7.815632801997311E-6</v>
      </c>
      <c r="H1912" s="359" t="s">
        <v>490</v>
      </c>
      <c r="I1912" s="361">
        <v>3.509989144809478E-3</v>
      </c>
      <c r="J1912" s="359" t="s">
        <v>1322</v>
      </c>
      <c r="K1912" s="359" t="s">
        <v>1277</v>
      </c>
      <c r="M1912" t="str">
        <f t="shared" si="30"/>
        <v>Solids, total suspended</v>
      </c>
    </row>
    <row r="1913" spans="1:13" x14ac:dyDescent="0.25">
      <c r="A1913" s="359" t="s">
        <v>490</v>
      </c>
      <c r="B1913" s="359" t="s">
        <v>1236</v>
      </c>
      <c r="C1913" s="359" t="s">
        <v>1392</v>
      </c>
      <c r="D1913" s="359" t="s">
        <v>1393</v>
      </c>
      <c r="E1913" s="360"/>
      <c r="F1913" s="359" t="s">
        <v>1333</v>
      </c>
      <c r="G1913" s="361">
        <v>7.815632801997311E-6</v>
      </c>
      <c r="H1913" s="359" t="s">
        <v>1286</v>
      </c>
      <c r="I1913" s="361">
        <v>0</v>
      </c>
      <c r="J1913" s="359" t="s">
        <v>1392</v>
      </c>
      <c r="K1913" s="359" t="s">
        <v>1272</v>
      </c>
      <c r="M1913" t="str">
        <f t="shared" si="30"/>
        <v>STYRENE</v>
      </c>
    </row>
    <row r="1914" spans="1:13" x14ac:dyDescent="0.25">
      <c r="A1914" s="359" t="s">
        <v>490</v>
      </c>
      <c r="B1914" s="359" t="s">
        <v>1236</v>
      </c>
      <c r="C1914" s="359" t="s">
        <v>1323</v>
      </c>
      <c r="D1914" s="359" t="s">
        <v>1324</v>
      </c>
      <c r="E1914" s="361">
        <v>217.39667300790001</v>
      </c>
      <c r="F1914" s="359" t="s">
        <v>1333</v>
      </c>
      <c r="G1914" s="361">
        <v>7.815632801997311E-6</v>
      </c>
      <c r="H1914" s="359" t="s">
        <v>490</v>
      </c>
      <c r="I1914" s="361">
        <v>4.655048133166101E-6</v>
      </c>
      <c r="J1914" s="359" t="s">
        <v>1323</v>
      </c>
      <c r="K1914" s="359" t="s">
        <v>1277</v>
      </c>
      <c r="M1914" t="str">
        <f t="shared" si="30"/>
        <v>Sulfide, total (as S)</v>
      </c>
    </row>
    <row r="1915" spans="1:13" x14ac:dyDescent="0.25">
      <c r="A1915" s="359" t="s">
        <v>490</v>
      </c>
      <c r="B1915" s="359" t="s">
        <v>1236</v>
      </c>
      <c r="C1915" s="359" t="s">
        <v>1396</v>
      </c>
      <c r="D1915" s="359" t="s">
        <v>1397</v>
      </c>
      <c r="E1915" s="360"/>
      <c r="F1915" s="359" t="s">
        <v>1333</v>
      </c>
      <c r="G1915" s="361">
        <v>7.815632801997311E-6</v>
      </c>
      <c r="H1915" s="359" t="s">
        <v>1286</v>
      </c>
      <c r="I1915" s="361">
        <v>0</v>
      </c>
      <c r="J1915" s="359" t="s">
        <v>1398</v>
      </c>
      <c r="K1915" s="359" t="s">
        <v>1272</v>
      </c>
      <c r="M1915" t="str">
        <f t="shared" si="30"/>
        <v>PERCHLOROETHYLENE</v>
      </c>
    </row>
    <row r="1916" spans="1:13" x14ac:dyDescent="0.25">
      <c r="A1916" s="359" t="s">
        <v>490</v>
      </c>
      <c r="B1916" s="359" t="s">
        <v>1236</v>
      </c>
      <c r="C1916" s="359" t="s">
        <v>1325</v>
      </c>
      <c r="D1916" s="359" t="s">
        <v>1326</v>
      </c>
      <c r="E1916" s="360"/>
      <c r="F1916" s="359" t="s">
        <v>1333</v>
      </c>
      <c r="G1916" s="361">
        <v>7.815632801997311E-6</v>
      </c>
      <c r="H1916" s="359" t="s">
        <v>1973</v>
      </c>
      <c r="I1916" s="361">
        <v>4.2736028066829337E-7</v>
      </c>
      <c r="J1916" s="359" t="s">
        <v>1325</v>
      </c>
      <c r="K1916" s="359" t="s">
        <v>1272</v>
      </c>
      <c r="M1916" t="str">
        <f t="shared" si="30"/>
        <v>TOLUENE</v>
      </c>
    </row>
    <row r="1917" spans="1:13" x14ac:dyDescent="0.25">
      <c r="A1917" s="359" t="s">
        <v>490</v>
      </c>
      <c r="B1917" s="359" t="s">
        <v>1236</v>
      </c>
      <c r="C1917" s="359" t="s">
        <v>1974</v>
      </c>
      <c r="D1917" s="359" t="s">
        <v>490</v>
      </c>
      <c r="E1917" s="361">
        <v>99.382745</v>
      </c>
      <c r="F1917" s="359" t="s">
        <v>1333</v>
      </c>
      <c r="G1917" s="361">
        <v>7.815632801997311E-6</v>
      </c>
      <c r="H1917" s="359" t="s">
        <v>490</v>
      </c>
      <c r="I1917" s="361">
        <v>2.1280521692452995E-6</v>
      </c>
      <c r="J1917" s="359" t="s">
        <v>1974</v>
      </c>
      <c r="K1917" s="359" t="s">
        <v>1277</v>
      </c>
      <c r="M1917" t="str">
        <f t="shared" si="30"/>
        <v>Total petroleum hydrocarbon - diesel</v>
      </c>
    </row>
    <row r="1918" spans="1:13" x14ac:dyDescent="0.25">
      <c r="A1918" s="359" t="s">
        <v>490</v>
      </c>
      <c r="B1918" s="359" t="s">
        <v>1236</v>
      </c>
      <c r="C1918" s="359" t="s">
        <v>1975</v>
      </c>
      <c r="D1918" s="359" t="s">
        <v>490</v>
      </c>
      <c r="E1918" s="361">
        <v>36.139180000000003</v>
      </c>
      <c r="F1918" s="359" t="s">
        <v>1333</v>
      </c>
      <c r="G1918" s="361">
        <v>7.815632801997311E-6</v>
      </c>
      <c r="H1918" s="359" t="s">
        <v>490</v>
      </c>
      <c r="I1918" s="361">
        <v>7.7383715245283619E-7</v>
      </c>
      <c r="J1918" s="359" t="s">
        <v>1975</v>
      </c>
      <c r="K1918" s="359" t="s">
        <v>1277</v>
      </c>
      <c r="M1918" t="str">
        <f t="shared" si="30"/>
        <v>Total petroleum hydrocarbon - gasoline</v>
      </c>
    </row>
    <row r="1919" spans="1:13" x14ac:dyDescent="0.25">
      <c r="A1919" s="359" t="s">
        <v>490</v>
      </c>
      <c r="B1919" s="359" t="s">
        <v>1236</v>
      </c>
      <c r="C1919" s="359" t="s">
        <v>1327</v>
      </c>
      <c r="D1919" s="359" t="s">
        <v>1328</v>
      </c>
      <c r="E1919" s="360"/>
      <c r="F1919" s="359" t="s">
        <v>1333</v>
      </c>
      <c r="G1919" s="361">
        <v>7.815632801997311E-6</v>
      </c>
      <c r="H1919" s="359" t="s">
        <v>1976</v>
      </c>
      <c r="I1919" s="361">
        <v>2.525310749403552E-7</v>
      </c>
      <c r="J1919" s="359" t="s">
        <v>1329</v>
      </c>
      <c r="K1919" s="359" t="s">
        <v>1272</v>
      </c>
      <c r="M1919" t="str">
        <f t="shared" si="30"/>
        <v>XYLENES</v>
      </c>
    </row>
    <row r="1920" spans="1:13" x14ac:dyDescent="0.25">
      <c r="A1920" s="359" t="s">
        <v>490</v>
      </c>
      <c r="B1920" s="359" t="s">
        <v>1236</v>
      </c>
      <c r="C1920" s="359" t="s">
        <v>1342</v>
      </c>
      <c r="D1920" s="359" t="s">
        <v>1343</v>
      </c>
      <c r="E1920" s="360"/>
      <c r="F1920" s="359" t="s">
        <v>1333</v>
      </c>
      <c r="G1920" s="361">
        <v>7.815632801997311E-6</v>
      </c>
      <c r="H1920" s="359" t="s">
        <v>1977</v>
      </c>
      <c r="I1920" s="361">
        <v>1.0101242997614208E-4</v>
      </c>
      <c r="J1920" s="359" t="s">
        <v>1342</v>
      </c>
      <c r="K1920" s="359" t="s">
        <v>1272</v>
      </c>
      <c r="M1920" t="str">
        <f t="shared" si="30"/>
        <v>ZINC AND ZINC COMPOUNDS</v>
      </c>
    </row>
    <row r="1921" spans="1:13" ht="30" x14ac:dyDescent="0.25">
      <c r="A1921" s="359" t="s">
        <v>1978</v>
      </c>
      <c r="B1921" s="359" t="s">
        <v>815</v>
      </c>
      <c r="C1921" s="359" t="s">
        <v>1268</v>
      </c>
      <c r="D1921" s="359" t="s">
        <v>1269</v>
      </c>
      <c r="E1921" s="360"/>
      <c r="F1921" s="359" t="s">
        <v>1270</v>
      </c>
      <c r="G1921" s="361">
        <v>1.4992503748125937E-5</v>
      </c>
      <c r="H1921" s="359" t="s">
        <v>1580</v>
      </c>
      <c r="I1921" s="361">
        <v>4.9644052146112373E-2</v>
      </c>
      <c r="J1921" s="359" t="s">
        <v>1268</v>
      </c>
      <c r="K1921" s="359" t="s">
        <v>1272</v>
      </c>
      <c r="M1921" t="str">
        <f t="shared" si="30"/>
        <v>1,2,4-TRIMETHYLBENZENE</v>
      </c>
    </row>
    <row r="1922" spans="1:13" ht="30" x14ac:dyDescent="0.25">
      <c r="A1922" s="359" t="s">
        <v>1978</v>
      </c>
      <c r="B1922" s="359" t="s">
        <v>815</v>
      </c>
      <c r="C1922" s="359" t="s">
        <v>1273</v>
      </c>
      <c r="D1922" s="359" t="s">
        <v>1274</v>
      </c>
      <c r="E1922" s="360"/>
      <c r="F1922" s="359" t="s">
        <v>1270</v>
      </c>
      <c r="G1922" s="361">
        <v>1.4992503748125937E-5</v>
      </c>
      <c r="H1922" s="359" t="s">
        <v>1652</v>
      </c>
      <c r="I1922" s="361">
        <v>9.9288104292224746E-2</v>
      </c>
      <c r="J1922" s="359" t="s">
        <v>1273</v>
      </c>
      <c r="K1922" s="359" t="s">
        <v>1272</v>
      </c>
      <c r="M1922" t="str">
        <f t="shared" si="30"/>
        <v>BENZENE</v>
      </c>
    </row>
    <row r="1923" spans="1:13" ht="30" x14ac:dyDescent="0.25">
      <c r="A1923" s="359" t="s">
        <v>1978</v>
      </c>
      <c r="B1923" s="359" t="s">
        <v>815</v>
      </c>
      <c r="C1923" s="359" t="s">
        <v>1276</v>
      </c>
      <c r="D1923" s="359" t="s">
        <v>490</v>
      </c>
      <c r="E1923" s="361">
        <v>56678.911564599999</v>
      </c>
      <c r="F1923" s="359" t="s">
        <v>1270</v>
      </c>
      <c r="G1923" s="361">
        <v>1.4992503748125937E-5</v>
      </c>
      <c r="H1923" s="359" t="s">
        <v>490</v>
      </c>
      <c r="I1923" s="361">
        <v>2.3281062851286684E-3</v>
      </c>
      <c r="J1923" s="359" t="s">
        <v>1276</v>
      </c>
      <c r="K1923" s="359" t="s">
        <v>1277</v>
      </c>
      <c r="M1923" t="str">
        <f t="shared" si="30"/>
        <v>BOD, 5-day, 20 deg. C</v>
      </c>
    </row>
    <row r="1924" spans="1:13" ht="30" x14ac:dyDescent="0.25">
      <c r="A1924" s="359" t="s">
        <v>1978</v>
      </c>
      <c r="B1924" s="359" t="s">
        <v>815</v>
      </c>
      <c r="C1924" s="359" t="s">
        <v>1278</v>
      </c>
      <c r="D1924" s="359" t="s">
        <v>1279</v>
      </c>
      <c r="E1924" s="361">
        <v>11495.0415935</v>
      </c>
      <c r="F1924" s="359" t="s">
        <v>1270</v>
      </c>
      <c r="G1924" s="361">
        <v>1.4992503748125937E-5</v>
      </c>
      <c r="H1924" s="359" t="s">
        <v>490</v>
      </c>
      <c r="I1924" s="361">
        <v>4.721628881518145E-4</v>
      </c>
      <c r="J1924" s="359" t="s">
        <v>1278</v>
      </c>
      <c r="K1924" s="359" t="s">
        <v>1277</v>
      </c>
      <c r="M1924" t="str">
        <f t="shared" si="30"/>
        <v>Carbon, tot organic (TOC)</v>
      </c>
    </row>
    <row r="1925" spans="1:13" ht="30" x14ac:dyDescent="0.25">
      <c r="A1925" s="359" t="s">
        <v>1978</v>
      </c>
      <c r="B1925" s="359" t="s">
        <v>815</v>
      </c>
      <c r="C1925" s="359" t="s">
        <v>1291</v>
      </c>
      <c r="D1925" s="359" t="s">
        <v>1292</v>
      </c>
      <c r="E1925" s="360"/>
      <c r="F1925" s="359" t="s">
        <v>1270</v>
      </c>
      <c r="G1925" s="361">
        <v>1.4992503748125937E-5</v>
      </c>
      <c r="H1925" s="359" t="s">
        <v>1887</v>
      </c>
      <c r="I1925" s="361">
        <v>0.27304228680361803</v>
      </c>
      <c r="J1925" s="359" t="s">
        <v>1291</v>
      </c>
      <c r="K1925" s="359" t="s">
        <v>1272</v>
      </c>
      <c r="M1925" t="str">
        <f t="shared" si="30"/>
        <v>CYCLOHEXANE</v>
      </c>
    </row>
    <row r="1926" spans="1:13" ht="30" x14ac:dyDescent="0.25">
      <c r="A1926" s="359" t="s">
        <v>1978</v>
      </c>
      <c r="B1926" s="359" t="s">
        <v>815</v>
      </c>
      <c r="C1926" s="359" t="s">
        <v>1295</v>
      </c>
      <c r="D1926" s="359" t="s">
        <v>1296</v>
      </c>
      <c r="E1926" s="360"/>
      <c r="F1926" s="359" t="s">
        <v>1270</v>
      </c>
      <c r="G1926" s="361">
        <v>1.4992503748125937E-5</v>
      </c>
      <c r="H1926" s="359" t="s">
        <v>1580</v>
      </c>
      <c r="I1926" s="361">
        <v>4.9644052146112373E-2</v>
      </c>
      <c r="J1926" s="359" t="s">
        <v>1295</v>
      </c>
      <c r="K1926" s="359" t="s">
        <v>1272</v>
      </c>
      <c r="M1926" t="str">
        <f t="shared" ref="M1926:M1989" si="31">IF(J1926="",C1926,J1926)</f>
        <v>ETHYLBENZENE</v>
      </c>
    </row>
    <row r="1927" spans="1:13" ht="30" x14ac:dyDescent="0.25">
      <c r="A1927" s="359" t="s">
        <v>1978</v>
      </c>
      <c r="B1927" s="359" t="s">
        <v>815</v>
      </c>
      <c r="C1927" s="359" t="s">
        <v>1365</v>
      </c>
      <c r="D1927" s="359" t="s">
        <v>1366</v>
      </c>
      <c r="E1927" s="360"/>
      <c r="F1927" s="359" t="s">
        <v>1270</v>
      </c>
      <c r="G1927" s="361">
        <v>1.4992503748125937E-5</v>
      </c>
      <c r="H1927" s="359" t="s">
        <v>1286</v>
      </c>
      <c r="I1927" s="361">
        <v>0</v>
      </c>
      <c r="J1927" s="359" t="s">
        <v>1028</v>
      </c>
      <c r="K1927" s="359" t="s">
        <v>1272</v>
      </c>
      <c r="M1927" t="str">
        <f t="shared" si="31"/>
        <v>ETHENE</v>
      </c>
    </row>
    <row r="1928" spans="1:13" ht="30" x14ac:dyDescent="0.25">
      <c r="A1928" s="359" t="s">
        <v>1978</v>
      </c>
      <c r="B1928" s="359" t="s">
        <v>815</v>
      </c>
      <c r="C1928" s="359" t="s">
        <v>1303</v>
      </c>
      <c r="D1928" s="359" t="s">
        <v>1304</v>
      </c>
      <c r="E1928" s="360"/>
      <c r="F1928" s="359" t="s">
        <v>1270</v>
      </c>
      <c r="G1928" s="361">
        <v>1.4992503748125937E-5</v>
      </c>
      <c r="H1928" s="359" t="s">
        <v>1652</v>
      </c>
      <c r="I1928" s="361">
        <v>9.9288104292224746E-2</v>
      </c>
      <c r="J1928" s="359" t="s">
        <v>1303</v>
      </c>
      <c r="K1928" s="359" t="s">
        <v>1272</v>
      </c>
      <c r="M1928" t="str">
        <f t="shared" si="31"/>
        <v>NAPHTHALENE</v>
      </c>
    </row>
    <row r="1929" spans="1:13" ht="30" x14ac:dyDescent="0.25">
      <c r="A1929" s="359" t="s">
        <v>1978</v>
      </c>
      <c r="B1929" s="359" t="s">
        <v>815</v>
      </c>
      <c r="C1929" s="359" t="s">
        <v>1305</v>
      </c>
      <c r="D1929" s="359" t="s">
        <v>1306</v>
      </c>
      <c r="E1929" s="360"/>
      <c r="F1929" s="359" t="s">
        <v>1270</v>
      </c>
      <c r="G1929" s="361">
        <v>1.4992503748125937E-5</v>
      </c>
      <c r="H1929" s="359" t="s">
        <v>1979</v>
      </c>
      <c r="I1929" s="361">
        <v>0.19857620858444949</v>
      </c>
      <c r="J1929" s="359" t="s">
        <v>1305</v>
      </c>
      <c r="K1929" s="359" t="s">
        <v>1272</v>
      </c>
      <c r="M1929" t="str">
        <f t="shared" si="31"/>
        <v>N-HEXANE</v>
      </c>
    </row>
    <row r="1930" spans="1:13" ht="30" x14ac:dyDescent="0.25">
      <c r="A1930" s="359" t="s">
        <v>1978</v>
      </c>
      <c r="B1930" s="359" t="s">
        <v>815</v>
      </c>
      <c r="C1930" s="359" t="s">
        <v>1311</v>
      </c>
      <c r="D1930" s="359" t="s">
        <v>1312</v>
      </c>
      <c r="E1930" s="361">
        <v>14942.8571429</v>
      </c>
      <c r="F1930" s="359" t="s">
        <v>1270</v>
      </c>
      <c r="G1930" s="361">
        <v>1.4992503748125937E-5</v>
      </c>
      <c r="H1930" s="359" t="s">
        <v>490</v>
      </c>
      <c r="I1930" s="361">
        <v>6.1378312800722929E-4</v>
      </c>
      <c r="J1930" s="359" t="s">
        <v>1313</v>
      </c>
      <c r="K1930" s="359" t="s">
        <v>1277</v>
      </c>
      <c r="M1930" t="str">
        <f t="shared" si="31"/>
        <v>AMMONIA</v>
      </c>
    </row>
    <row r="1931" spans="1:13" ht="30" x14ac:dyDescent="0.25">
      <c r="A1931" s="359" t="s">
        <v>1978</v>
      </c>
      <c r="B1931" s="359" t="s">
        <v>815</v>
      </c>
      <c r="C1931" s="359" t="s">
        <v>1341</v>
      </c>
      <c r="D1931" s="359" t="s">
        <v>490</v>
      </c>
      <c r="E1931" s="361">
        <v>9219.8206544585319</v>
      </c>
      <c r="F1931" s="359" t="s">
        <v>1270</v>
      </c>
      <c r="G1931" s="361">
        <v>1.4992503748125937E-5</v>
      </c>
      <c r="H1931" s="359" t="s">
        <v>490</v>
      </c>
      <c r="I1931" s="361">
        <v>3.7870738553155746E-4</v>
      </c>
      <c r="J1931" s="359" t="s">
        <v>1341</v>
      </c>
      <c r="K1931" s="359" t="s">
        <v>1277</v>
      </c>
      <c r="M1931" t="str">
        <f t="shared" si="31"/>
        <v>Oil &amp; grease</v>
      </c>
    </row>
    <row r="1932" spans="1:13" ht="30" x14ac:dyDescent="0.25">
      <c r="A1932" s="359" t="s">
        <v>1978</v>
      </c>
      <c r="B1932" s="359" t="s">
        <v>815</v>
      </c>
      <c r="C1932" s="359" t="s">
        <v>1457</v>
      </c>
      <c r="D1932" s="359" t="s">
        <v>490</v>
      </c>
      <c r="E1932" s="361">
        <v>183891.60997699999</v>
      </c>
      <c r="F1932" s="359" t="s">
        <v>1270</v>
      </c>
      <c r="G1932" s="361">
        <v>1.4992503748125937E-5</v>
      </c>
      <c r="H1932" s="359" t="s">
        <v>490</v>
      </c>
      <c r="I1932" s="361">
        <v>7.5534127447372196E-3</v>
      </c>
      <c r="J1932" s="359" t="s">
        <v>1457</v>
      </c>
      <c r="K1932" s="359" t="s">
        <v>1277</v>
      </c>
      <c r="M1932" t="str">
        <f t="shared" si="31"/>
        <v>Chemical Oxygen Demand (COD)</v>
      </c>
    </row>
    <row r="1933" spans="1:13" ht="30" x14ac:dyDescent="0.25">
      <c r="A1933" s="359" t="s">
        <v>1978</v>
      </c>
      <c r="B1933" s="359" t="s">
        <v>815</v>
      </c>
      <c r="C1933" s="359" t="s">
        <v>1318</v>
      </c>
      <c r="D1933" s="359" t="s">
        <v>490</v>
      </c>
      <c r="E1933" s="361">
        <v>64.308390022699996</v>
      </c>
      <c r="F1933" s="359" t="s">
        <v>1270</v>
      </c>
      <c r="G1933" s="361">
        <v>1.4992503748125937E-5</v>
      </c>
      <c r="H1933" s="359" t="s">
        <v>490</v>
      </c>
      <c r="I1933" s="361">
        <v>2.6414898039760941E-6</v>
      </c>
      <c r="J1933" s="359" t="s">
        <v>1318</v>
      </c>
      <c r="K1933" s="359" t="s">
        <v>1277</v>
      </c>
      <c r="M1933" t="str">
        <f t="shared" si="31"/>
        <v>Phenolics, total recoverable</v>
      </c>
    </row>
    <row r="1934" spans="1:13" ht="30" x14ac:dyDescent="0.25">
      <c r="A1934" s="359" t="s">
        <v>1978</v>
      </c>
      <c r="B1934" s="359" t="s">
        <v>815</v>
      </c>
      <c r="C1934" s="359" t="s">
        <v>1425</v>
      </c>
      <c r="D1934" s="359" t="s">
        <v>1426</v>
      </c>
      <c r="E1934" s="360"/>
      <c r="F1934" s="359" t="s">
        <v>1270</v>
      </c>
      <c r="G1934" s="361">
        <v>1.4992503748125937E-5</v>
      </c>
      <c r="H1934" s="359" t="s">
        <v>1500</v>
      </c>
      <c r="I1934" s="361">
        <v>2.4822026073056187E-2</v>
      </c>
      <c r="J1934" s="359" t="s">
        <v>1425</v>
      </c>
      <c r="K1934" s="359" t="s">
        <v>1272</v>
      </c>
      <c r="M1934" t="str">
        <f t="shared" si="31"/>
        <v>PROPYLENE</v>
      </c>
    </row>
    <row r="1935" spans="1:13" ht="30" x14ac:dyDescent="0.25">
      <c r="A1935" s="359" t="s">
        <v>1978</v>
      </c>
      <c r="B1935" s="359" t="s">
        <v>815</v>
      </c>
      <c r="C1935" s="359" t="s">
        <v>1605</v>
      </c>
      <c r="D1935" s="359" t="s">
        <v>490</v>
      </c>
      <c r="E1935" s="361">
        <v>1262366.5694800001</v>
      </c>
      <c r="F1935" s="359" t="s">
        <v>1270</v>
      </c>
      <c r="G1935" s="361">
        <v>1.4992503748125937E-5</v>
      </c>
      <c r="H1935" s="359" t="s">
        <v>490</v>
      </c>
      <c r="I1935" s="361">
        <v>5.1852152121747347E-2</v>
      </c>
      <c r="J1935" s="359" t="s">
        <v>1605</v>
      </c>
      <c r="K1935" s="359" t="s">
        <v>1277</v>
      </c>
      <c r="M1935" t="str">
        <f t="shared" si="31"/>
        <v>Solids, total dissolved</v>
      </c>
    </row>
    <row r="1936" spans="1:13" ht="30" x14ac:dyDescent="0.25">
      <c r="A1936" s="359" t="s">
        <v>1978</v>
      </c>
      <c r="B1936" s="359" t="s">
        <v>815</v>
      </c>
      <c r="C1936" s="359" t="s">
        <v>1322</v>
      </c>
      <c r="D1936" s="359" t="s">
        <v>490</v>
      </c>
      <c r="E1936" s="361">
        <v>45311.564625810002</v>
      </c>
      <c r="F1936" s="359" t="s">
        <v>1270</v>
      </c>
      <c r="G1936" s="361">
        <v>1.4992503748125937E-5</v>
      </c>
      <c r="H1936" s="359" t="s">
        <v>490</v>
      </c>
      <c r="I1936" s="361">
        <v>1.8611884999613893E-3</v>
      </c>
      <c r="J1936" s="359" t="s">
        <v>1322</v>
      </c>
      <c r="K1936" s="359" t="s">
        <v>1277</v>
      </c>
      <c r="M1936" t="str">
        <f t="shared" si="31"/>
        <v>Solids, total suspended</v>
      </c>
    </row>
    <row r="1937" spans="1:13" ht="30" x14ac:dyDescent="0.25">
      <c r="A1937" s="359" t="s">
        <v>1978</v>
      </c>
      <c r="B1937" s="359" t="s">
        <v>815</v>
      </c>
      <c r="C1937" s="359" t="s">
        <v>1323</v>
      </c>
      <c r="D1937" s="359" t="s">
        <v>1324</v>
      </c>
      <c r="E1937" s="361">
        <v>222.222222222</v>
      </c>
      <c r="F1937" s="359" t="s">
        <v>1270</v>
      </c>
      <c r="G1937" s="361">
        <v>1.4992503748125937E-5</v>
      </c>
      <c r="H1937" s="359" t="s">
        <v>490</v>
      </c>
      <c r="I1937" s="361">
        <v>9.1278561632334514E-6</v>
      </c>
      <c r="J1937" s="359" t="s">
        <v>1323</v>
      </c>
      <c r="K1937" s="359" t="s">
        <v>1277</v>
      </c>
      <c r="M1937" t="str">
        <f t="shared" si="31"/>
        <v>Sulfide, total (as S)</v>
      </c>
    </row>
    <row r="1938" spans="1:13" ht="30" x14ac:dyDescent="0.25">
      <c r="A1938" s="359" t="s">
        <v>1978</v>
      </c>
      <c r="B1938" s="359" t="s">
        <v>815</v>
      </c>
      <c r="C1938" s="359" t="s">
        <v>1325</v>
      </c>
      <c r="D1938" s="359" t="s">
        <v>1326</v>
      </c>
      <c r="E1938" s="360"/>
      <c r="F1938" s="359" t="s">
        <v>1270</v>
      </c>
      <c r="G1938" s="361">
        <v>1.4992503748125937E-5</v>
      </c>
      <c r="H1938" s="359" t="s">
        <v>1619</v>
      </c>
      <c r="I1938" s="361">
        <v>0.12411013036528093</v>
      </c>
      <c r="J1938" s="359" t="s">
        <v>1325</v>
      </c>
      <c r="K1938" s="359" t="s">
        <v>1272</v>
      </c>
      <c r="M1938" t="str">
        <f t="shared" si="31"/>
        <v>TOLUENE</v>
      </c>
    </row>
    <row r="1939" spans="1:13" ht="30" x14ac:dyDescent="0.25">
      <c r="A1939" s="359" t="s">
        <v>1978</v>
      </c>
      <c r="B1939" s="359" t="s">
        <v>815</v>
      </c>
      <c r="C1939" s="359" t="s">
        <v>1327</v>
      </c>
      <c r="D1939" s="359" t="s">
        <v>1328</v>
      </c>
      <c r="E1939" s="360"/>
      <c r="F1939" s="359" t="s">
        <v>1270</v>
      </c>
      <c r="G1939" s="361">
        <v>1.4992503748125937E-5</v>
      </c>
      <c r="H1939" s="359" t="s">
        <v>1980</v>
      </c>
      <c r="I1939" s="361">
        <v>0.1489321564383371</v>
      </c>
      <c r="J1939" s="359" t="s">
        <v>1329</v>
      </c>
      <c r="K1939" s="359" t="s">
        <v>1272</v>
      </c>
      <c r="M1939" t="str">
        <f t="shared" si="31"/>
        <v>XYLENES</v>
      </c>
    </row>
    <row r="1940" spans="1:13" x14ac:dyDescent="0.25">
      <c r="A1940" s="359" t="s">
        <v>1981</v>
      </c>
      <c r="B1940" s="359" t="s">
        <v>885</v>
      </c>
      <c r="C1940" s="359" t="s">
        <v>1268</v>
      </c>
      <c r="D1940" s="359" t="s">
        <v>1269</v>
      </c>
      <c r="E1940" s="360"/>
      <c r="F1940" s="359" t="s">
        <v>1270</v>
      </c>
      <c r="G1940" s="361">
        <v>2.564102564102564E-5</v>
      </c>
      <c r="H1940" s="359" t="s">
        <v>1286</v>
      </c>
      <c r="I1940" s="361">
        <v>0</v>
      </c>
      <c r="J1940" s="359" t="s">
        <v>1268</v>
      </c>
      <c r="K1940" s="359" t="s">
        <v>1272</v>
      </c>
      <c r="M1940" t="str">
        <f t="shared" si="31"/>
        <v>1,2,4-TRIMETHYLBENZENE</v>
      </c>
    </row>
    <row r="1941" spans="1:13" x14ac:dyDescent="0.25">
      <c r="A1941" s="359" t="s">
        <v>1981</v>
      </c>
      <c r="B1941" s="359" t="s">
        <v>885</v>
      </c>
      <c r="C1941" s="359" t="s">
        <v>1313</v>
      </c>
      <c r="D1941" s="359" t="s">
        <v>1312</v>
      </c>
      <c r="E1941" s="360"/>
      <c r="F1941" s="359" t="s">
        <v>1270</v>
      </c>
      <c r="G1941" s="361">
        <v>2.564102564102564E-5</v>
      </c>
      <c r="H1941" s="359" t="s">
        <v>1976</v>
      </c>
      <c r="I1941" s="361">
        <v>0.11037527593818983</v>
      </c>
      <c r="J1941" s="359" t="s">
        <v>1313</v>
      </c>
      <c r="K1941" s="359" t="s">
        <v>1272</v>
      </c>
      <c r="M1941" t="str">
        <f t="shared" si="31"/>
        <v>AMMONIA</v>
      </c>
    </row>
    <row r="1942" spans="1:13" x14ac:dyDescent="0.25">
      <c r="A1942" s="359" t="s">
        <v>1981</v>
      </c>
      <c r="B1942" s="359" t="s">
        <v>885</v>
      </c>
      <c r="C1942" s="359" t="s">
        <v>1273</v>
      </c>
      <c r="D1942" s="359" t="s">
        <v>1274</v>
      </c>
      <c r="E1942" s="360"/>
      <c r="F1942" s="359" t="s">
        <v>1270</v>
      </c>
      <c r="G1942" s="361">
        <v>2.564102564102564E-5</v>
      </c>
      <c r="H1942" s="359" t="s">
        <v>1286</v>
      </c>
      <c r="I1942" s="361">
        <v>0</v>
      </c>
      <c r="J1942" s="359" t="s">
        <v>1273</v>
      </c>
      <c r="K1942" s="359" t="s">
        <v>1272</v>
      </c>
      <c r="M1942" t="str">
        <f t="shared" si="31"/>
        <v>BENZENE</v>
      </c>
    </row>
    <row r="1943" spans="1:13" x14ac:dyDescent="0.25">
      <c r="A1943" s="359" t="s">
        <v>1981</v>
      </c>
      <c r="B1943" s="359" t="s">
        <v>885</v>
      </c>
      <c r="C1943" s="359" t="s">
        <v>1352</v>
      </c>
      <c r="D1943" s="359" t="s">
        <v>1353</v>
      </c>
      <c r="E1943" s="360"/>
      <c r="F1943" s="359" t="s">
        <v>1270</v>
      </c>
      <c r="G1943" s="361">
        <v>2.564102564102564E-5</v>
      </c>
      <c r="H1943" s="359" t="s">
        <v>1286</v>
      </c>
      <c r="I1943" s="361">
        <v>0</v>
      </c>
      <c r="J1943" s="359" t="s">
        <v>1352</v>
      </c>
      <c r="K1943" s="359" t="s">
        <v>1272</v>
      </c>
      <c r="M1943" t="str">
        <f t="shared" si="31"/>
        <v>BENZO(G,H,I)PERYLENE</v>
      </c>
    </row>
    <row r="1944" spans="1:13" x14ac:dyDescent="0.25">
      <c r="A1944" s="359" t="s">
        <v>1981</v>
      </c>
      <c r="B1944" s="359" t="s">
        <v>885</v>
      </c>
      <c r="C1944" s="359" t="s">
        <v>1291</v>
      </c>
      <c r="D1944" s="359" t="s">
        <v>1292</v>
      </c>
      <c r="E1944" s="360"/>
      <c r="F1944" s="359" t="s">
        <v>1270</v>
      </c>
      <c r="G1944" s="361">
        <v>2.564102564102564E-5</v>
      </c>
      <c r="H1944" s="359" t="s">
        <v>1286</v>
      </c>
      <c r="I1944" s="361">
        <v>0</v>
      </c>
      <c r="J1944" s="359" t="s">
        <v>1291</v>
      </c>
      <c r="K1944" s="359" t="s">
        <v>1272</v>
      </c>
      <c r="M1944" t="str">
        <f t="shared" si="31"/>
        <v>CYCLOHEXANE</v>
      </c>
    </row>
    <row r="1945" spans="1:13" x14ac:dyDescent="0.25">
      <c r="A1945" s="359" t="s">
        <v>1981</v>
      </c>
      <c r="B1945" s="359" t="s">
        <v>885</v>
      </c>
      <c r="C1945" s="359" t="s">
        <v>1295</v>
      </c>
      <c r="D1945" s="359" t="s">
        <v>1296</v>
      </c>
      <c r="E1945" s="360"/>
      <c r="F1945" s="359" t="s">
        <v>1270</v>
      </c>
      <c r="G1945" s="361">
        <v>2.564102564102564E-5</v>
      </c>
      <c r="H1945" s="359" t="s">
        <v>1286</v>
      </c>
      <c r="I1945" s="361">
        <v>0</v>
      </c>
      <c r="J1945" s="359" t="s">
        <v>1295</v>
      </c>
      <c r="K1945" s="359" t="s">
        <v>1272</v>
      </c>
      <c r="M1945" t="str">
        <f t="shared" si="31"/>
        <v>ETHYLBENZENE</v>
      </c>
    </row>
    <row r="1946" spans="1:13" x14ac:dyDescent="0.25">
      <c r="A1946" s="359" t="s">
        <v>1981</v>
      </c>
      <c r="B1946" s="359" t="s">
        <v>885</v>
      </c>
      <c r="C1946" s="359" t="s">
        <v>1297</v>
      </c>
      <c r="D1946" s="359" t="s">
        <v>1298</v>
      </c>
      <c r="E1946" s="360"/>
      <c r="F1946" s="359" t="s">
        <v>1270</v>
      </c>
      <c r="G1946" s="361">
        <v>2.564102564102564E-5</v>
      </c>
      <c r="H1946" s="359" t="s">
        <v>1299</v>
      </c>
      <c r="I1946" s="361">
        <v>4.2452029206996089E-4</v>
      </c>
      <c r="J1946" s="359" t="s">
        <v>1297</v>
      </c>
      <c r="K1946" s="359" t="s">
        <v>1272</v>
      </c>
      <c r="M1946" t="str">
        <f t="shared" si="31"/>
        <v>LEAD AND LEAD COMPOUNDS</v>
      </c>
    </row>
    <row r="1947" spans="1:13" x14ac:dyDescent="0.25">
      <c r="A1947" s="359" t="s">
        <v>1981</v>
      </c>
      <c r="B1947" s="359" t="s">
        <v>885</v>
      </c>
      <c r="C1947" s="359" t="s">
        <v>1300</v>
      </c>
      <c r="D1947" s="359" t="s">
        <v>1301</v>
      </c>
      <c r="E1947" s="360"/>
      <c r="F1947" s="359" t="s">
        <v>1270</v>
      </c>
      <c r="G1947" s="361">
        <v>2.564102564102564E-5</v>
      </c>
      <c r="H1947" s="359" t="s">
        <v>1336</v>
      </c>
      <c r="I1947" s="361">
        <v>2.9716420444897261E-4</v>
      </c>
      <c r="J1947" s="359" t="s">
        <v>1300</v>
      </c>
      <c r="K1947" s="359" t="s">
        <v>1272</v>
      </c>
      <c r="M1947" t="str">
        <f t="shared" si="31"/>
        <v>MERCURY AND MERCURY COMPOUNDS</v>
      </c>
    </row>
    <row r="1948" spans="1:13" x14ac:dyDescent="0.25">
      <c r="A1948" s="359" t="s">
        <v>1981</v>
      </c>
      <c r="B1948" s="359" t="s">
        <v>885</v>
      </c>
      <c r="C1948" s="359" t="s">
        <v>1303</v>
      </c>
      <c r="D1948" s="359" t="s">
        <v>1304</v>
      </c>
      <c r="E1948" s="360"/>
      <c r="F1948" s="359" t="s">
        <v>1270</v>
      </c>
      <c r="G1948" s="361">
        <v>2.564102564102564E-5</v>
      </c>
      <c r="H1948" s="359" t="s">
        <v>1286</v>
      </c>
      <c r="I1948" s="361">
        <v>0</v>
      </c>
      <c r="J1948" s="359" t="s">
        <v>1303</v>
      </c>
      <c r="K1948" s="359" t="s">
        <v>1272</v>
      </c>
      <c r="M1948" t="str">
        <f t="shared" si="31"/>
        <v>NAPHTHALENE</v>
      </c>
    </row>
    <row r="1949" spans="1:13" x14ac:dyDescent="0.25">
      <c r="A1949" s="359" t="s">
        <v>1981</v>
      </c>
      <c r="B1949" s="359" t="s">
        <v>885</v>
      </c>
      <c r="C1949" s="359" t="s">
        <v>1305</v>
      </c>
      <c r="D1949" s="359" t="s">
        <v>1306</v>
      </c>
      <c r="E1949" s="360"/>
      <c r="F1949" s="359" t="s">
        <v>1270</v>
      </c>
      <c r="G1949" s="361">
        <v>2.564102564102564E-5</v>
      </c>
      <c r="H1949" s="359" t="s">
        <v>1286</v>
      </c>
      <c r="I1949" s="361">
        <v>0</v>
      </c>
      <c r="J1949" s="359" t="s">
        <v>1305</v>
      </c>
      <c r="K1949" s="359" t="s">
        <v>1272</v>
      </c>
      <c r="M1949" t="str">
        <f t="shared" si="31"/>
        <v>N-HEXANE</v>
      </c>
    </row>
    <row r="1950" spans="1:13" x14ac:dyDescent="0.25">
      <c r="A1950" s="359" t="s">
        <v>1981</v>
      </c>
      <c r="B1950" s="359" t="s">
        <v>885</v>
      </c>
      <c r="C1950" s="359" t="s">
        <v>1319</v>
      </c>
      <c r="D1950" s="359" t="s">
        <v>1320</v>
      </c>
      <c r="E1950" s="360"/>
      <c r="F1950" s="359" t="s">
        <v>1270</v>
      </c>
      <c r="G1950" s="361">
        <v>2.564102564102564E-5</v>
      </c>
      <c r="H1950" s="359" t="s">
        <v>1286</v>
      </c>
      <c r="I1950" s="361">
        <v>0</v>
      </c>
      <c r="J1950" s="359" t="s">
        <v>1319</v>
      </c>
      <c r="K1950" s="359" t="s">
        <v>1272</v>
      </c>
      <c r="M1950" t="str">
        <f t="shared" si="31"/>
        <v>POLYCYCLIC AROMATIC COMPOUNDS</v>
      </c>
    </row>
    <row r="1951" spans="1:13" x14ac:dyDescent="0.25">
      <c r="A1951" s="359" t="s">
        <v>1981</v>
      </c>
      <c r="B1951" s="359" t="s">
        <v>885</v>
      </c>
      <c r="C1951" s="359" t="s">
        <v>1325</v>
      </c>
      <c r="D1951" s="359" t="s">
        <v>1326</v>
      </c>
      <c r="E1951" s="360"/>
      <c r="F1951" s="359" t="s">
        <v>1270</v>
      </c>
      <c r="G1951" s="361">
        <v>2.564102564102564E-5</v>
      </c>
      <c r="H1951" s="359" t="s">
        <v>1383</v>
      </c>
      <c r="I1951" s="361">
        <v>8.0658855493292575E-2</v>
      </c>
      <c r="J1951" s="359" t="s">
        <v>1325</v>
      </c>
      <c r="K1951" s="359" t="s">
        <v>1272</v>
      </c>
      <c r="M1951" t="str">
        <f t="shared" si="31"/>
        <v>TOLUENE</v>
      </c>
    </row>
    <row r="1952" spans="1:13" x14ac:dyDescent="0.25">
      <c r="A1952" s="359" t="s">
        <v>1981</v>
      </c>
      <c r="B1952" s="359" t="s">
        <v>885</v>
      </c>
      <c r="C1952" s="359" t="s">
        <v>1327</v>
      </c>
      <c r="D1952" s="359" t="s">
        <v>1328</v>
      </c>
      <c r="E1952" s="360"/>
      <c r="F1952" s="359" t="s">
        <v>1270</v>
      </c>
      <c r="G1952" s="361">
        <v>2.564102564102564E-5</v>
      </c>
      <c r="H1952" s="359" t="s">
        <v>1286</v>
      </c>
      <c r="I1952" s="361">
        <v>0</v>
      </c>
      <c r="J1952" s="359" t="s">
        <v>1329</v>
      </c>
      <c r="K1952" s="359" t="s">
        <v>1272</v>
      </c>
      <c r="M1952" t="str">
        <f t="shared" si="31"/>
        <v>XYLENES</v>
      </c>
    </row>
    <row r="1953" spans="1:13" x14ac:dyDescent="0.25">
      <c r="A1953" s="359" t="s">
        <v>1982</v>
      </c>
      <c r="B1953" s="359" t="s">
        <v>809</v>
      </c>
      <c r="C1953" s="359" t="s">
        <v>1268</v>
      </c>
      <c r="D1953" s="359" t="s">
        <v>1269</v>
      </c>
      <c r="E1953" s="360"/>
      <c r="F1953" s="359" t="s">
        <v>1473</v>
      </c>
      <c r="G1953" s="361">
        <v>1.0677093991799605E-5</v>
      </c>
      <c r="H1953" s="359" t="s">
        <v>1346</v>
      </c>
      <c r="I1953" s="361">
        <v>8.8386539667215259E-3</v>
      </c>
      <c r="J1953" s="359" t="s">
        <v>1268</v>
      </c>
      <c r="K1953" s="359" t="s">
        <v>1272</v>
      </c>
      <c r="M1953" t="str">
        <f t="shared" si="31"/>
        <v>1,2,4-TRIMETHYLBENZENE</v>
      </c>
    </row>
    <row r="1954" spans="1:13" x14ac:dyDescent="0.25">
      <c r="A1954" s="359" t="s">
        <v>1982</v>
      </c>
      <c r="B1954" s="359" t="s">
        <v>809</v>
      </c>
      <c r="C1954" s="359" t="s">
        <v>1349</v>
      </c>
      <c r="D1954" s="359" t="s">
        <v>1350</v>
      </c>
      <c r="E1954" s="360"/>
      <c r="F1954" s="359" t="s">
        <v>1473</v>
      </c>
      <c r="G1954" s="361">
        <v>1.0677093991799605E-5</v>
      </c>
      <c r="H1954" s="359" t="s">
        <v>1346</v>
      </c>
      <c r="I1954" s="361">
        <v>8.8386539667215259E-3</v>
      </c>
      <c r="J1954" s="359" t="s">
        <v>1349</v>
      </c>
      <c r="K1954" s="359" t="s">
        <v>1272</v>
      </c>
      <c r="M1954" t="str">
        <f t="shared" si="31"/>
        <v>ANTHRACENE</v>
      </c>
    </row>
    <row r="1955" spans="1:13" x14ac:dyDescent="0.25">
      <c r="A1955" s="359" t="s">
        <v>1982</v>
      </c>
      <c r="B1955" s="359" t="s">
        <v>809</v>
      </c>
      <c r="C1955" s="359" t="s">
        <v>1273</v>
      </c>
      <c r="D1955" s="359" t="s">
        <v>1274</v>
      </c>
      <c r="E1955" s="360"/>
      <c r="F1955" s="359" t="s">
        <v>1473</v>
      </c>
      <c r="G1955" s="361">
        <v>1.0677093991799605E-5</v>
      </c>
      <c r="H1955" s="359" t="s">
        <v>1346</v>
      </c>
      <c r="I1955" s="361">
        <v>8.8386539667215259E-3</v>
      </c>
      <c r="J1955" s="359" t="s">
        <v>1273</v>
      </c>
      <c r="K1955" s="359" t="s">
        <v>1272</v>
      </c>
      <c r="M1955" t="str">
        <f t="shared" si="31"/>
        <v>BENZENE</v>
      </c>
    </row>
    <row r="1956" spans="1:13" x14ac:dyDescent="0.25">
      <c r="A1956" s="359" t="s">
        <v>1982</v>
      </c>
      <c r="B1956" s="359" t="s">
        <v>809</v>
      </c>
      <c r="C1956" s="359" t="s">
        <v>1352</v>
      </c>
      <c r="D1956" s="359" t="s">
        <v>1353</v>
      </c>
      <c r="E1956" s="360"/>
      <c r="F1956" s="359" t="s">
        <v>1473</v>
      </c>
      <c r="G1956" s="361">
        <v>1.0677093991799605E-5</v>
      </c>
      <c r="H1956" s="359" t="s">
        <v>1346</v>
      </c>
      <c r="I1956" s="361">
        <v>8.8386539667215259E-3</v>
      </c>
      <c r="J1956" s="359" t="s">
        <v>1352</v>
      </c>
      <c r="K1956" s="359" t="s">
        <v>1272</v>
      </c>
      <c r="M1956" t="str">
        <f t="shared" si="31"/>
        <v>BENZO(G,H,I)PERYLENE</v>
      </c>
    </row>
    <row r="1957" spans="1:13" x14ac:dyDescent="0.25">
      <c r="A1957" s="359" t="s">
        <v>1982</v>
      </c>
      <c r="B1957" s="359" t="s">
        <v>809</v>
      </c>
      <c r="C1957" s="359" t="s">
        <v>1276</v>
      </c>
      <c r="D1957" s="359" t="s">
        <v>490</v>
      </c>
      <c r="E1957" s="361">
        <v>20782.222222199998</v>
      </c>
      <c r="F1957" s="359" t="s">
        <v>1473</v>
      </c>
      <c r="G1957" s="361">
        <v>1.0677093991799605E-5</v>
      </c>
      <c r="H1957" s="359" t="s">
        <v>490</v>
      </c>
      <c r="I1957" s="361">
        <v>6.0792805486272828E-4</v>
      </c>
      <c r="J1957" s="359" t="s">
        <v>1276</v>
      </c>
      <c r="K1957" s="359" t="s">
        <v>1277</v>
      </c>
      <c r="M1957" t="str">
        <f t="shared" si="31"/>
        <v>BOD, 5-day, 20 deg. C</v>
      </c>
    </row>
    <row r="1958" spans="1:13" x14ac:dyDescent="0.25">
      <c r="A1958" s="359" t="s">
        <v>1982</v>
      </c>
      <c r="B1958" s="359" t="s">
        <v>809</v>
      </c>
      <c r="C1958" s="359" t="s">
        <v>1280</v>
      </c>
      <c r="D1958" s="359" t="s">
        <v>1281</v>
      </c>
      <c r="E1958" s="361">
        <v>0</v>
      </c>
      <c r="F1958" s="359" t="s">
        <v>1473</v>
      </c>
      <c r="G1958" s="361">
        <v>1.0677093991799605E-5</v>
      </c>
      <c r="H1958" s="359" t="s">
        <v>490</v>
      </c>
      <c r="I1958" s="361">
        <v>0</v>
      </c>
      <c r="J1958" s="359" t="s">
        <v>1280</v>
      </c>
      <c r="K1958" s="359" t="s">
        <v>1277</v>
      </c>
      <c r="M1958" t="str">
        <f t="shared" si="31"/>
        <v>Chromium, hexavalent (as Cr)</v>
      </c>
    </row>
    <row r="1959" spans="1:13" x14ac:dyDescent="0.25">
      <c r="A1959" s="359" t="s">
        <v>1982</v>
      </c>
      <c r="B1959" s="359" t="s">
        <v>809</v>
      </c>
      <c r="C1959" s="359" t="s">
        <v>1282</v>
      </c>
      <c r="D1959" s="359" t="s">
        <v>1283</v>
      </c>
      <c r="E1959" s="361">
        <v>0.321088435374</v>
      </c>
      <c r="F1959" s="359" t="s">
        <v>1473</v>
      </c>
      <c r="G1959" s="361">
        <v>1.0677093991799605E-5</v>
      </c>
      <c r="H1959" s="359" t="s">
        <v>490</v>
      </c>
      <c r="I1959" s="361">
        <v>9.3925791895015643E-9</v>
      </c>
      <c r="J1959" s="359" t="s">
        <v>1282</v>
      </c>
      <c r="K1959" s="359" t="s">
        <v>1277</v>
      </c>
      <c r="M1959" t="str">
        <f t="shared" si="31"/>
        <v>Chromium, total (as Cr)</v>
      </c>
    </row>
    <row r="1960" spans="1:13" x14ac:dyDescent="0.25">
      <c r="A1960" s="359" t="s">
        <v>1982</v>
      </c>
      <c r="B1960" s="359" t="s">
        <v>809</v>
      </c>
      <c r="C1960" s="359" t="s">
        <v>1284</v>
      </c>
      <c r="D1960" s="359" t="s">
        <v>1285</v>
      </c>
      <c r="E1960" s="360"/>
      <c r="F1960" s="359" t="s">
        <v>1473</v>
      </c>
      <c r="G1960" s="361">
        <v>1.0677093991799605E-5</v>
      </c>
      <c r="H1960" s="359" t="s">
        <v>1346</v>
      </c>
      <c r="I1960" s="361">
        <v>8.8386539667215259E-3</v>
      </c>
      <c r="J1960" s="359" t="s">
        <v>1287</v>
      </c>
      <c r="K1960" s="359" t="s">
        <v>1272</v>
      </c>
      <c r="M1960" t="str">
        <f t="shared" si="31"/>
        <v>ISOPROPYLBENZENE</v>
      </c>
    </row>
    <row r="1961" spans="1:13" x14ac:dyDescent="0.25">
      <c r="A1961" s="359" t="s">
        <v>1982</v>
      </c>
      <c r="B1961" s="359" t="s">
        <v>809</v>
      </c>
      <c r="C1961" s="359" t="s">
        <v>1291</v>
      </c>
      <c r="D1961" s="359" t="s">
        <v>1292</v>
      </c>
      <c r="E1961" s="360"/>
      <c r="F1961" s="359" t="s">
        <v>1473</v>
      </c>
      <c r="G1961" s="361">
        <v>1.0677093991799605E-5</v>
      </c>
      <c r="H1961" s="359" t="s">
        <v>1346</v>
      </c>
      <c r="I1961" s="361">
        <v>8.8386539667215259E-3</v>
      </c>
      <c r="J1961" s="359" t="s">
        <v>1291</v>
      </c>
      <c r="K1961" s="359" t="s">
        <v>1272</v>
      </c>
      <c r="M1961" t="str">
        <f t="shared" si="31"/>
        <v>CYCLOHEXANE</v>
      </c>
    </row>
    <row r="1962" spans="1:13" x14ac:dyDescent="0.25">
      <c r="A1962" s="359" t="s">
        <v>1982</v>
      </c>
      <c r="B1962" s="359" t="s">
        <v>809</v>
      </c>
      <c r="C1962" s="359" t="s">
        <v>1362</v>
      </c>
      <c r="D1962" s="359" t="s">
        <v>1363</v>
      </c>
      <c r="E1962" s="360"/>
      <c r="F1962" s="359" t="s">
        <v>1473</v>
      </c>
      <c r="G1962" s="361">
        <v>1.0677093991799605E-5</v>
      </c>
      <c r="H1962" s="359" t="s">
        <v>1983</v>
      </c>
      <c r="I1962" s="361">
        <v>7.4821857424487736E-7</v>
      </c>
      <c r="J1962" s="359" t="s">
        <v>1362</v>
      </c>
      <c r="K1962" s="359" t="s">
        <v>1272</v>
      </c>
      <c r="M1962" t="str">
        <f t="shared" si="31"/>
        <v>DIOXIN AND DIOXIN-LIKE COMPOUNDS</v>
      </c>
    </row>
    <row r="1963" spans="1:13" x14ac:dyDescent="0.25">
      <c r="A1963" s="359" t="s">
        <v>1982</v>
      </c>
      <c r="B1963" s="359" t="s">
        <v>809</v>
      </c>
      <c r="C1963" s="359" t="s">
        <v>1295</v>
      </c>
      <c r="D1963" s="359" t="s">
        <v>1296</v>
      </c>
      <c r="E1963" s="360"/>
      <c r="F1963" s="359" t="s">
        <v>1473</v>
      </c>
      <c r="G1963" s="361">
        <v>1.0677093991799605E-5</v>
      </c>
      <c r="H1963" s="359" t="s">
        <v>1346</v>
      </c>
      <c r="I1963" s="361">
        <v>8.8386539667215259E-3</v>
      </c>
      <c r="J1963" s="359" t="s">
        <v>1295</v>
      </c>
      <c r="K1963" s="359" t="s">
        <v>1272</v>
      </c>
      <c r="M1963" t="str">
        <f t="shared" si="31"/>
        <v>ETHYLBENZENE</v>
      </c>
    </row>
    <row r="1964" spans="1:13" x14ac:dyDescent="0.25">
      <c r="A1964" s="359" t="s">
        <v>1982</v>
      </c>
      <c r="B1964" s="359" t="s">
        <v>809</v>
      </c>
      <c r="C1964" s="359" t="s">
        <v>1297</v>
      </c>
      <c r="D1964" s="359" t="s">
        <v>1298</v>
      </c>
      <c r="E1964" s="360"/>
      <c r="F1964" s="359" t="s">
        <v>1473</v>
      </c>
      <c r="G1964" s="361">
        <v>1.0677093991799605E-5</v>
      </c>
      <c r="H1964" s="359" t="s">
        <v>1984</v>
      </c>
      <c r="I1964" s="361">
        <v>1.1278122461536668E-2</v>
      </c>
      <c r="J1964" s="359" t="s">
        <v>1297</v>
      </c>
      <c r="K1964" s="359" t="s">
        <v>1272</v>
      </c>
      <c r="M1964" t="str">
        <f t="shared" si="31"/>
        <v>LEAD AND LEAD COMPOUNDS</v>
      </c>
    </row>
    <row r="1965" spans="1:13" x14ac:dyDescent="0.25">
      <c r="A1965" s="359" t="s">
        <v>1982</v>
      </c>
      <c r="B1965" s="359" t="s">
        <v>809</v>
      </c>
      <c r="C1965" s="359" t="s">
        <v>1381</v>
      </c>
      <c r="D1965" s="359" t="s">
        <v>1382</v>
      </c>
      <c r="E1965" s="360"/>
      <c r="F1965" s="359" t="s">
        <v>1473</v>
      </c>
      <c r="G1965" s="361">
        <v>1.0677093991799605E-5</v>
      </c>
      <c r="H1965" s="359" t="s">
        <v>1529</v>
      </c>
      <c r="I1965" s="361">
        <v>0.44193269833607629</v>
      </c>
      <c r="J1965" s="359" t="s">
        <v>1381</v>
      </c>
      <c r="K1965" s="359" t="s">
        <v>1272</v>
      </c>
      <c r="M1965" t="str">
        <f t="shared" si="31"/>
        <v>MOLYBDENUM TRIOXIDE</v>
      </c>
    </row>
    <row r="1966" spans="1:13" x14ac:dyDescent="0.25">
      <c r="A1966" s="359" t="s">
        <v>1982</v>
      </c>
      <c r="B1966" s="359" t="s">
        <v>809</v>
      </c>
      <c r="C1966" s="359" t="s">
        <v>1303</v>
      </c>
      <c r="D1966" s="359" t="s">
        <v>1304</v>
      </c>
      <c r="E1966" s="360"/>
      <c r="F1966" s="359" t="s">
        <v>1473</v>
      </c>
      <c r="G1966" s="361">
        <v>1.0677093991799605E-5</v>
      </c>
      <c r="H1966" s="359" t="s">
        <v>1346</v>
      </c>
      <c r="I1966" s="361">
        <v>8.8386539667215259E-3</v>
      </c>
      <c r="J1966" s="359" t="s">
        <v>1303</v>
      </c>
      <c r="K1966" s="359" t="s">
        <v>1272</v>
      </c>
      <c r="M1966" t="str">
        <f t="shared" si="31"/>
        <v>NAPHTHALENE</v>
      </c>
    </row>
    <row r="1967" spans="1:13" x14ac:dyDescent="0.25">
      <c r="A1967" s="359" t="s">
        <v>1982</v>
      </c>
      <c r="B1967" s="359" t="s">
        <v>809</v>
      </c>
      <c r="C1967" s="359" t="s">
        <v>1305</v>
      </c>
      <c r="D1967" s="359" t="s">
        <v>1306</v>
      </c>
      <c r="E1967" s="360"/>
      <c r="F1967" s="359" t="s">
        <v>1473</v>
      </c>
      <c r="G1967" s="361">
        <v>1.0677093991799605E-5</v>
      </c>
      <c r="H1967" s="359" t="s">
        <v>1346</v>
      </c>
      <c r="I1967" s="361">
        <v>8.8386539667215259E-3</v>
      </c>
      <c r="J1967" s="359" t="s">
        <v>1305</v>
      </c>
      <c r="K1967" s="359" t="s">
        <v>1272</v>
      </c>
      <c r="M1967" t="str">
        <f t="shared" si="31"/>
        <v>N-HEXANE</v>
      </c>
    </row>
    <row r="1968" spans="1:13" x14ac:dyDescent="0.25">
      <c r="A1968" s="359" t="s">
        <v>1982</v>
      </c>
      <c r="B1968" s="359" t="s">
        <v>809</v>
      </c>
      <c r="C1968" s="359" t="s">
        <v>1384</v>
      </c>
      <c r="D1968" s="359" t="s">
        <v>1385</v>
      </c>
      <c r="E1968" s="360"/>
      <c r="F1968" s="359" t="s">
        <v>1473</v>
      </c>
      <c r="G1968" s="361">
        <v>1.0677093991799605E-5</v>
      </c>
      <c r="H1968" s="359" t="s">
        <v>1985</v>
      </c>
      <c r="I1968" s="361">
        <v>0.22520890307206451</v>
      </c>
      <c r="J1968" s="359" t="s">
        <v>1384</v>
      </c>
      <c r="K1968" s="359" t="s">
        <v>1272</v>
      </c>
      <c r="M1968" t="str">
        <f t="shared" si="31"/>
        <v>NICKEL AND NICKEL COMPOUNDS</v>
      </c>
    </row>
    <row r="1969" spans="1:13" x14ac:dyDescent="0.25">
      <c r="A1969" s="359" t="s">
        <v>1982</v>
      </c>
      <c r="B1969" s="359" t="s">
        <v>809</v>
      </c>
      <c r="C1969" s="359" t="s">
        <v>1307</v>
      </c>
      <c r="D1969" s="359" t="s">
        <v>1308</v>
      </c>
      <c r="E1969" s="360"/>
      <c r="F1969" s="359" t="s">
        <v>1473</v>
      </c>
      <c r="G1969" s="361">
        <v>1.0677093991799605E-5</v>
      </c>
      <c r="H1969" s="359" t="s">
        <v>1986</v>
      </c>
      <c r="I1969" s="361">
        <v>31.743141856083689</v>
      </c>
      <c r="J1969" s="359" t="s">
        <v>1310</v>
      </c>
      <c r="K1969" s="359" t="s">
        <v>1272</v>
      </c>
      <c r="M1969" t="str">
        <f t="shared" si="31"/>
        <v>NITRATE</v>
      </c>
    </row>
    <row r="1970" spans="1:13" x14ac:dyDescent="0.25">
      <c r="A1970" s="359" t="s">
        <v>1982</v>
      </c>
      <c r="B1970" s="359" t="s">
        <v>809</v>
      </c>
      <c r="C1970" s="359" t="s">
        <v>1311</v>
      </c>
      <c r="D1970" s="359" t="s">
        <v>1312</v>
      </c>
      <c r="E1970" s="361">
        <v>2428.97959184</v>
      </c>
      <c r="F1970" s="359" t="s">
        <v>1473</v>
      </c>
      <c r="G1970" s="361">
        <v>1.0677093991799605E-5</v>
      </c>
      <c r="H1970" s="359" t="s">
        <v>490</v>
      </c>
      <c r="I1970" s="361">
        <v>7.1053269606133478E-5</v>
      </c>
      <c r="J1970" s="359" t="s">
        <v>1313</v>
      </c>
      <c r="K1970" s="359" t="s">
        <v>1277</v>
      </c>
      <c r="M1970" t="str">
        <f t="shared" si="31"/>
        <v>AMMONIA</v>
      </c>
    </row>
    <row r="1971" spans="1:13" x14ac:dyDescent="0.25">
      <c r="A1971" s="359" t="s">
        <v>1982</v>
      </c>
      <c r="B1971" s="359" t="s">
        <v>809</v>
      </c>
      <c r="C1971" s="359" t="s">
        <v>1460</v>
      </c>
      <c r="D1971" s="359" t="s">
        <v>490</v>
      </c>
      <c r="E1971" s="361">
        <v>5080.43466549</v>
      </c>
      <c r="F1971" s="359" t="s">
        <v>1473</v>
      </c>
      <c r="G1971" s="361">
        <v>1.0677093991799605E-5</v>
      </c>
      <c r="H1971" s="359" t="s">
        <v>490</v>
      </c>
      <c r="I1971" s="361">
        <v>1.4861446148666771E-4</v>
      </c>
      <c r="J1971" s="359" t="s">
        <v>1460</v>
      </c>
      <c r="K1971" s="359" t="s">
        <v>1277</v>
      </c>
      <c r="M1971" t="str">
        <f t="shared" si="31"/>
        <v>Oil and grease, hexane extr method</v>
      </c>
    </row>
    <row r="1972" spans="1:13" x14ac:dyDescent="0.25">
      <c r="A1972" s="359" t="s">
        <v>1982</v>
      </c>
      <c r="B1972" s="359" t="s">
        <v>809</v>
      </c>
      <c r="C1972" s="359" t="s">
        <v>1457</v>
      </c>
      <c r="D1972" s="359" t="s">
        <v>490</v>
      </c>
      <c r="E1972" s="361">
        <v>157488.74676500005</v>
      </c>
      <c r="F1972" s="359" t="s">
        <v>1473</v>
      </c>
      <c r="G1972" s="361">
        <v>1.0677093991799605E-5</v>
      </c>
      <c r="H1972" s="359" t="s">
        <v>490</v>
      </c>
      <c r="I1972" s="361">
        <v>4.6069100050976199E-3</v>
      </c>
      <c r="J1972" s="359" t="s">
        <v>1457</v>
      </c>
      <c r="K1972" s="359" t="s">
        <v>1277</v>
      </c>
      <c r="M1972" t="str">
        <f t="shared" si="31"/>
        <v>Chemical Oxygen Demand (COD)</v>
      </c>
    </row>
    <row r="1973" spans="1:13" x14ac:dyDescent="0.25">
      <c r="A1973" s="359" t="s">
        <v>1982</v>
      </c>
      <c r="B1973" s="359" t="s">
        <v>809</v>
      </c>
      <c r="C1973" s="359" t="s">
        <v>1388</v>
      </c>
      <c r="D1973" s="359" t="s">
        <v>1389</v>
      </c>
      <c r="E1973" s="360"/>
      <c r="F1973" s="359" t="s">
        <v>1473</v>
      </c>
      <c r="G1973" s="361">
        <v>1.0677093991799605E-5</v>
      </c>
      <c r="H1973" s="359" t="s">
        <v>1346</v>
      </c>
      <c r="I1973" s="361">
        <v>8.8386539667215259E-3</v>
      </c>
      <c r="J1973" s="359" t="s">
        <v>1388</v>
      </c>
      <c r="K1973" s="359" t="s">
        <v>1272</v>
      </c>
      <c r="M1973" t="str">
        <f t="shared" si="31"/>
        <v>PHENANTHRENE</v>
      </c>
    </row>
    <row r="1974" spans="1:13" x14ac:dyDescent="0.25">
      <c r="A1974" s="359" t="s">
        <v>1982</v>
      </c>
      <c r="B1974" s="359" t="s">
        <v>809</v>
      </c>
      <c r="C1974" s="359" t="s">
        <v>1315</v>
      </c>
      <c r="D1974" s="359" t="s">
        <v>1316</v>
      </c>
      <c r="E1974" s="360"/>
      <c r="F1974" s="359" t="s">
        <v>1473</v>
      </c>
      <c r="G1974" s="361">
        <v>1.0677093991799605E-5</v>
      </c>
      <c r="H1974" s="359" t="s">
        <v>1696</v>
      </c>
      <c r="I1974" s="361">
        <v>5.4799654593673468E-2</v>
      </c>
      <c r="J1974" s="359" t="s">
        <v>1315</v>
      </c>
      <c r="K1974" s="359" t="s">
        <v>1272</v>
      </c>
      <c r="M1974" t="str">
        <f t="shared" si="31"/>
        <v>PHENOL</v>
      </c>
    </row>
    <row r="1975" spans="1:13" x14ac:dyDescent="0.25">
      <c r="A1975" s="359" t="s">
        <v>1982</v>
      </c>
      <c r="B1975" s="359" t="s">
        <v>809</v>
      </c>
      <c r="C1975" s="359" t="s">
        <v>1482</v>
      </c>
      <c r="D1975" s="359" t="s">
        <v>490</v>
      </c>
      <c r="E1975" s="361">
        <v>13.650793650800001</v>
      </c>
      <c r="F1975" s="359" t="s">
        <v>1473</v>
      </c>
      <c r="G1975" s="361">
        <v>1.0677093991799605E-5</v>
      </c>
      <c r="H1975" s="359" t="s">
        <v>490</v>
      </c>
      <c r="I1975" s="361">
        <v>3.9931727910206269E-7</v>
      </c>
      <c r="J1975" s="359" t="s">
        <v>1482</v>
      </c>
      <c r="K1975" s="359" t="s">
        <v>1277</v>
      </c>
      <c r="M1975" t="str">
        <f t="shared" si="31"/>
        <v>Phenols</v>
      </c>
    </row>
    <row r="1976" spans="1:13" x14ac:dyDescent="0.25">
      <c r="A1976" s="359" t="s">
        <v>1982</v>
      </c>
      <c r="B1976" s="359" t="s">
        <v>809</v>
      </c>
      <c r="C1976" s="359" t="s">
        <v>1322</v>
      </c>
      <c r="D1976" s="359" t="s">
        <v>490</v>
      </c>
      <c r="E1976" s="361">
        <v>39570.929705199997</v>
      </c>
      <c r="F1976" s="359" t="s">
        <v>1473</v>
      </c>
      <c r="G1976" s="361">
        <v>1.0677093991799605E-5</v>
      </c>
      <c r="H1976" s="359" t="s">
        <v>490</v>
      </c>
      <c r="I1976" s="361">
        <v>1.1575411939871653E-3</v>
      </c>
      <c r="J1976" s="359" t="s">
        <v>1322</v>
      </c>
      <c r="K1976" s="359" t="s">
        <v>1277</v>
      </c>
      <c r="M1976" t="str">
        <f t="shared" si="31"/>
        <v>Solids, total suspended</v>
      </c>
    </row>
    <row r="1977" spans="1:13" x14ac:dyDescent="0.25">
      <c r="A1977" s="359" t="s">
        <v>1982</v>
      </c>
      <c r="B1977" s="359" t="s">
        <v>809</v>
      </c>
      <c r="C1977" s="359" t="s">
        <v>1323</v>
      </c>
      <c r="D1977" s="359" t="s">
        <v>1324</v>
      </c>
      <c r="E1977" s="361">
        <v>20.770975056699999</v>
      </c>
      <c r="F1977" s="359" t="s">
        <v>1473</v>
      </c>
      <c r="G1977" s="361">
        <v>1.0677093991799605E-5</v>
      </c>
      <c r="H1977" s="359" t="s">
        <v>490</v>
      </c>
      <c r="I1977" s="361">
        <v>6.0759904926496171E-7</v>
      </c>
      <c r="J1977" s="359" t="s">
        <v>1323</v>
      </c>
      <c r="K1977" s="359" t="s">
        <v>1277</v>
      </c>
      <c r="M1977" t="str">
        <f t="shared" si="31"/>
        <v>Sulfide, total (as S)</v>
      </c>
    </row>
    <row r="1978" spans="1:13" x14ac:dyDescent="0.25">
      <c r="A1978" s="359" t="s">
        <v>1982</v>
      </c>
      <c r="B1978" s="359" t="s">
        <v>809</v>
      </c>
      <c r="C1978" s="359" t="s">
        <v>1325</v>
      </c>
      <c r="D1978" s="359" t="s">
        <v>1326</v>
      </c>
      <c r="E1978" s="360"/>
      <c r="F1978" s="359" t="s">
        <v>1473</v>
      </c>
      <c r="G1978" s="361">
        <v>1.0677093991799605E-5</v>
      </c>
      <c r="H1978" s="359" t="s">
        <v>1346</v>
      </c>
      <c r="I1978" s="361">
        <v>8.8386539667215259E-3</v>
      </c>
      <c r="J1978" s="359" t="s">
        <v>1325</v>
      </c>
      <c r="K1978" s="359" t="s">
        <v>1272</v>
      </c>
      <c r="M1978" t="str">
        <f t="shared" si="31"/>
        <v>TOLUENE</v>
      </c>
    </row>
    <row r="1979" spans="1:13" x14ac:dyDescent="0.25">
      <c r="A1979" s="359" t="s">
        <v>1982</v>
      </c>
      <c r="B1979" s="359" t="s">
        <v>809</v>
      </c>
      <c r="C1979" s="359" t="s">
        <v>1495</v>
      </c>
      <c r="D1979" s="359" t="s">
        <v>1465</v>
      </c>
      <c r="E1979" s="360"/>
      <c r="F1979" s="359" t="s">
        <v>1473</v>
      </c>
      <c r="G1979" s="361">
        <v>1.0677093991799605E-5</v>
      </c>
      <c r="H1979" s="359" t="s">
        <v>1346</v>
      </c>
      <c r="I1979" s="361">
        <v>8.8386539667215259E-3</v>
      </c>
      <c r="J1979" s="359" t="s">
        <v>1495</v>
      </c>
      <c r="K1979" s="359" t="s">
        <v>1272</v>
      </c>
      <c r="M1979" t="str">
        <f t="shared" si="31"/>
        <v>VANADIUM AND VANADIUM COMPOUNDS</v>
      </c>
    </row>
    <row r="1980" spans="1:13" x14ac:dyDescent="0.25">
      <c r="A1980" s="359" t="s">
        <v>1982</v>
      </c>
      <c r="B1980" s="359" t="s">
        <v>809</v>
      </c>
      <c r="C1980" s="359" t="s">
        <v>1327</v>
      </c>
      <c r="D1980" s="359" t="s">
        <v>1328</v>
      </c>
      <c r="E1980" s="360"/>
      <c r="F1980" s="359" t="s">
        <v>1473</v>
      </c>
      <c r="G1980" s="361">
        <v>1.0677093991799605E-5</v>
      </c>
      <c r="H1980" s="359" t="s">
        <v>1346</v>
      </c>
      <c r="I1980" s="361">
        <v>8.8386539667215259E-3</v>
      </c>
      <c r="J1980" s="359" t="s">
        <v>1329</v>
      </c>
      <c r="K1980" s="359" t="s">
        <v>1272</v>
      </c>
      <c r="M1980" t="str">
        <f t="shared" si="31"/>
        <v>XYLENES</v>
      </c>
    </row>
    <row r="1981" spans="1:13" ht="30" x14ac:dyDescent="0.25">
      <c r="A1981" s="359" t="s">
        <v>1987</v>
      </c>
      <c r="B1981" s="359" t="s">
        <v>859</v>
      </c>
      <c r="C1981" s="359" t="s">
        <v>1276</v>
      </c>
      <c r="D1981" s="359" t="s">
        <v>490</v>
      </c>
      <c r="E1981" s="361">
        <v>5523.8095238100004</v>
      </c>
      <c r="F1981" s="359" t="s">
        <v>1346</v>
      </c>
      <c r="G1981" s="361">
        <v>4.8175540136444855E-6</v>
      </c>
      <c r="H1981" s="359" t="s">
        <v>490</v>
      </c>
      <c r="I1981" s="361">
        <v>7.290753627955753E-5</v>
      </c>
      <c r="J1981" s="359" t="s">
        <v>1276</v>
      </c>
      <c r="K1981" s="359" t="s">
        <v>1277</v>
      </c>
      <c r="M1981" t="str">
        <f t="shared" si="31"/>
        <v>BOD, 5-day, 20 deg. C</v>
      </c>
    </row>
    <row r="1982" spans="1:13" ht="30" x14ac:dyDescent="0.25">
      <c r="A1982" s="359" t="s">
        <v>1987</v>
      </c>
      <c r="B1982" s="359" t="s">
        <v>859</v>
      </c>
      <c r="C1982" s="359" t="s">
        <v>1278</v>
      </c>
      <c r="D1982" s="359" t="s">
        <v>1279</v>
      </c>
      <c r="E1982" s="361">
        <v>266.52538581800002</v>
      </c>
      <c r="F1982" s="359" t="s">
        <v>1346</v>
      </c>
      <c r="G1982" s="361">
        <v>4.8175540136444855E-6</v>
      </c>
      <c r="H1982" s="359" t="s">
        <v>490</v>
      </c>
      <c r="I1982" s="361">
        <v>3.5178094306456192E-6</v>
      </c>
      <c r="J1982" s="359" t="s">
        <v>1278</v>
      </c>
      <c r="K1982" s="359" t="s">
        <v>1277</v>
      </c>
      <c r="M1982" t="str">
        <f t="shared" si="31"/>
        <v>Carbon, tot organic (TOC)</v>
      </c>
    </row>
    <row r="1983" spans="1:13" ht="30" x14ac:dyDescent="0.25">
      <c r="A1983" s="359" t="s">
        <v>1987</v>
      </c>
      <c r="B1983" s="359" t="s">
        <v>859</v>
      </c>
      <c r="C1983" s="359" t="s">
        <v>1280</v>
      </c>
      <c r="D1983" s="359" t="s">
        <v>1281</v>
      </c>
      <c r="E1983" s="361">
        <v>5.57278911565</v>
      </c>
      <c r="F1983" s="359" t="s">
        <v>1346</v>
      </c>
      <c r="G1983" s="361">
        <v>4.8175540136444855E-6</v>
      </c>
      <c r="H1983" s="359" t="s">
        <v>490</v>
      </c>
      <c r="I1983" s="361">
        <v>7.3554007044640989E-8</v>
      </c>
      <c r="J1983" s="359" t="s">
        <v>1280</v>
      </c>
      <c r="K1983" s="359" t="s">
        <v>1277</v>
      </c>
      <c r="M1983" t="str">
        <f t="shared" si="31"/>
        <v>Chromium, hexavalent (as Cr)</v>
      </c>
    </row>
    <row r="1984" spans="1:13" ht="30" x14ac:dyDescent="0.25">
      <c r="A1984" s="359" t="s">
        <v>1987</v>
      </c>
      <c r="B1984" s="359" t="s">
        <v>859</v>
      </c>
      <c r="C1984" s="359" t="s">
        <v>1467</v>
      </c>
      <c r="D1984" s="359" t="s">
        <v>1441</v>
      </c>
      <c r="E1984" s="361">
        <v>5.8979591836700003</v>
      </c>
      <c r="F1984" s="359" t="s">
        <v>1346</v>
      </c>
      <c r="G1984" s="361">
        <v>4.8175540136444855E-6</v>
      </c>
      <c r="H1984" s="359" t="s">
        <v>490</v>
      </c>
      <c r="I1984" s="361">
        <v>7.7845854623563733E-8</v>
      </c>
      <c r="J1984" s="359" t="s">
        <v>1467</v>
      </c>
      <c r="K1984" s="359" t="s">
        <v>1277</v>
      </c>
      <c r="M1984" t="str">
        <f t="shared" si="31"/>
        <v>Copper, total (as Cu)</v>
      </c>
    </row>
    <row r="1985" spans="1:13" ht="30" x14ac:dyDescent="0.25">
      <c r="A1985" s="359" t="s">
        <v>1987</v>
      </c>
      <c r="B1985" s="359" t="s">
        <v>859</v>
      </c>
      <c r="C1985" s="359" t="s">
        <v>1297</v>
      </c>
      <c r="D1985" s="359" t="s">
        <v>1298</v>
      </c>
      <c r="E1985" s="360"/>
      <c r="F1985" s="359" t="s">
        <v>1346</v>
      </c>
      <c r="G1985" s="361">
        <v>4.8175540136444855E-6</v>
      </c>
      <c r="H1985" s="359" t="s">
        <v>1988</v>
      </c>
      <c r="I1985" s="361">
        <v>1.4037905735123006E-2</v>
      </c>
      <c r="J1985" s="359" t="s">
        <v>1297</v>
      </c>
      <c r="K1985" s="359" t="s">
        <v>1272</v>
      </c>
      <c r="M1985" t="str">
        <f t="shared" si="31"/>
        <v>LEAD AND LEAD COMPOUNDS</v>
      </c>
    </row>
    <row r="1986" spans="1:13" ht="30" x14ac:dyDescent="0.25">
      <c r="A1986" s="359" t="s">
        <v>1987</v>
      </c>
      <c r="B1986" s="359" t="s">
        <v>859</v>
      </c>
      <c r="C1986" s="359" t="s">
        <v>1300</v>
      </c>
      <c r="D1986" s="359" t="s">
        <v>1301</v>
      </c>
      <c r="E1986" s="360"/>
      <c r="F1986" s="359" t="s">
        <v>1346</v>
      </c>
      <c r="G1986" s="361">
        <v>4.8175540136444855E-6</v>
      </c>
      <c r="H1986" s="359" t="s">
        <v>1883</v>
      </c>
      <c r="I1986" s="361">
        <v>4.3868455422259393E-4</v>
      </c>
      <c r="J1986" s="359" t="s">
        <v>1300</v>
      </c>
      <c r="K1986" s="359" t="s">
        <v>1272</v>
      </c>
      <c r="M1986" t="str">
        <f t="shared" si="31"/>
        <v>MERCURY AND MERCURY COMPOUNDS</v>
      </c>
    </row>
    <row r="1987" spans="1:13" ht="30" x14ac:dyDescent="0.25">
      <c r="A1987" s="359" t="s">
        <v>1987</v>
      </c>
      <c r="B1987" s="359" t="s">
        <v>859</v>
      </c>
      <c r="C1987" s="359" t="s">
        <v>1384</v>
      </c>
      <c r="D1987" s="359" t="s">
        <v>1385</v>
      </c>
      <c r="E1987" s="360"/>
      <c r="F1987" s="359" t="s">
        <v>1346</v>
      </c>
      <c r="G1987" s="361">
        <v>4.8175540136444855E-6</v>
      </c>
      <c r="H1987" s="359" t="s">
        <v>1989</v>
      </c>
      <c r="I1987" s="361">
        <v>2.1535423570927335E-2</v>
      </c>
      <c r="J1987" s="359" t="s">
        <v>1384</v>
      </c>
      <c r="K1987" s="359" t="s">
        <v>1272</v>
      </c>
      <c r="M1987" t="str">
        <f t="shared" si="31"/>
        <v>NICKEL AND NICKEL COMPOUNDS</v>
      </c>
    </row>
    <row r="1988" spans="1:13" ht="30" x14ac:dyDescent="0.25">
      <c r="A1988" s="359" t="s">
        <v>1987</v>
      </c>
      <c r="B1988" s="359" t="s">
        <v>859</v>
      </c>
      <c r="C1988" s="359" t="s">
        <v>1307</v>
      </c>
      <c r="D1988" s="359" t="s">
        <v>1308</v>
      </c>
      <c r="E1988" s="360"/>
      <c r="F1988" s="359" t="s">
        <v>1346</v>
      </c>
      <c r="G1988" s="361">
        <v>4.8175540136444855E-6</v>
      </c>
      <c r="H1988" s="359" t="s">
        <v>1990</v>
      </c>
      <c r="I1988" s="361">
        <v>616.90613643762572</v>
      </c>
      <c r="J1988" s="359" t="s">
        <v>1310</v>
      </c>
      <c r="K1988" s="359" t="s">
        <v>1272</v>
      </c>
      <c r="M1988" t="str">
        <f t="shared" si="31"/>
        <v>NITRATE</v>
      </c>
    </row>
    <row r="1989" spans="1:13" ht="30" x14ac:dyDescent="0.25">
      <c r="A1989" s="359" t="s">
        <v>1987</v>
      </c>
      <c r="B1989" s="359" t="s">
        <v>859</v>
      </c>
      <c r="C1989" s="359" t="s">
        <v>1311</v>
      </c>
      <c r="D1989" s="359" t="s">
        <v>1312</v>
      </c>
      <c r="E1989" s="361">
        <v>1820.1360544199999</v>
      </c>
      <c r="F1989" s="359" t="s">
        <v>1346</v>
      </c>
      <c r="G1989" s="361">
        <v>4.8175540136444855E-6</v>
      </c>
      <c r="H1989" s="359" t="s">
        <v>490</v>
      </c>
      <c r="I1989" s="361">
        <v>2.4023571929726323E-5</v>
      </c>
      <c r="J1989" s="359" t="s">
        <v>1313</v>
      </c>
      <c r="K1989" s="359" t="s">
        <v>1277</v>
      </c>
      <c r="M1989" t="str">
        <f t="shared" si="31"/>
        <v>AMMONIA</v>
      </c>
    </row>
    <row r="1990" spans="1:13" ht="30" x14ac:dyDescent="0.25">
      <c r="A1990" s="359" t="s">
        <v>1987</v>
      </c>
      <c r="B1990" s="359" t="s">
        <v>859</v>
      </c>
      <c r="C1990" s="359" t="s">
        <v>1341</v>
      </c>
      <c r="D1990" s="359" t="s">
        <v>490</v>
      </c>
      <c r="E1990" s="361">
        <v>73.897582999999997</v>
      </c>
      <c r="F1990" s="359" t="s">
        <v>1346</v>
      </c>
      <c r="G1990" s="361">
        <v>4.8175540136444855E-6</v>
      </c>
      <c r="H1990" s="359" t="s">
        <v>490</v>
      </c>
      <c r="I1990" s="361">
        <v>9.753578015897985E-7</v>
      </c>
      <c r="J1990" s="359" t="s">
        <v>1341</v>
      </c>
      <c r="K1990" s="359" t="s">
        <v>1277</v>
      </c>
      <c r="M1990" t="str">
        <f t="shared" ref="M1990:M2053" si="32">IF(J1990="",C1990,J1990)</f>
        <v>Oil &amp; grease</v>
      </c>
    </row>
    <row r="1991" spans="1:13" ht="30" x14ac:dyDescent="0.25">
      <c r="A1991" s="359" t="s">
        <v>1987</v>
      </c>
      <c r="B1991" s="359" t="s">
        <v>859</v>
      </c>
      <c r="C1991" s="359" t="s">
        <v>1432</v>
      </c>
      <c r="D1991" s="359" t="s">
        <v>1427</v>
      </c>
      <c r="E1991" s="361">
        <v>94.248089699999994</v>
      </c>
      <c r="F1991" s="359" t="s">
        <v>1346</v>
      </c>
      <c r="G1991" s="361">
        <v>4.8175540136444855E-6</v>
      </c>
      <c r="H1991" s="359" t="s">
        <v>490</v>
      </c>
      <c r="I1991" s="361">
        <v>1.2439596241440013E-6</v>
      </c>
      <c r="J1991" s="359" t="s">
        <v>1432</v>
      </c>
      <c r="K1991" s="359" t="s">
        <v>1277</v>
      </c>
      <c r="M1991" t="str">
        <f t="shared" si="32"/>
        <v>Selenium, total (as Se)</v>
      </c>
    </row>
    <row r="1992" spans="1:13" ht="30" x14ac:dyDescent="0.25">
      <c r="A1992" s="359" t="s">
        <v>1991</v>
      </c>
      <c r="B1992" s="359" t="s">
        <v>850</v>
      </c>
      <c r="C1992" s="359" t="s">
        <v>1515</v>
      </c>
      <c r="D1992" s="359" t="s">
        <v>1516</v>
      </c>
      <c r="E1992" s="360"/>
      <c r="F1992" s="359" t="s">
        <v>1346</v>
      </c>
      <c r="G1992" s="361">
        <v>3.1858018477326438E-6</v>
      </c>
      <c r="H1992" s="359" t="s">
        <v>1992</v>
      </c>
      <c r="I1992" s="361">
        <v>3.6921544592927992E-2</v>
      </c>
      <c r="J1992" s="359" t="s">
        <v>1515</v>
      </c>
      <c r="K1992" s="359" t="s">
        <v>1272</v>
      </c>
      <c r="M1992" t="str">
        <f t="shared" si="32"/>
        <v>2,4-DIMETHYLPHENOL</v>
      </c>
    </row>
    <row r="1993" spans="1:13" ht="30" x14ac:dyDescent="0.25">
      <c r="A1993" s="359" t="s">
        <v>1991</v>
      </c>
      <c r="B1993" s="359" t="s">
        <v>850</v>
      </c>
      <c r="C1993" s="359" t="s">
        <v>1349</v>
      </c>
      <c r="D1993" s="359" t="s">
        <v>1350</v>
      </c>
      <c r="E1993" s="360"/>
      <c r="F1993" s="359" t="s">
        <v>1346</v>
      </c>
      <c r="G1993" s="361">
        <v>3.1858018477326438E-6</v>
      </c>
      <c r="H1993" s="359" t="s">
        <v>1608</v>
      </c>
      <c r="I1993" s="361">
        <v>3.7448995229969827E-2</v>
      </c>
      <c r="J1993" s="359" t="s">
        <v>1349</v>
      </c>
      <c r="K1993" s="359" t="s">
        <v>1272</v>
      </c>
      <c r="M1993" t="str">
        <f t="shared" si="32"/>
        <v>ANTHRACENE</v>
      </c>
    </row>
    <row r="1994" spans="1:13" ht="30" x14ac:dyDescent="0.25">
      <c r="A1994" s="359" t="s">
        <v>1991</v>
      </c>
      <c r="B1994" s="359" t="s">
        <v>850</v>
      </c>
      <c r="C1994" s="359" t="s">
        <v>1276</v>
      </c>
      <c r="D1994" s="359" t="s">
        <v>490</v>
      </c>
      <c r="E1994" s="361">
        <v>176636.28117900001</v>
      </c>
      <c r="F1994" s="359" t="s">
        <v>1346</v>
      </c>
      <c r="G1994" s="361">
        <v>3.1858018477326438E-6</v>
      </c>
      <c r="H1994" s="359" t="s">
        <v>490</v>
      </c>
      <c r="I1994" s="361">
        <v>1.5417210711141946E-3</v>
      </c>
      <c r="J1994" s="359" t="s">
        <v>1276</v>
      </c>
      <c r="K1994" s="359" t="s">
        <v>1277</v>
      </c>
      <c r="M1994" t="str">
        <f t="shared" si="32"/>
        <v>BOD, 5-day, 20 deg. C</v>
      </c>
    </row>
    <row r="1995" spans="1:13" ht="30" x14ac:dyDescent="0.25">
      <c r="A1995" s="359" t="s">
        <v>1991</v>
      </c>
      <c r="B1995" s="359" t="s">
        <v>850</v>
      </c>
      <c r="C1995" s="359" t="s">
        <v>1278</v>
      </c>
      <c r="D1995" s="359" t="s">
        <v>1279</v>
      </c>
      <c r="E1995" s="361">
        <v>34393.235200000003</v>
      </c>
      <c r="F1995" s="359" t="s">
        <v>1346</v>
      </c>
      <c r="G1995" s="361">
        <v>3.1858018477326438E-6</v>
      </c>
      <c r="H1995" s="359" t="s">
        <v>490</v>
      </c>
      <c r="I1995" s="361">
        <v>3.0019186917716004E-4</v>
      </c>
      <c r="J1995" s="359" t="s">
        <v>1278</v>
      </c>
      <c r="K1995" s="359" t="s">
        <v>1277</v>
      </c>
      <c r="M1995" t="str">
        <f t="shared" si="32"/>
        <v>Carbon, tot organic (TOC)</v>
      </c>
    </row>
    <row r="1996" spans="1:13" ht="30" x14ac:dyDescent="0.25">
      <c r="A1996" s="359" t="s">
        <v>1991</v>
      </c>
      <c r="B1996" s="359" t="s">
        <v>850</v>
      </c>
      <c r="C1996" s="359" t="s">
        <v>1437</v>
      </c>
      <c r="D1996" s="359" t="s">
        <v>1438</v>
      </c>
      <c r="E1996" s="360"/>
      <c r="F1996" s="359" t="s">
        <v>1346</v>
      </c>
      <c r="G1996" s="361">
        <v>3.1858018477326438E-6</v>
      </c>
      <c r="H1996" s="359" t="s">
        <v>1993</v>
      </c>
      <c r="I1996" s="361">
        <v>5.9074471348684786E-2</v>
      </c>
      <c r="J1996" s="359" t="s">
        <v>1437</v>
      </c>
      <c r="K1996" s="359" t="s">
        <v>1272</v>
      </c>
      <c r="M1996" t="str">
        <f t="shared" si="32"/>
        <v>CHROMIUM AND CHROMIUM COMPOUNDS</v>
      </c>
    </row>
    <row r="1997" spans="1:13" ht="30" x14ac:dyDescent="0.25">
      <c r="A1997" s="359" t="s">
        <v>1991</v>
      </c>
      <c r="B1997" s="359" t="s">
        <v>850</v>
      </c>
      <c r="C1997" s="359" t="s">
        <v>1467</v>
      </c>
      <c r="D1997" s="359" t="s">
        <v>1441</v>
      </c>
      <c r="E1997" s="361">
        <v>20.544217687100002</v>
      </c>
      <c r="F1997" s="359" t="s">
        <v>1346</v>
      </c>
      <c r="G1997" s="361">
        <v>3.1858018477326438E-6</v>
      </c>
      <c r="H1997" s="359" t="s">
        <v>490</v>
      </c>
      <c r="I1997" s="361">
        <v>1.7931453881584888E-7</v>
      </c>
      <c r="J1997" s="359" t="s">
        <v>1467</v>
      </c>
      <c r="K1997" s="359" t="s">
        <v>1277</v>
      </c>
      <c r="M1997" t="str">
        <f t="shared" si="32"/>
        <v>Copper, total (as Cu)</v>
      </c>
    </row>
    <row r="1998" spans="1:13" ht="30" x14ac:dyDescent="0.25">
      <c r="A1998" s="359" t="s">
        <v>1991</v>
      </c>
      <c r="B1998" s="359" t="s">
        <v>850</v>
      </c>
      <c r="C1998" s="359" t="s">
        <v>1443</v>
      </c>
      <c r="D1998" s="359" t="s">
        <v>1444</v>
      </c>
      <c r="E1998" s="360"/>
      <c r="F1998" s="359" t="s">
        <v>1346</v>
      </c>
      <c r="G1998" s="361">
        <v>3.1858018477326438E-6</v>
      </c>
      <c r="H1998" s="359" t="s">
        <v>1992</v>
      </c>
      <c r="I1998" s="361">
        <v>3.6921544592927992E-2</v>
      </c>
      <c r="J1998" s="359" t="s">
        <v>1445</v>
      </c>
      <c r="K1998" s="359" t="s">
        <v>1272</v>
      </c>
      <c r="M1998" t="str">
        <f t="shared" si="32"/>
        <v>CRESOL(S)</v>
      </c>
    </row>
    <row r="1999" spans="1:13" ht="30" x14ac:dyDescent="0.25">
      <c r="A1999" s="359" t="s">
        <v>1991</v>
      </c>
      <c r="B1999" s="359" t="s">
        <v>850</v>
      </c>
      <c r="C1999" s="359" t="s">
        <v>1543</v>
      </c>
      <c r="D1999" s="359" t="s">
        <v>1544</v>
      </c>
      <c r="E1999" s="361">
        <v>0</v>
      </c>
      <c r="F1999" s="359" t="s">
        <v>1346</v>
      </c>
      <c r="G1999" s="361">
        <v>3.1858018477326438E-6</v>
      </c>
      <c r="H1999" s="359" t="s">
        <v>490</v>
      </c>
      <c r="I1999" s="361">
        <v>0</v>
      </c>
      <c r="J1999" s="359" t="s">
        <v>1543</v>
      </c>
      <c r="K1999" s="359" t="s">
        <v>1277</v>
      </c>
      <c r="M1999" t="str">
        <f t="shared" si="32"/>
        <v>Cyanide, total (as CN)</v>
      </c>
    </row>
    <row r="2000" spans="1:13" ht="30" x14ac:dyDescent="0.25">
      <c r="A2000" s="359" t="s">
        <v>1991</v>
      </c>
      <c r="B2000" s="359" t="s">
        <v>850</v>
      </c>
      <c r="C2000" s="359" t="s">
        <v>1431</v>
      </c>
      <c r="D2000" s="359" t="s">
        <v>1298</v>
      </c>
      <c r="E2000" s="361">
        <v>52.938775510200003</v>
      </c>
      <c r="F2000" s="359" t="s">
        <v>1346</v>
      </c>
      <c r="G2000" s="361">
        <v>3.1858018477326438E-6</v>
      </c>
      <c r="H2000" s="359" t="s">
        <v>490</v>
      </c>
      <c r="I2000" s="361">
        <v>4.6206150366328434E-7</v>
      </c>
      <c r="J2000" s="359" t="s">
        <v>1431</v>
      </c>
      <c r="K2000" s="359" t="s">
        <v>1277</v>
      </c>
      <c r="M2000" t="str">
        <f t="shared" si="32"/>
        <v>Lead, total (as Pb)</v>
      </c>
    </row>
    <row r="2001" spans="1:13" ht="30" x14ac:dyDescent="0.25">
      <c r="A2001" s="359" t="s">
        <v>1991</v>
      </c>
      <c r="B2001" s="359" t="s">
        <v>850</v>
      </c>
      <c r="C2001" s="359" t="s">
        <v>1468</v>
      </c>
      <c r="D2001" s="359" t="s">
        <v>1459</v>
      </c>
      <c r="E2001" s="361">
        <v>0</v>
      </c>
      <c r="F2001" s="359" t="s">
        <v>1346</v>
      </c>
      <c r="G2001" s="361">
        <v>3.1858018477326438E-6</v>
      </c>
      <c r="H2001" s="359" t="s">
        <v>490</v>
      </c>
      <c r="I2001" s="361">
        <v>0</v>
      </c>
      <c r="J2001" s="359" t="s">
        <v>1468</v>
      </c>
      <c r="K2001" s="359" t="s">
        <v>1277</v>
      </c>
      <c r="M2001" t="str">
        <f t="shared" si="32"/>
        <v>Mercury, total (as Hg)</v>
      </c>
    </row>
    <row r="2002" spans="1:13" ht="30" x14ac:dyDescent="0.25">
      <c r="A2002" s="359" t="s">
        <v>1991</v>
      </c>
      <c r="B2002" s="359" t="s">
        <v>850</v>
      </c>
      <c r="C2002" s="359" t="s">
        <v>1384</v>
      </c>
      <c r="D2002" s="359" t="s">
        <v>1385</v>
      </c>
      <c r="E2002" s="360"/>
      <c r="F2002" s="359" t="s">
        <v>1346</v>
      </c>
      <c r="G2002" s="361">
        <v>3.1858018477326438E-6</v>
      </c>
      <c r="H2002" s="359" t="s">
        <v>1994</v>
      </c>
      <c r="I2002" s="361">
        <v>1.0364405017871929</v>
      </c>
      <c r="J2002" s="359" t="s">
        <v>1384</v>
      </c>
      <c r="K2002" s="359" t="s">
        <v>1272</v>
      </c>
      <c r="M2002" t="str">
        <f t="shared" si="32"/>
        <v>NICKEL AND NICKEL COMPOUNDS</v>
      </c>
    </row>
    <row r="2003" spans="1:13" ht="30" x14ac:dyDescent="0.25">
      <c r="A2003" s="359" t="s">
        <v>1991</v>
      </c>
      <c r="B2003" s="359" t="s">
        <v>850</v>
      </c>
      <c r="C2003" s="359" t="s">
        <v>1307</v>
      </c>
      <c r="D2003" s="359" t="s">
        <v>1308</v>
      </c>
      <c r="E2003" s="360"/>
      <c r="F2003" s="359" t="s">
        <v>1346</v>
      </c>
      <c r="G2003" s="361">
        <v>3.1858018477326438E-6</v>
      </c>
      <c r="H2003" s="359" t="s">
        <v>1995</v>
      </c>
      <c r="I2003" s="361">
        <v>10.39921675991669</v>
      </c>
      <c r="J2003" s="359" t="s">
        <v>1310</v>
      </c>
      <c r="K2003" s="359" t="s">
        <v>1272</v>
      </c>
      <c r="M2003" t="str">
        <f t="shared" si="32"/>
        <v>NITRATE</v>
      </c>
    </row>
    <row r="2004" spans="1:13" ht="30" x14ac:dyDescent="0.25">
      <c r="A2004" s="359" t="s">
        <v>1991</v>
      </c>
      <c r="B2004" s="359" t="s">
        <v>850</v>
      </c>
      <c r="C2004" s="359" t="s">
        <v>1311</v>
      </c>
      <c r="D2004" s="359" t="s">
        <v>1312</v>
      </c>
      <c r="E2004" s="361">
        <v>5038.54875283</v>
      </c>
      <c r="F2004" s="359" t="s">
        <v>1346</v>
      </c>
      <c r="G2004" s="361">
        <v>3.1858018477326438E-6</v>
      </c>
      <c r="H2004" s="359" t="s">
        <v>490</v>
      </c>
      <c r="I2004" s="361">
        <v>4.3977583360703618E-5</v>
      </c>
      <c r="J2004" s="359" t="s">
        <v>1313</v>
      </c>
      <c r="K2004" s="359" t="s">
        <v>1277</v>
      </c>
      <c r="M2004" t="str">
        <f t="shared" si="32"/>
        <v>AMMONIA</v>
      </c>
    </row>
    <row r="2005" spans="1:13" ht="30" x14ac:dyDescent="0.25">
      <c r="A2005" s="359" t="s">
        <v>1991</v>
      </c>
      <c r="B2005" s="359" t="s">
        <v>850</v>
      </c>
      <c r="C2005" s="359" t="s">
        <v>1341</v>
      </c>
      <c r="D2005" s="359" t="s">
        <v>490</v>
      </c>
      <c r="E2005" s="361">
        <v>38874.896471699998</v>
      </c>
      <c r="F2005" s="359" t="s">
        <v>1346</v>
      </c>
      <c r="G2005" s="361">
        <v>3.1858018477326438E-6</v>
      </c>
      <c r="H2005" s="359" t="s">
        <v>490</v>
      </c>
      <c r="I2005" s="361">
        <v>3.3930881372590981E-4</v>
      </c>
      <c r="J2005" s="359" t="s">
        <v>1341</v>
      </c>
      <c r="K2005" s="359" t="s">
        <v>1277</v>
      </c>
      <c r="M2005" t="str">
        <f t="shared" si="32"/>
        <v>Oil &amp; grease</v>
      </c>
    </row>
    <row r="2006" spans="1:13" ht="30" x14ac:dyDescent="0.25">
      <c r="A2006" s="359" t="s">
        <v>1991</v>
      </c>
      <c r="B2006" s="359" t="s">
        <v>850</v>
      </c>
      <c r="C2006" s="359" t="s">
        <v>1457</v>
      </c>
      <c r="D2006" s="359" t="s">
        <v>490</v>
      </c>
      <c r="E2006" s="361">
        <v>2080181.4058999999</v>
      </c>
      <c r="F2006" s="359" t="s">
        <v>1346</v>
      </c>
      <c r="G2006" s="361">
        <v>3.1858018477326438E-6</v>
      </c>
      <c r="H2006" s="359" t="s">
        <v>490</v>
      </c>
      <c r="I2006" s="361">
        <v>1.815628977132961E-2</v>
      </c>
      <c r="J2006" s="359" t="s">
        <v>1457</v>
      </c>
      <c r="K2006" s="359" t="s">
        <v>1277</v>
      </c>
      <c r="M2006" t="str">
        <f t="shared" si="32"/>
        <v>Chemical Oxygen Demand (COD)</v>
      </c>
    </row>
    <row r="2007" spans="1:13" ht="30" x14ac:dyDescent="0.25">
      <c r="A2007" s="359" t="s">
        <v>1991</v>
      </c>
      <c r="B2007" s="359" t="s">
        <v>850</v>
      </c>
      <c r="C2007" s="359" t="s">
        <v>1388</v>
      </c>
      <c r="D2007" s="359" t="s">
        <v>1389</v>
      </c>
      <c r="E2007" s="360"/>
      <c r="F2007" s="359" t="s">
        <v>1346</v>
      </c>
      <c r="G2007" s="361">
        <v>3.1858018477326438E-6</v>
      </c>
      <c r="H2007" s="359" t="s">
        <v>1992</v>
      </c>
      <c r="I2007" s="361">
        <v>3.6921544592927992E-2</v>
      </c>
      <c r="J2007" s="359" t="s">
        <v>1388</v>
      </c>
      <c r="K2007" s="359" t="s">
        <v>1272</v>
      </c>
      <c r="M2007" t="str">
        <f t="shared" si="32"/>
        <v>PHENANTHRENE</v>
      </c>
    </row>
    <row r="2008" spans="1:13" ht="30" x14ac:dyDescent="0.25">
      <c r="A2008" s="359" t="s">
        <v>1991</v>
      </c>
      <c r="B2008" s="359" t="s">
        <v>850</v>
      </c>
      <c r="C2008" s="359" t="s">
        <v>1315</v>
      </c>
      <c r="D2008" s="359" t="s">
        <v>1316</v>
      </c>
      <c r="E2008" s="360"/>
      <c r="F2008" s="359" t="s">
        <v>1346</v>
      </c>
      <c r="G2008" s="361">
        <v>3.1858018477326438E-6</v>
      </c>
      <c r="H2008" s="359" t="s">
        <v>1996</v>
      </c>
      <c r="I2008" s="361">
        <v>8.1754848741483407E-2</v>
      </c>
      <c r="J2008" s="359" t="s">
        <v>1315</v>
      </c>
      <c r="K2008" s="359" t="s">
        <v>1272</v>
      </c>
      <c r="M2008" t="str">
        <f t="shared" si="32"/>
        <v>PHENOL</v>
      </c>
    </row>
    <row r="2009" spans="1:13" ht="30" x14ac:dyDescent="0.25">
      <c r="A2009" s="359" t="s">
        <v>1991</v>
      </c>
      <c r="B2009" s="359" t="s">
        <v>850</v>
      </c>
      <c r="C2009" s="359" t="s">
        <v>1318</v>
      </c>
      <c r="D2009" s="359" t="s">
        <v>490</v>
      </c>
      <c r="E2009" s="361">
        <v>70.158730158699996</v>
      </c>
      <c r="F2009" s="359" t="s">
        <v>1346</v>
      </c>
      <c r="G2009" s="361">
        <v>3.1858018477326438E-6</v>
      </c>
      <c r="H2009" s="359" t="s">
        <v>490</v>
      </c>
      <c r="I2009" s="361">
        <v>6.1236112924428057E-7</v>
      </c>
      <c r="J2009" s="359" t="s">
        <v>1318</v>
      </c>
      <c r="K2009" s="359" t="s">
        <v>1277</v>
      </c>
      <c r="M2009" t="str">
        <f t="shared" si="32"/>
        <v>Phenolics, total recoverable</v>
      </c>
    </row>
    <row r="2010" spans="1:13" ht="30" x14ac:dyDescent="0.25">
      <c r="A2010" s="359" t="s">
        <v>1991</v>
      </c>
      <c r="B2010" s="359" t="s">
        <v>850</v>
      </c>
      <c r="C2010" s="359" t="s">
        <v>1433</v>
      </c>
      <c r="D2010" s="359" t="s">
        <v>1434</v>
      </c>
      <c r="E2010" s="361">
        <v>0</v>
      </c>
      <c r="F2010" s="359" t="s">
        <v>1346</v>
      </c>
      <c r="G2010" s="361">
        <v>3.1858018477326438E-6</v>
      </c>
      <c r="H2010" s="359" t="s">
        <v>490</v>
      </c>
      <c r="I2010" s="361">
        <v>0</v>
      </c>
      <c r="J2010" s="359" t="s">
        <v>1433</v>
      </c>
      <c r="K2010" s="359" t="s">
        <v>1277</v>
      </c>
      <c r="M2010" t="str">
        <f t="shared" si="32"/>
        <v>Silver, total (as Ag)</v>
      </c>
    </row>
    <row r="2011" spans="1:13" ht="30" x14ac:dyDescent="0.25">
      <c r="A2011" s="359" t="s">
        <v>1991</v>
      </c>
      <c r="B2011" s="359" t="s">
        <v>850</v>
      </c>
      <c r="C2011" s="359" t="s">
        <v>1322</v>
      </c>
      <c r="D2011" s="359" t="s">
        <v>490</v>
      </c>
      <c r="E2011" s="361">
        <v>826503.95499999996</v>
      </c>
      <c r="F2011" s="359" t="s">
        <v>1346</v>
      </c>
      <c r="G2011" s="361">
        <v>3.1858018477326438E-6</v>
      </c>
      <c r="H2011" s="359" t="s">
        <v>490</v>
      </c>
      <c r="I2011" s="361">
        <v>7.2139118547872262E-3</v>
      </c>
      <c r="J2011" s="359" t="s">
        <v>1322</v>
      </c>
      <c r="K2011" s="359" t="s">
        <v>1277</v>
      </c>
      <c r="M2011" t="str">
        <f t="shared" si="32"/>
        <v>Solids, total suspended</v>
      </c>
    </row>
    <row r="2012" spans="1:13" ht="30" x14ac:dyDescent="0.25">
      <c r="A2012" s="359" t="s">
        <v>1991</v>
      </c>
      <c r="B2012" s="359" t="s">
        <v>850</v>
      </c>
      <c r="C2012" s="359" t="s">
        <v>1323</v>
      </c>
      <c r="D2012" s="359" t="s">
        <v>1324</v>
      </c>
      <c r="E2012" s="361">
        <v>202.267573696</v>
      </c>
      <c r="F2012" s="359" t="s">
        <v>1346</v>
      </c>
      <c r="G2012" s="361">
        <v>3.1858018477326438E-6</v>
      </c>
      <c r="H2012" s="359" t="s">
        <v>490</v>
      </c>
      <c r="I2012" s="361">
        <v>1.7654367397729191E-6</v>
      </c>
      <c r="J2012" s="359" t="s">
        <v>1323</v>
      </c>
      <c r="K2012" s="359" t="s">
        <v>1277</v>
      </c>
      <c r="M2012" t="str">
        <f t="shared" si="32"/>
        <v>Sulfide, total (as S)</v>
      </c>
    </row>
    <row r="2013" spans="1:13" ht="30" x14ac:dyDescent="0.25">
      <c r="A2013" s="359" t="s">
        <v>1991</v>
      </c>
      <c r="B2013" s="359" t="s">
        <v>850</v>
      </c>
      <c r="C2013" s="359" t="s">
        <v>1342</v>
      </c>
      <c r="D2013" s="359" t="s">
        <v>1343</v>
      </c>
      <c r="E2013" s="360"/>
      <c r="F2013" s="359" t="s">
        <v>1346</v>
      </c>
      <c r="G2013" s="361">
        <v>3.1858018477326438E-6</v>
      </c>
      <c r="H2013" s="359" t="s">
        <v>1997</v>
      </c>
      <c r="I2013" s="361">
        <v>0.81807593805187595</v>
      </c>
      <c r="J2013" s="359" t="s">
        <v>1342</v>
      </c>
      <c r="K2013" s="359" t="s">
        <v>1272</v>
      </c>
      <c r="M2013" t="str">
        <f t="shared" si="32"/>
        <v>ZINC AND ZINC COMPOUNDS</v>
      </c>
    </row>
    <row r="2014" spans="1:13" ht="30" x14ac:dyDescent="0.25">
      <c r="A2014" s="359" t="s">
        <v>1998</v>
      </c>
      <c r="B2014" s="359" t="s">
        <v>718</v>
      </c>
      <c r="C2014" s="359" t="s">
        <v>1268</v>
      </c>
      <c r="D2014" s="359" t="s">
        <v>1269</v>
      </c>
      <c r="E2014" s="360"/>
      <c r="F2014" s="359" t="s">
        <v>1270</v>
      </c>
      <c r="G2014" s="361">
        <v>7.8633336646456609E-6</v>
      </c>
      <c r="H2014" s="359" t="s">
        <v>1286</v>
      </c>
      <c r="I2014" s="361">
        <v>0</v>
      </c>
      <c r="J2014" s="359" t="s">
        <v>1268</v>
      </c>
      <c r="K2014" s="359" t="s">
        <v>1272</v>
      </c>
      <c r="M2014" t="str">
        <f t="shared" si="32"/>
        <v>1,2,4-TRIMETHYLBENZENE</v>
      </c>
    </row>
    <row r="2015" spans="1:13" ht="30" x14ac:dyDescent="0.25">
      <c r="A2015" s="359" t="s">
        <v>1998</v>
      </c>
      <c r="B2015" s="359" t="s">
        <v>718</v>
      </c>
      <c r="C2015" s="359" t="s">
        <v>1347</v>
      </c>
      <c r="D2015" s="359" t="s">
        <v>1348</v>
      </c>
      <c r="E2015" s="360"/>
      <c r="F2015" s="359" t="s">
        <v>1270</v>
      </c>
      <c r="G2015" s="361">
        <v>7.8633336646456609E-6</v>
      </c>
      <c r="H2015" s="359" t="s">
        <v>1286</v>
      </c>
      <c r="I2015" s="361">
        <v>0</v>
      </c>
      <c r="J2015" s="359" t="s">
        <v>1347</v>
      </c>
      <c r="K2015" s="359" t="s">
        <v>1272</v>
      </c>
      <c r="M2015" t="str">
        <f t="shared" si="32"/>
        <v>1,3-BUTADIENE</v>
      </c>
    </row>
    <row r="2016" spans="1:13" ht="30" x14ac:dyDescent="0.25">
      <c r="A2016" s="359" t="s">
        <v>1998</v>
      </c>
      <c r="B2016" s="359" t="s">
        <v>718</v>
      </c>
      <c r="C2016" s="359" t="s">
        <v>1313</v>
      </c>
      <c r="D2016" s="359" t="s">
        <v>1312</v>
      </c>
      <c r="E2016" s="360"/>
      <c r="F2016" s="359" t="s">
        <v>1270</v>
      </c>
      <c r="G2016" s="361">
        <v>7.8633336646456609E-6</v>
      </c>
      <c r="H2016" s="359" t="s">
        <v>1999</v>
      </c>
      <c r="I2016" s="361">
        <v>0.44654361704858636</v>
      </c>
      <c r="J2016" s="359" t="s">
        <v>1313</v>
      </c>
      <c r="K2016" s="359" t="s">
        <v>1272</v>
      </c>
      <c r="M2016" t="str">
        <f t="shared" si="32"/>
        <v>AMMONIA</v>
      </c>
    </row>
    <row r="2017" spans="1:13" ht="30" x14ac:dyDescent="0.25">
      <c r="A2017" s="359" t="s">
        <v>1998</v>
      </c>
      <c r="B2017" s="359" t="s">
        <v>718</v>
      </c>
      <c r="C2017" s="359" t="s">
        <v>1273</v>
      </c>
      <c r="D2017" s="359" t="s">
        <v>1274</v>
      </c>
      <c r="E2017" s="360"/>
      <c r="F2017" s="359" t="s">
        <v>1270</v>
      </c>
      <c r="G2017" s="361">
        <v>7.8633336646456609E-6</v>
      </c>
      <c r="H2017" s="359" t="s">
        <v>1286</v>
      </c>
      <c r="I2017" s="361">
        <v>0</v>
      </c>
      <c r="J2017" s="359" t="s">
        <v>1273</v>
      </c>
      <c r="K2017" s="359" t="s">
        <v>1272</v>
      </c>
      <c r="M2017" t="str">
        <f t="shared" si="32"/>
        <v>BENZENE</v>
      </c>
    </row>
    <row r="2018" spans="1:13" ht="30" x14ac:dyDescent="0.25">
      <c r="A2018" s="359" t="s">
        <v>1998</v>
      </c>
      <c r="B2018" s="359" t="s">
        <v>718</v>
      </c>
      <c r="C2018" s="359" t="s">
        <v>1278</v>
      </c>
      <c r="D2018" s="359" t="s">
        <v>1279</v>
      </c>
      <c r="E2018" s="361">
        <v>52505.725903999999</v>
      </c>
      <c r="F2018" s="359" t="s">
        <v>1270</v>
      </c>
      <c r="G2018" s="361">
        <v>7.8633336646456609E-6</v>
      </c>
      <c r="H2018" s="359" t="s">
        <v>490</v>
      </c>
      <c r="I2018" s="361">
        <v>1.1311508002399477E-3</v>
      </c>
      <c r="J2018" s="359" t="s">
        <v>1278</v>
      </c>
      <c r="K2018" s="359" t="s">
        <v>1277</v>
      </c>
      <c r="M2018" t="str">
        <f t="shared" si="32"/>
        <v>Carbon, tot organic (TOC)</v>
      </c>
    </row>
    <row r="2019" spans="1:13" ht="30" x14ac:dyDescent="0.25">
      <c r="A2019" s="359" t="s">
        <v>1998</v>
      </c>
      <c r="B2019" s="359" t="s">
        <v>718</v>
      </c>
      <c r="C2019" s="359" t="s">
        <v>1443</v>
      </c>
      <c r="D2019" s="359" t="s">
        <v>1444</v>
      </c>
      <c r="E2019" s="360"/>
      <c r="F2019" s="359" t="s">
        <v>1270</v>
      </c>
      <c r="G2019" s="361">
        <v>7.8633336646456609E-6</v>
      </c>
      <c r="H2019" s="359" t="s">
        <v>1286</v>
      </c>
      <c r="I2019" s="361">
        <v>0</v>
      </c>
      <c r="J2019" s="359" t="s">
        <v>1445</v>
      </c>
      <c r="K2019" s="359" t="s">
        <v>1272</v>
      </c>
      <c r="M2019" t="str">
        <f t="shared" si="32"/>
        <v>CRESOL(S)</v>
      </c>
    </row>
    <row r="2020" spans="1:13" ht="30" x14ac:dyDescent="0.25">
      <c r="A2020" s="359" t="s">
        <v>1998</v>
      </c>
      <c r="B2020" s="359" t="s">
        <v>718</v>
      </c>
      <c r="C2020" s="359" t="s">
        <v>1284</v>
      </c>
      <c r="D2020" s="359" t="s">
        <v>1285</v>
      </c>
      <c r="E2020" s="360"/>
      <c r="F2020" s="359" t="s">
        <v>1270</v>
      </c>
      <c r="G2020" s="361">
        <v>7.8633336646456609E-6</v>
      </c>
      <c r="H2020" s="359" t="s">
        <v>1286</v>
      </c>
      <c r="I2020" s="361">
        <v>0</v>
      </c>
      <c r="J2020" s="359" t="s">
        <v>1287</v>
      </c>
      <c r="K2020" s="359" t="s">
        <v>1272</v>
      </c>
      <c r="M2020" t="str">
        <f t="shared" si="32"/>
        <v>ISOPROPYLBENZENE</v>
      </c>
    </row>
    <row r="2021" spans="1:13" ht="30" x14ac:dyDescent="0.25">
      <c r="A2021" s="359" t="s">
        <v>1998</v>
      </c>
      <c r="B2021" s="359" t="s">
        <v>718</v>
      </c>
      <c r="C2021" s="359" t="s">
        <v>1291</v>
      </c>
      <c r="D2021" s="359" t="s">
        <v>1292</v>
      </c>
      <c r="E2021" s="360"/>
      <c r="F2021" s="359" t="s">
        <v>1270</v>
      </c>
      <c r="G2021" s="361">
        <v>7.8633336646456609E-6</v>
      </c>
      <c r="H2021" s="359" t="s">
        <v>1286</v>
      </c>
      <c r="I2021" s="361">
        <v>0</v>
      </c>
      <c r="J2021" s="359" t="s">
        <v>1291</v>
      </c>
      <c r="K2021" s="359" t="s">
        <v>1272</v>
      </c>
      <c r="M2021" t="str">
        <f t="shared" si="32"/>
        <v>CYCLOHEXANE</v>
      </c>
    </row>
    <row r="2022" spans="1:13" ht="30" x14ac:dyDescent="0.25">
      <c r="A2022" s="359" t="s">
        <v>1998</v>
      </c>
      <c r="B2022" s="359" t="s">
        <v>718</v>
      </c>
      <c r="C2022" s="359" t="s">
        <v>1295</v>
      </c>
      <c r="D2022" s="359" t="s">
        <v>1296</v>
      </c>
      <c r="E2022" s="360"/>
      <c r="F2022" s="359" t="s">
        <v>1270</v>
      </c>
      <c r="G2022" s="361">
        <v>7.8633336646456609E-6</v>
      </c>
      <c r="H2022" s="359" t="s">
        <v>1286</v>
      </c>
      <c r="I2022" s="361">
        <v>0</v>
      </c>
      <c r="J2022" s="359" t="s">
        <v>1295</v>
      </c>
      <c r="K2022" s="359" t="s">
        <v>1272</v>
      </c>
      <c r="M2022" t="str">
        <f t="shared" si="32"/>
        <v>ETHYLBENZENE</v>
      </c>
    </row>
    <row r="2023" spans="1:13" ht="30" x14ac:dyDescent="0.25">
      <c r="A2023" s="359" t="s">
        <v>1998</v>
      </c>
      <c r="B2023" s="359" t="s">
        <v>718</v>
      </c>
      <c r="C2023" s="359" t="s">
        <v>1488</v>
      </c>
      <c r="D2023" s="359" t="s">
        <v>1489</v>
      </c>
      <c r="E2023" s="360"/>
      <c r="F2023" s="359" t="s">
        <v>1270</v>
      </c>
      <c r="G2023" s="361">
        <v>7.8633336646456609E-6</v>
      </c>
      <c r="H2023" s="359" t="s">
        <v>1286</v>
      </c>
      <c r="I2023" s="361">
        <v>0</v>
      </c>
      <c r="J2023" s="359" t="s">
        <v>1490</v>
      </c>
      <c r="K2023" s="359" t="s">
        <v>1272</v>
      </c>
      <c r="M2023" t="str">
        <f t="shared" si="32"/>
        <v>HYDROFLUORIC ACID</v>
      </c>
    </row>
    <row r="2024" spans="1:13" ht="30" x14ac:dyDescent="0.25">
      <c r="A2024" s="359" t="s">
        <v>1998</v>
      </c>
      <c r="B2024" s="359" t="s">
        <v>718</v>
      </c>
      <c r="C2024" s="359" t="s">
        <v>1300</v>
      </c>
      <c r="D2024" s="359" t="s">
        <v>1301</v>
      </c>
      <c r="E2024" s="360"/>
      <c r="F2024" s="359" t="s">
        <v>1270</v>
      </c>
      <c r="G2024" s="361">
        <v>7.8633336646456609E-6</v>
      </c>
      <c r="H2024" s="359" t="s">
        <v>1286</v>
      </c>
      <c r="I2024" s="361">
        <v>0</v>
      </c>
      <c r="J2024" s="359" t="s">
        <v>1300</v>
      </c>
      <c r="K2024" s="359" t="s">
        <v>1272</v>
      </c>
      <c r="M2024" t="str">
        <f t="shared" si="32"/>
        <v>MERCURY AND MERCURY COMPOUNDS</v>
      </c>
    </row>
    <row r="2025" spans="1:13" ht="30" x14ac:dyDescent="0.25">
      <c r="A2025" s="359" t="s">
        <v>1998</v>
      </c>
      <c r="B2025" s="359" t="s">
        <v>718</v>
      </c>
      <c r="C2025" s="359" t="s">
        <v>1303</v>
      </c>
      <c r="D2025" s="359" t="s">
        <v>1304</v>
      </c>
      <c r="E2025" s="360"/>
      <c r="F2025" s="359" t="s">
        <v>1270</v>
      </c>
      <c r="G2025" s="361">
        <v>7.8633336646456609E-6</v>
      </c>
      <c r="H2025" s="359" t="s">
        <v>1286</v>
      </c>
      <c r="I2025" s="361">
        <v>0</v>
      </c>
      <c r="J2025" s="359" t="s">
        <v>1303</v>
      </c>
      <c r="K2025" s="359" t="s">
        <v>1272</v>
      </c>
      <c r="M2025" t="str">
        <f t="shared" si="32"/>
        <v>NAPHTHALENE</v>
      </c>
    </row>
    <row r="2026" spans="1:13" ht="30" x14ac:dyDescent="0.25">
      <c r="A2026" s="359" t="s">
        <v>1998</v>
      </c>
      <c r="B2026" s="359" t="s">
        <v>718</v>
      </c>
      <c r="C2026" s="359" t="s">
        <v>1305</v>
      </c>
      <c r="D2026" s="359" t="s">
        <v>1306</v>
      </c>
      <c r="E2026" s="360"/>
      <c r="F2026" s="359" t="s">
        <v>1270</v>
      </c>
      <c r="G2026" s="361">
        <v>7.8633336646456609E-6</v>
      </c>
      <c r="H2026" s="359" t="s">
        <v>1286</v>
      </c>
      <c r="I2026" s="361">
        <v>0</v>
      </c>
      <c r="J2026" s="359" t="s">
        <v>1305</v>
      </c>
      <c r="K2026" s="359" t="s">
        <v>1272</v>
      </c>
      <c r="M2026" t="str">
        <f t="shared" si="32"/>
        <v>N-HEXANE</v>
      </c>
    </row>
    <row r="2027" spans="1:13" ht="30" x14ac:dyDescent="0.25">
      <c r="A2027" s="359" t="s">
        <v>1998</v>
      </c>
      <c r="B2027" s="359" t="s">
        <v>718</v>
      </c>
      <c r="C2027" s="359" t="s">
        <v>1307</v>
      </c>
      <c r="D2027" s="359" t="s">
        <v>1308</v>
      </c>
      <c r="E2027" s="360"/>
      <c r="F2027" s="359" t="s">
        <v>1270</v>
      </c>
      <c r="G2027" s="361">
        <v>7.8633336646456609E-6</v>
      </c>
      <c r="H2027" s="359" t="s">
        <v>2000</v>
      </c>
      <c r="I2027" s="361">
        <v>48.216295629770983</v>
      </c>
      <c r="J2027" s="359" t="s">
        <v>1310</v>
      </c>
      <c r="K2027" s="359" t="s">
        <v>1272</v>
      </c>
      <c r="M2027" t="str">
        <f t="shared" si="32"/>
        <v>NITRATE</v>
      </c>
    </row>
    <row r="2028" spans="1:13" ht="30" x14ac:dyDescent="0.25">
      <c r="A2028" s="359" t="s">
        <v>1998</v>
      </c>
      <c r="B2028" s="359" t="s">
        <v>718</v>
      </c>
      <c r="C2028" s="359" t="s">
        <v>1510</v>
      </c>
      <c r="D2028" s="359" t="s">
        <v>1505</v>
      </c>
      <c r="E2028" s="361">
        <v>306461.32950508496</v>
      </c>
      <c r="F2028" s="359" t="s">
        <v>1270</v>
      </c>
      <c r="G2028" s="361">
        <v>7.8633336646456609E-6</v>
      </c>
      <c r="H2028" s="359" t="s">
        <v>490</v>
      </c>
      <c r="I2028" s="361">
        <v>6.6022128471490442E-3</v>
      </c>
      <c r="J2028" s="359" t="s">
        <v>1506</v>
      </c>
      <c r="K2028" s="359" t="s">
        <v>1277</v>
      </c>
      <c r="M2028" t="str">
        <f t="shared" si="32"/>
        <v>NITROGEN</v>
      </c>
    </row>
    <row r="2029" spans="1:13" ht="30" x14ac:dyDescent="0.25">
      <c r="A2029" s="359" t="s">
        <v>1998</v>
      </c>
      <c r="B2029" s="359" t="s">
        <v>718</v>
      </c>
      <c r="C2029" s="359" t="s">
        <v>1314</v>
      </c>
      <c r="D2029" s="359" t="s">
        <v>490</v>
      </c>
      <c r="E2029" s="361">
        <v>5074.5222479999993</v>
      </c>
      <c r="F2029" s="359" t="s">
        <v>1270</v>
      </c>
      <c r="G2029" s="361">
        <v>7.8633336646456609E-6</v>
      </c>
      <c r="H2029" s="359" t="s">
        <v>490</v>
      </c>
      <c r="I2029" s="361">
        <v>1.093223606155939E-4</v>
      </c>
      <c r="J2029" s="359" t="s">
        <v>1314</v>
      </c>
      <c r="K2029" s="359" t="s">
        <v>1277</v>
      </c>
      <c r="M2029" t="str">
        <f t="shared" si="32"/>
        <v>Oil and grease</v>
      </c>
    </row>
    <row r="2030" spans="1:13" ht="30" x14ac:dyDescent="0.25">
      <c r="A2030" s="359" t="s">
        <v>1998</v>
      </c>
      <c r="B2030" s="359" t="s">
        <v>718</v>
      </c>
      <c r="C2030" s="359" t="s">
        <v>1315</v>
      </c>
      <c r="D2030" s="359" t="s">
        <v>1316</v>
      </c>
      <c r="E2030" s="360"/>
      <c r="F2030" s="359" t="s">
        <v>1270</v>
      </c>
      <c r="G2030" s="361">
        <v>7.8633336646456609E-6</v>
      </c>
      <c r="H2030" s="359" t="s">
        <v>1976</v>
      </c>
      <c r="I2030" s="361">
        <v>3.3848787298143571E-2</v>
      </c>
      <c r="J2030" s="359" t="s">
        <v>1315</v>
      </c>
      <c r="K2030" s="359" t="s">
        <v>1272</v>
      </c>
      <c r="M2030" t="str">
        <f t="shared" si="32"/>
        <v>PHENOL</v>
      </c>
    </row>
    <row r="2031" spans="1:13" ht="30" x14ac:dyDescent="0.25">
      <c r="A2031" s="359" t="s">
        <v>1998</v>
      </c>
      <c r="B2031" s="359" t="s">
        <v>718</v>
      </c>
      <c r="C2031" s="359" t="s">
        <v>1319</v>
      </c>
      <c r="D2031" s="359" t="s">
        <v>1320</v>
      </c>
      <c r="E2031" s="360"/>
      <c r="F2031" s="359" t="s">
        <v>1270</v>
      </c>
      <c r="G2031" s="361">
        <v>7.8633336646456609E-6</v>
      </c>
      <c r="H2031" s="359" t="s">
        <v>1286</v>
      </c>
      <c r="I2031" s="361">
        <v>0</v>
      </c>
      <c r="J2031" s="359" t="s">
        <v>1319</v>
      </c>
      <c r="K2031" s="359" t="s">
        <v>1272</v>
      </c>
      <c r="M2031" t="str">
        <f t="shared" si="32"/>
        <v>POLYCYCLIC AROMATIC COMPOUNDS</v>
      </c>
    </row>
    <row r="2032" spans="1:13" ht="30" x14ac:dyDescent="0.25">
      <c r="A2032" s="359" t="s">
        <v>1998</v>
      </c>
      <c r="B2032" s="359" t="s">
        <v>718</v>
      </c>
      <c r="C2032" s="359" t="s">
        <v>1325</v>
      </c>
      <c r="D2032" s="359" t="s">
        <v>1326</v>
      </c>
      <c r="E2032" s="360"/>
      <c r="F2032" s="359" t="s">
        <v>1270</v>
      </c>
      <c r="G2032" s="361">
        <v>7.8633336646456609E-6</v>
      </c>
      <c r="H2032" s="359" t="s">
        <v>1286</v>
      </c>
      <c r="I2032" s="361">
        <v>0</v>
      </c>
      <c r="J2032" s="359" t="s">
        <v>1325</v>
      </c>
      <c r="K2032" s="359" t="s">
        <v>1272</v>
      </c>
      <c r="M2032" t="str">
        <f t="shared" si="32"/>
        <v>TOLUENE</v>
      </c>
    </row>
    <row r="2033" spans="1:13" ht="30" x14ac:dyDescent="0.25">
      <c r="A2033" s="359" t="s">
        <v>1998</v>
      </c>
      <c r="B2033" s="359" t="s">
        <v>718</v>
      </c>
      <c r="C2033" s="359" t="s">
        <v>1327</v>
      </c>
      <c r="D2033" s="359" t="s">
        <v>1328</v>
      </c>
      <c r="E2033" s="360"/>
      <c r="F2033" s="359" t="s">
        <v>1270</v>
      </c>
      <c r="G2033" s="361">
        <v>7.8633336646456609E-6</v>
      </c>
      <c r="H2033" s="359" t="s">
        <v>1286</v>
      </c>
      <c r="I2033" s="361">
        <v>0</v>
      </c>
      <c r="J2033" s="359" t="s">
        <v>1329</v>
      </c>
      <c r="K2033" s="359" t="s">
        <v>1272</v>
      </c>
      <c r="M2033" t="str">
        <f t="shared" si="32"/>
        <v>XYLENES</v>
      </c>
    </row>
    <row r="2034" spans="1:13" ht="45" x14ac:dyDescent="0.25">
      <c r="A2034" s="359" t="s">
        <v>2001</v>
      </c>
      <c r="B2034" s="359" t="s">
        <v>724</v>
      </c>
      <c r="C2034" s="359" t="s">
        <v>1268</v>
      </c>
      <c r="D2034" s="359" t="s">
        <v>1269</v>
      </c>
      <c r="E2034" s="360"/>
      <c r="F2034" s="359" t="s">
        <v>1412</v>
      </c>
      <c r="G2034" s="361">
        <v>3.9316668323228305E-6</v>
      </c>
      <c r="H2034" s="359" t="s">
        <v>1317</v>
      </c>
      <c r="I2034" s="361">
        <v>5.8584439554479261E-3</v>
      </c>
      <c r="J2034" s="359" t="s">
        <v>1268</v>
      </c>
      <c r="K2034" s="359" t="s">
        <v>1272</v>
      </c>
      <c r="M2034" t="str">
        <f t="shared" si="32"/>
        <v>1,2,4-TRIMETHYLBENZENE</v>
      </c>
    </row>
    <row r="2035" spans="1:13" ht="45" x14ac:dyDescent="0.25">
      <c r="A2035" s="359" t="s">
        <v>2001</v>
      </c>
      <c r="B2035" s="359" t="s">
        <v>724</v>
      </c>
      <c r="C2035" s="359" t="s">
        <v>1347</v>
      </c>
      <c r="D2035" s="359" t="s">
        <v>1348</v>
      </c>
      <c r="E2035" s="360"/>
      <c r="F2035" s="359" t="s">
        <v>1412</v>
      </c>
      <c r="G2035" s="361">
        <v>3.9316668323228305E-6</v>
      </c>
      <c r="H2035" s="359" t="s">
        <v>1286</v>
      </c>
      <c r="I2035" s="361">
        <v>0</v>
      </c>
      <c r="J2035" s="359" t="s">
        <v>1347</v>
      </c>
      <c r="K2035" s="359" t="s">
        <v>1272</v>
      </c>
      <c r="M2035" t="str">
        <f t="shared" si="32"/>
        <v>1,3-BUTADIENE</v>
      </c>
    </row>
    <row r="2036" spans="1:13" ht="45" x14ac:dyDescent="0.25">
      <c r="A2036" s="359" t="s">
        <v>2001</v>
      </c>
      <c r="B2036" s="359" t="s">
        <v>724</v>
      </c>
      <c r="C2036" s="359" t="s">
        <v>1313</v>
      </c>
      <c r="D2036" s="359" t="s">
        <v>1312</v>
      </c>
      <c r="E2036" s="360"/>
      <c r="F2036" s="359" t="s">
        <v>1412</v>
      </c>
      <c r="G2036" s="361">
        <v>3.9316668323228305E-6</v>
      </c>
      <c r="H2036" s="359" t="s">
        <v>2002</v>
      </c>
      <c r="I2036" s="361">
        <v>2.0830022952703739</v>
      </c>
      <c r="J2036" s="359" t="s">
        <v>1313</v>
      </c>
      <c r="K2036" s="359" t="s">
        <v>1272</v>
      </c>
      <c r="M2036" t="str">
        <f t="shared" si="32"/>
        <v>AMMONIA</v>
      </c>
    </row>
    <row r="2037" spans="1:13" ht="45" x14ac:dyDescent="0.25">
      <c r="A2037" s="359" t="s">
        <v>2001</v>
      </c>
      <c r="B2037" s="359" t="s">
        <v>724</v>
      </c>
      <c r="C2037" s="359" t="s">
        <v>1586</v>
      </c>
      <c r="D2037" s="359" t="s">
        <v>1587</v>
      </c>
      <c r="E2037" s="360"/>
      <c r="F2037" s="359" t="s">
        <v>1412</v>
      </c>
      <c r="G2037" s="361">
        <v>3.9316668323228305E-6</v>
      </c>
      <c r="H2037" s="359" t="s">
        <v>2003</v>
      </c>
      <c r="I2037" s="361">
        <v>1.2367826128167845</v>
      </c>
      <c r="J2037" s="359" t="s">
        <v>1586</v>
      </c>
      <c r="K2037" s="359" t="s">
        <v>1272</v>
      </c>
      <c r="M2037" t="str">
        <f t="shared" si="32"/>
        <v>ANTIMONY AND ANTIMONY COMPOUNDS</v>
      </c>
    </row>
    <row r="2038" spans="1:13" ht="45" x14ac:dyDescent="0.25">
      <c r="A2038" s="359" t="s">
        <v>2001</v>
      </c>
      <c r="B2038" s="359" t="s">
        <v>724</v>
      </c>
      <c r="C2038" s="359" t="s">
        <v>1273</v>
      </c>
      <c r="D2038" s="359" t="s">
        <v>1274</v>
      </c>
      <c r="E2038" s="360"/>
      <c r="F2038" s="359" t="s">
        <v>1412</v>
      </c>
      <c r="G2038" s="361">
        <v>3.9316668323228305E-6</v>
      </c>
      <c r="H2038" s="359" t="s">
        <v>1317</v>
      </c>
      <c r="I2038" s="361">
        <v>5.8584439554479261E-3</v>
      </c>
      <c r="J2038" s="359" t="s">
        <v>1273</v>
      </c>
      <c r="K2038" s="359" t="s">
        <v>1272</v>
      </c>
      <c r="M2038" t="str">
        <f t="shared" si="32"/>
        <v>BENZENE</v>
      </c>
    </row>
    <row r="2039" spans="1:13" ht="45" x14ac:dyDescent="0.25">
      <c r="A2039" s="359" t="s">
        <v>2001</v>
      </c>
      <c r="B2039" s="359" t="s">
        <v>724</v>
      </c>
      <c r="C2039" s="359" t="s">
        <v>1352</v>
      </c>
      <c r="D2039" s="359" t="s">
        <v>1353</v>
      </c>
      <c r="E2039" s="360"/>
      <c r="F2039" s="359" t="s">
        <v>1412</v>
      </c>
      <c r="G2039" s="361">
        <v>3.9316668323228305E-6</v>
      </c>
      <c r="H2039" s="359" t="s">
        <v>1286</v>
      </c>
      <c r="I2039" s="361">
        <v>0</v>
      </c>
      <c r="J2039" s="359" t="s">
        <v>1352</v>
      </c>
      <c r="K2039" s="359" t="s">
        <v>1272</v>
      </c>
      <c r="M2039" t="str">
        <f t="shared" si="32"/>
        <v>BENZO(G,H,I)PERYLENE</v>
      </c>
    </row>
    <row r="2040" spans="1:13" ht="45" x14ac:dyDescent="0.25">
      <c r="A2040" s="359" t="s">
        <v>2001</v>
      </c>
      <c r="B2040" s="359" t="s">
        <v>724</v>
      </c>
      <c r="C2040" s="359" t="s">
        <v>1485</v>
      </c>
      <c r="D2040" s="359" t="s">
        <v>1486</v>
      </c>
      <c r="E2040" s="360"/>
      <c r="F2040" s="359" t="s">
        <v>1412</v>
      </c>
      <c r="G2040" s="361">
        <v>3.9316668323228305E-6</v>
      </c>
      <c r="H2040" s="359" t="s">
        <v>1286</v>
      </c>
      <c r="I2040" s="361">
        <v>0</v>
      </c>
      <c r="J2040" s="359" t="s">
        <v>1485</v>
      </c>
      <c r="K2040" s="359" t="s">
        <v>1272</v>
      </c>
      <c r="M2040" t="str">
        <f t="shared" si="32"/>
        <v>COBALT AND COBALT COMPOUNDS</v>
      </c>
    </row>
    <row r="2041" spans="1:13" ht="45" x14ac:dyDescent="0.25">
      <c r="A2041" s="359" t="s">
        <v>2001</v>
      </c>
      <c r="B2041" s="359" t="s">
        <v>724</v>
      </c>
      <c r="C2041" s="359" t="s">
        <v>1443</v>
      </c>
      <c r="D2041" s="359" t="s">
        <v>1444</v>
      </c>
      <c r="E2041" s="360"/>
      <c r="F2041" s="359" t="s">
        <v>1412</v>
      </c>
      <c r="G2041" s="361">
        <v>3.9316668323228305E-6</v>
      </c>
      <c r="H2041" s="359" t="s">
        <v>1317</v>
      </c>
      <c r="I2041" s="361">
        <v>5.8584439554479261E-3</v>
      </c>
      <c r="J2041" s="359" t="s">
        <v>1445</v>
      </c>
      <c r="K2041" s="359" t="s">
        <v>1272</v>
      </c>
      <c r="M2041" t="str">
        <f t="shared" si="32"/>
        <v>CRESOL(S)</v>
      </c>
    </row>
    <row r="2042" spans="1:13" ht="45" x14ac:dyDescent="0.25">
      <c r="A2042" s="359" t="s">
        <v>2001</v>
      </c>
      <c r="B2042" s="359" t="s">
        <v>724</v>
      </c>
      <c r="C2042" s="359" t="s">
        <v>1284</v>
      </c>
      <c r="D2042" s="359" t="s">
        <v>1285</v>
      </c>
      <c r="E2042" s="360"/>
      <c r="F2042" s="359" t="s">
        <v>1412</v>
      </c>
      <c r="G2042" s="361">
        <v>3.9316668323228305E-6</v>
      </c>
      <c r="H2042" s="359" t="s">
        <v>1317</v>
      </c>
      <c r="I2042" s="361">
        <v>5.8584439554479261E-3</v>
      </c>
      <c r="J2042" s="359" t="s">
        <v>1287</v>
      </c>
      <c r="K2042" s="359" t="s">
        <v>1272</v>
      </c>
      <c r="M2042" t="str">
        <f t="shared" si="32"/>
        <v>ISOPROPYLBENZENE</v>
      </c>
    </row>
    <row r="2043" spans="1:13" ht="45" x14ac:dyDescent="0.25">
      <c r="A2043" s="359" t="s">
        <v>2001</v>
      </c>
      <c r="B2043" s="359" t="s">
        <v>724</v>
      </c>
      <c r="C2043" s="359" t="s">
        <v>1288</v>
      </c>
      <c r="D2043" s="359" t="s">
        <v>1289</v>
      </c>
      <c r="E2043" s="360"/>
      <c r="F2043" s="359" t="s">
        <v>1412</v>
      </c>
      <c r="G2043" s="361">
        <v>3.9316668323228305E-6</v>
      </c>
      <c r="H2043" s="359" t="s">
        <v>2004</v>
      </c>
      <c r="I2043" s="361">
        <v>6.3141007075383213E-2</v>
      </c>
      <c r="J2043" s="359" t="s">
        <v>1288</v>
      </c>
      <c r="K2043" s="359" t="s">
        <v>1272</v>
      </c>
      <c r="M2043" t="str">
        <f t="shared" si="32"/>
        <v>CYANIDE COMPOUNDS</v>
      </c>
    </row>
    <row r="2044" spans="1:13" ht="45" x14ac:dyDescent="0.25">
      <c r="A2044" s="359" t="s">
        <v>2001</v>
      </c>
      <c r="B2044" s="359" t="s">
        <v>724</v>
      </c>
      <c r="C2044" s="359" t="s">
        <v>1291</v>
      </c>
      <c r="D2044" s="359" t="s">
        <v>1292</v>
      </c>
      <c r="E2044" s="360"/>
      <c r="F2044" s="359" t="s">
        <v>1412</v>
      </c>
      <c r="G2044" s="361">
        <v>3.9316668323228305E-6</v>
      </c>
      <c r="H2044" s="359" t="s">
        <v>1317</v>
      </c>
      <c r="I2044" s="361">
        <v>5.8584439554479261E-3</v>
      </c>
      <c r="J2044" s="359" t="s">
        <v>1291</v>
      </c>
      <c r="K2044" s="359" t="s">
        <v>1272</v>
      </c>
      <c r="M2044" t="str">
        <f t="shared" si="32"/>
        <v>CYCLOHEXANE</v>
      </c>
    </row>
    <row r="2045" spans="1:13" ht="45" x14ac:dyDescent="0.25">
      <c r="A2045" s="359" t="s">
        <v>2001</v>
      </c>
      <c r="B2045" s="359" t="s">
        <v>724</v>
      </c>
      <c r="C2045" s="359" t="s">
        <v>1293</v>
      </c>
      <c r="D2045" s="359" t="s">
        <v>1294</v>
      </c>
      <c r="E2045" s="360"/>
      <c r="F2045" s="359" t="s">
        <v>1412</v>
      </c>
      <c r="G2045" s="361">
        <v>3.9316668323228305E-6</v>
      </c>
      <c r="H2045" s="359" t="s">
        <v>1286</v>
      </c>
      <c r="I2045" s="361">
        <v>0</v>
      </c>
      <c r="J2045" s="359" t="s">
        <v>1293</v>
      </c>
      <c r="K2045" s="359" t="s">
        <v>1272</v>
      </c>
      <c r="M2045" t="str">
        <f t="shared" si="32"/>
        <v>DIETHANOLAMINE</v>
      </c>
    </row>
    <row r="2046" spans="1:13" ht="45" x14ac:dyDescent="0.25">
      <c r="A2046" s="359" t="s">
        <v>2001</v>
      </c>
      <c r="B2046" s="359" t="s">
        <v>724</v>
      </c>
      <c r="C2046" s="359" t="s">
        <v>1295</v>
      </c>
      <c r="D2046" s="359" t="s">
        <v>1296</v>
      </c>
      <c r="E2046" s="360"/>
      <c r="F2046" s="359" t="s">
        <v>1412</v>
      </c>
      <c r="G2046" s="361">
        <v>3.9316668323228305E-6</v>
      </c>
      <c r="H2046" s="359" t="s">
        <v>1317</v>
      </c>
      <c r="I2046" s="361">
        <v>5.8584439554479261E-3</v>
      </c>
      <c r="J2046" s="359" t="s">
        <v>1295</v>
      </c>
      <c r="K2046" s="359" t="s">
        <v>1272</v>
      </c>
      <c r="M2046" t="str">
        <f t="shared" si="32"/>
        <v>ETHYLBENZENE</v>
      </c>
    </row>
    <row r="2047" spans="1:13" ht="45" x14ac:dyDescent="0.25">
      <c r="A2047" s="359" t="s">
        <v>2001</v>
      </c>
      <c r="B2047" s="359" t="s">
        <v>724</v>
      </c>
      <c r="C2047" s="359" t="s">
        <v>1297</v>
      </c>
      <c r="D2047" s="359" t="s">
        <v>1298</v>
      </c>
      <c r="E2047" s="360"/>
      <c r="F2047" s="359" t="s">
        <v>1412</v>
      </c>
      <c r="G2047" s="361">
        <v>3.9316668323228305E-6</v>
      </c>
      <c r="H2047" s="359" t="s">
        <v>2005</v>
      </c>
      <c r="I2047" s="361">
        <v>3.0344721780746715E-2</v>
      </c>
      <c r="J2047" s="359" t="s">
        <v>1297</v>
      </c>
      <c r="K2047" s="359" t="s">
        <v>1272</v>
      </c>
      <c r="M2047" t="str">
        <f t="shared" si="32"/>
        <v>LEAD AND LEAD COMPOUNDS</v>
      </c>
    </row>
    <row r="2048" spans="1:13" ht="45" x14ac:dyDescent="0.25">
      <c r="A2048" s="359" t="s">
        <v>2001</v>
      </c>
      <c r="B2048" s="359" t="s">
        <v>724</v>
      </c>
      <c r="C2048" s="359" t="s">
        <v>1300</v>
      </c>
      <c r="D2048" s="359" t="s">
        <v>1301</v>
      </c>
      <c r="E2048" s="360"/>
      <c r="F2048" s="359" t="s">
        <v>1412</v>
      </c>
      <c r="G2048" s="361">
        <v>3.9316668323228305E-6</v>
      </c>
      <c r="H2048" s="359" t="s">
        <v>2006</v>
      </c>
      <c r="I2048" s="361">
        <v>5.9502262440832773E-4</v>
      </c>
      <c r="J2048" s="359" t="s">
        <v>1300</v>
      </c>
      <c r="K2048" s="359" t="s">
        <v>1272</v>
      </c>
      <c r="M2048" t="str">
        <f t="shared" si="32"/>
        <v>MERCURY AND MERCURY COMPOUNDS</v>
      </c>
    </row>
    <row r="2049" spans="1:13" ht="45" x14ac:dyDescent="0.25">
      <c r="A2049" s="359" t="s">
        <v>2001</v>
      </c>
      <c r="B2049" s="359" t="s">
        <v>724</v>
      </c>
      <c r="C2049" s="359" t="s">
        <v>1381</v>
      </c>
      <c r="D2049" s="359" t="s">
        <v>1382</v>
      </c>
      <c r="E2049" s="360"/>
      <c r="F2049" s="359" t="s">
        <v>1412</v>
      </c>
      <c r="G2049" s="361">
        <v>3.9316668323228305E-6</v>
      </c>
      <c r="H2049" s="359" t="s">
        <v>1286</v>
      </c>
      <c r="I2049" s="361">
        <v>0</v>
      </c>
      <c r="J2049" s="359" t="s">
        <v>1381</v>
      </c>
      <c r="K2049" s="359" t="s">
        <v>1272</v>
      </c>
      <c r="M2049" t="str">
        <f t="shared" si="32"/>
        <v>MOLYBDENUM TRIOXIDE</v>
      </c>
    </row>
    <row r="2050" spans="1:13" ht="45" x14ac:dyDescent="0.25">
      <c r="A2050" s="359" t="s">
        <v>2001</v>
      </c>
      <c r="B2050" s="359" t="s">
        <v>724</v>
      </c>
      <c r="C2050" s="359" t="s">
        <v>1303</v>
      </c>
      <c r="D2050" s="359" t="s">
        <v>1304</v>
      </c>
      <c r="E2050" s="360"/>
      <c r="F2050" s="359" t="s">
        <v>1412</v>
      </c>
      <c r="G2050" s="361">
        <v>3.9316668323228305E-6</v>
      </c>
      <c r="H2050" s="359" t="s">
        <v>1317</v>
      </c>
      <c r="I2050" s="361">
        <v>5.8584439554479261E-3</v>
      </c>
      <c r="J2050" s="359" t="s">
        <v>1303</v>
      </c>
      <c r="K2050" s="359" t="s">
        <v>1272</v>
      </c>
      <c r="M2050" t="str">
        <f t="shared" si="32"/>
        <v>NAPHTHALENE</v>
      </c>
    </row>
    <row r="2051" spans="1:13" ht="45" x14ac:dyDescent="0.25">
      <c r="A2051" s="359" t="s">
        <v>2001</v>
      </c>
      <c r="B2051" s="359" t="s">
        <v>724</v>
      </c>
      <c r="C2051" s="359" t="s">
        <v>1305</v>
      </c>
      <c r="D2051" s="359" t="s">
        <v>1306</v>
      </c>
      <c r="E2051" s="360"/>
      <c r="F2051" s="359" t="s">
        <v>1412</v>
      </c>
      <c r="G2051" s="361">
        <v>3.9316668323228305E-6</v>
      </c>
      <c r="H2051" s="359" t="s">
        <v>1317</v>
      </c>
      <c r="I2051" s="361">
        <v>5.8584439554479261E-3</v>
      </c>
      <c r="J2051" s="359" t="s">
        <v>1305</v>
      </c>
      <c r="K2051" s="359" t="s">
        <v>1272</v>
      </c>
      <c r="M2051" t="str">
        <f t="shared" si="32"/>
        <v>N-HEXANE</v>
      </c>
    </row>
    <row r="2052" spans="1:13" ht="45" x14ac:dyDescent="0.25">
      <c r="A2052" s="359" t="s">
        <v>2001</v>
      </c>
      <c r="B2052" s="359" t="s">
        <v>724</v>
      </c>
      <c r="C2052" s="359" t="s">
        <v>1384</v>
      </c>
      <c r="D2052" s="359" t="s">
        <v>1385</v>
      </c>
      <c r="E2052" s="360"/>
      <c r="F2052" s="359" t="s">
        <v>1412</v>
      </c>
      <c r="G2052" s="361">
        <v>3.9316668323228305E-6</v>
      </c>
      <c r="H2052" s="359" t="s">
        <v>1286</v>
      </c>
      <c r="I2052" s="361">
        <v>0</v>
      </c>
      <c r="J2052" s="359" t="s">
        <v>1384</v>
      </c>
      <c r="K2052" s="359" t="s">
        <v>1272</v>
      </c>
      <c r="M2052" t="str">
        <f t="shared" si="32"/>
        <v>NICKEL AND NICKEL COMPOUNDS</v>
      </c>
    </row>
    <row r="2053" spans="1:13" ht="45" x14ac:dyDescent="0.25">
      <c r="A2053" s="359" t="s">
        <v>2001</v>
      </c>
      <c r="B2053" s="359" t="s">
        <v>724</v>
      </c>
      <c r="C2053" s="359" t="s">
        <v>1307</v>
      </c>
      <c r="D2053" s="359" t="s">
        <v>1308</v>
      </c>
      <c r="E2053" s="360"/>
      <c r="F2053" s="359" t="s">
        <v>1412</v>
      </c>
      <c r="G2053" s="361">
        <v>3.9316668323228305E-6</v>
      </c>
      <c r="H2053" s="359" t="s">
        <v>2007</v>
      </c>
      <c r="I2053" s="361">
        <v>6.5093821727199179</v>
      </c>
      <c r="J2053" s="359" t="s">
        <v>1310</v>
      </c>
      <c r="K2053" s="359" t="s">
        <v>1272</v>
      </c>
      <c r="M2053" t="str">
        <f t="shared" si="32"/>
        <v>NITRATE</v>
      </c>
    </row>
    <row r="2054" spans="1:13" ht="45" x14ac:dyDescent="0.25">
      <c r="A2054" s="359" t="s">
        <v>2001</v>
      </c>
      <c r="B2054" s="359" t="s">
        <v>724</v>
      </c>
      <c r="C2054" s="359" t="s">
        <v>1315</v>
      </c>
      <c r="D2054" s="359" t="s">
        <v>1316</v>
      </c>
      <c r="E2054" s="360"/>
      <c r="F2054" s="359" t="s">
        <v>1412</v>
      </c>
      <c r="G2054" s="361">
        <v>3.9316668323228305E-6</v>
      </c>
      <c r="H2054" s="359" t="s">
        <v>1886</v>
      </c>
      <c r="I2054" s="361">
        <v>0.13018764345439837</v>
      </c>
      <c r="J2054" s="359" t="s">
        <v>1315</v>
      </c>
      <c r="K2054" s="359" t="s">
        <v>1272</v>
      </c>
      <c r="M2054" t="str">
        <f t="shared" ref="M2054:M2117" si="33">IF(J2054="",C2054,J2054)</f>
        <v>PHENOL</v>
      </c>
    </row>
    <row r="2055" spans="1:13" ht="45" x14ac:dyDescent="0.25">
      <c r="A2055" s="359" t="s">
        <v>2001</v>
      </c>
      <c r="B2055" s="359" t="s">
        <v>724</v>
      </c>
      <c r="C2055" s="359" t="s">
        <v>1319</v>
      </c>
      <c r="D2055" s="359" t="s">
        <v>1320</v>
      </c>
      <c r="E2055" s="360"/>
      <c r="F2055" s="359" t="s">
        <v>1412</v>
      </c>
      <c r="G2055" s="361">
        <v>3.9316668323228305E-6</v>
      </c>
      <c r="H2055" s="359" t="s">
        <v>2008</v>
      </c>
      <c r="I2055" s="361">
        <v>5.9499658687963679E-3</v>
      </c>
      <c r="J2055" s="359" t="s">
        <v>1319</v>
      </c>
      <c r="K2055" s="359" t="s">
        <v>1272</v>
      </c>
      <c r="M2055" t="str">
        <f t="shared" si="33"/>
        <v>POLYCYCLIC AROMATIC COMPOUNDS</v>
      </c>
    </row>
    <row r="2056" spans="1:13" ht="45" x14ac:dyDescent="0.25">
      <c r="A2056" s="359" t="s">
        <v>2001</v>
      </c>
      <c r="B2056" s="359" t="s">
        <v>724</v>
      </c>
      <c r="C2056" s="359" t="s">
        <v>1325</v>
      </c>
      <c r="D2056" s="359" t="s">
        <v>1326</v>
      </c>
      <c r="E2056" s="360"/>
      <c r="F2056" s="359" t="s">
        <v>1412</v>
      </c>
      <c r="G2056" s="361">
        <v>3.9316668323228305E-6</v>
      </c>
      <c r="H2056" s="359" t="s">
        <v>1317</v>
      </c>
      <c r="I2056" s="361">
        <v>5.8584439554479261E-3</v>
      </c>
      <c r="J2056" s="359" t="s">
        <v>1325</v>
      </c>
      <c r="K2056" s="359" t="s">
        <v>1272</v>
      </c>
      <c r="M2056" t="str">
        <f t="shared" si="33"/>
        <v>TOLUENE</v>
      </c>
    </row>
    <row r="2057" spans="1:13" ht="45" x14ac:dyDescent="0.25">
      <c r="A2057" s="359" t="s">
        <v>2001</v>
      </c>
      <c r="B2057" s="359" t="s">
        <v>724</v>
      </c>
      <c r="C2057" s="359" t="s">
        <v>1495</v>
      </c>
      <c r="D2057" s="359" t="s">
        <v>1465</v>
      </c>
      <c r="E2057" s="360"/>
      <c r="F2057" s="359" t="s">
        <v>1412</v>
      </c>
      <c r="G2057" s="361">
        <v>3.9316668323228305E-6</v>
      </c>
      <c r="H2057" s="359" t="s">
        <v>1498</v>
      </c>
      <c r="I2057" s="361">
        <v>1.041501147635187</v>
      </c>
      <c r="J2057" s="359" t="s">
        <v>1495</v>
      </c>
      <c r="K2057" s="359" t="s">
        <v>1272</v>
      </c>
      <c r="M2057" t="str">
        <f t="shared" si="33"/>
        <v>VANADIUM AND VANADIUM COMPOUNDS</v>
      </c>
    </row>
    <row r="2058" spans="1:13" ht="45" x14ac:dyDescent="0.25">
      <c r="A2058" s="359" t="s">
        <v>2001</v>
      </c>
      <c r="B2058" s="359" t="s">
        <v>724</v>
      </c>
      <c r="C2058" s="359" t="s">
        <v>1327</v>
      </c>
      <c r="D2058" s="359" t="s">
        <v>1328</v>
      </c>
      <c r="E2058" s="360"/>
      <c r="F2058" s="359" t="s">
        <v>1412</v>
      </c>
      <c r="G2058" s="361">
        <v>3.9316668323228305E-6</v>
      </c>
      <c r="H2058" s="359" t="s">
        <v>1754</v>
      </c>
      <c r="I2058" s="361">
        <v>1.6273455431799796E-2</v>
      </c>
      <c r="J2058" s="359" t="s">
        <v>1329</v>
      </c>
      <c r="K2058" s="359" t="s">
        <v>1272</v>
      </c>
      <c r="M2058" t="str">
        <f t="shared" si="33"/>
        <v>XYLENES</v>
      </c>
    </row>
    <row r="2059" spans="1:13" ht="45" x14ac:dyDescent="0.25">
      <c r="A2059" s="359" t="s">
        <v>2009</v>
      </c>
      <c r="B2059" s="359" t="s">
        <v>826</v>
      </c>
      <c r="C2059" s="359" t="s">
        <v>1268</v>
      </c>
      <c r="D2059" s="359" t="s">
        <v>1269</v>
      </c>
      <c r="E2059" s="360"/>
      <c r="F2059" s="359" t="s">
        <v>1333</v>
      </c>
      <c r="G2059" s="361">
        <v>5.1282051282051279E-6</v>
      </c>
      <c r="H2059" s="359" t="s">
        <v>1286</v>
      </c>
      <c r="I2059" s="361">
        <v>0</v>
      </c>
      <c r="J2059" s="359" t="s">
        <v>1268</v>
      </c>
      <c r="K2059" s="359" t="s">
        <v>1272</v>
      </c>
      <c r="M2059" t="str">
        <f t="shared" si="33"/>
        <v>1,2,4-TRIMETHYLBENZENE</v>
      </c>
    </row>
    <row r="2060" spans="1:13" ht="45" x14ac:dyDescent="0.25">
      <c r="A2060" s="359" t="s">
        <v>2009</v>
      </c>
      <c r="B2060" s="359" t="s">
        <v>826</v>
      </c>
      <c r="C2060" s="359" t="s">
        <v>1313</v>
      </c>
      <c r="D2060" s="359" t="s">
        <v>1312</v>
      </c>
      <c r="E2060" s="360"/>
      <c r="F2060" s="359" t="s">
        <v>1333</v>
      </c>
      <c r="G2060" s="361">
        <v>5.1282051282051279E-6</v>
      </c>
      <c r="H2060" s="359" t="s">
        <v>1286</v>
      </c>
      <c r="I2060" s="361">
        <v>0</v>
      </c>
      <c r="J2060" s="359" t="s">
        <v>1313</v>
      </c>
      <c r="K2060" s="359" t="s">
        <v>1272</v>
      </c>
      <c r="M2060" t="str">
        <f t="shared" si="33"/>
        <v>AMMONIA</v>
      </c>
    </row>
    <row r="2061" spans="1:13" ht="45" x14ac:dyDescent="0.25">
      <c r="A2061" s="359" t="s">
        <v>2009</v>
      </c>
      <c r="B2061" s="359" t="s">
        <v>826</v>
      </c>
      <c r="C2061" s="359" t="s">
        <v>1349</v>
      </c>
      <c r="D2061" s="359" t="s">
        <v>1350</v>
      </c>
      <c r="E2061" s="360"/>
      <c r="F2061" s="359" t="s">
        <v>1333</v>
      </c>
      <c r="G2061" s="361">
        <v>5.1282051282051279E-6</v>
      </c>
      <c r="H2061" s="359" t="s">
        <v>1286</v>
      </c>
      <c r="I2061" s="361">
        <v>0</v>
      </c>
      <c r="J2061" s="359" t="s">
        <v>1349</v>
      </c>
      <c r="K2061" s="359" t="s">
        <v>1272</v>
      </c>
      <c r="M2061" t="str">
        <f t="shared" si="33"/>
        <v>ANTHRACENE</v>
      </c>
    </row>
    <row r="2062" spans="1:13" ht="45" x14ac:dyDescent="0.25">
      <c r="A2062" s="359" t="s">
        <v>2009</v>
      </c>
      <c r="B2062" s="359" t="s">
        <v>826</v>
      </c>
      <c r="C2062" s="359" t="s">
        <v>1586</v>
      </c>
      <c r="D2062" s="359" t="s">
        <v>1587</v>
      </c>
      <c r="E2062" s="360"/>
      <c r="F2062" s="359" t="s">
        <v>1333</v>
      </c>
      <c r="G2062" s="361">
        <v>5.1282051282051279E-6</v>
      </c>
      <c r="H2062" s="359" t="s">
        <v>1286</v>
      </c>
      <c r="I2062" s="361">
        <v>0</v>
      </c>
      <c r="J2062" s="359" t="s">
        <v>1586</v>
      </c>
      <c r="K2062" s="359" t="s">
        <v>1272</v>
      </c>
      <c r="M2062" t="str">
        <f t="shared" si="33"/>
        <v>ANTIMONY AND ANTIMONY COMPOUNDS</v>
      </c>
    </row>
    <row r="2063" spans="1:13" ht="45" x14ac:dyDescent="0.25">
      <c r="A2063" s="359" t="s">
        <v>2009</v>
      </c>
      <c r="B2063" s="359" t="s">
        <v>826</v>
      </c>
      <c r="C2063" s="359" t="s">
        <v>1273</v>
      </c>
      <c r="D2063" s="359" t="s">
        <v>1274</v>
      </c>
      <c r="E2063" s="360"/>
      <c r="F2063" s="359" t="s">
        <v>1333</v>
      </c>
      <c r="G2063" s="361">
        <v>5.1282051282051279E-6</v>
      </c>
      <c r="H2063" s="359" t="s">
        <v>1275</v>
      </c>
      <c r="I2063" s="361">
        <v>5.9432840889794532E-3</v>
      </c>
      <c r="J2063" s="359" t="s">
        <v>1273</v>
      </c>
      <c r="K2063" s="359" t="s">
        <v>1272</v>
      </c>
      <c r="M2063" t="str">
        <f t="shared" si="33"/>
        <v>BENZENE</v>
      </c>
    </row>
    <row r="2064" spans="1:13" ht="45" x14ac:dyDescent="0.25">
      <c r="A2064" s="359" t="s">
        <v>2009</v>
      </c>
      <c r="B2064" s="359" t="s">
        <v>826</v>
      </c>
      <c r="C2064" s="359" t="s">
        <v>1352</v>
      </c>
      <c r="D2064" s="359" t="s">
        <v>1353</v>
      </c>
      <c r="E2064" s="360"/>
      <c r="F2064" s="359" t="s">
        <v>1333</v>
      </c>
      <c r="G2064" s="361">
        <v>5.1282051282051279E-6</v>
      </c>
      <c r="H2064" s="359" t="s">
        <v>1286</v>
      </c>
      <c r="I2064" s="361">
        <v>0</v>
      </c>
      <c r="J2064" s="359" t="s">
        <v>1352</v>
      </c>
      <c r="K2064" s="359" t="s">
        <v>1272</v>
      </c>
      <c r="M2064" t="str">
        <f t="shared" si="33"/>
        <v>BENZO(G,H,I)PERYLENE</v>
      </c>
    </row>
    <row r="2065" spans="1:13" ht="45" x14ac:dyDescent="0.25">
      <c r="A2065" s="359" t="s">
        <v>2009</v>
      </c>
      <c r="B2065" s="359" t="s">
        <v>826</v>
      </c>
      <c r="C2065" s="359" t="s">
        <v>1276</v>
      </c>
      <c r="D2065" s="359" t="s">
        <v>490</v>
      </c>
      <c r="E2065" s="361">
        <v>30560.226259999999</v>
      </c>
      <c r="F2065" s="359" t="s">
        <v>1333</v>
      </c>
      <c r="G2065" s="361">
        <v>5.1282051282051279E-6</v>
      </c>
      <c r="H2065" s="359" t="s">
        <v>490</v>
      </c>
      <c r="I2065" s="361">
        <v>4.2936742198805756E-4</v>
      </c>
      <c r="J2065" s="359" t="s">
        <v>1276</v>
      </c>
      <c r="K2065" s="359" t="s">
        <v>1277</v>
      </c>
      <c r="M2065" t="str">
        <f t="shared" si="33"/>
        <v>BOD, 5-day, 20 deg. C</v>
      </c>
    </row>
    <row r="2066" spans="1:13" ht="45" x14ac:dyDescent="0.25">
      <c r="A2066" s="359" t="s">
        <v>2009</v>
      </c>
      <c r="B2066" s="359" t="s">
        <v>826</v>
      </c>
      <c r="C2066" s="359" t="s">
        <v>1278</v>
      </c>
      <c r="D2066" s="359" t="s">
        <v>1279</v>
      </c>
      <c r="E2066" s="361">
        <v>70812.711482500003</v>
      </c>
      <c r="F2066" s="359" t="s">
        <v>1333</v>
      </c>
      <c r="G2066" s="361">
        <v>5.1282051282051279E-6</v>
      </c>
      <c r="H2066" s="359" t="s">
        <v>490</v>
      </c>
      <c r="I2066" s="361">
        <v>9.9490989086757999E-4</v>
      </c>
      <c r="J2066" s="359" t="s">
        <v>1278</v>
      </c>
      <c r="K2066" s="359" t="s">
        <v>1277</v>
      </c>
      <c r="M2066" t="str">
        <f t="shared" si="33"/>
        <v>Carbon, tot organic (TOC)</v>
      </c>
    </row>
    <row r="2067" spans="1:13" ht="45" x14ac:dyDescent="0.25">
      <c r="A2067" s="359" t="s">
        <v>2009</v>
      </c>
      <c r="B2067" s="359" t="s">
        <v>826</v>
      </c>
      <c r="C2067" s="359" t="s">
        <v>1740</v>
      </c>
      <c r="D2067" s="359" t="s">
        <v>1741</v>
      </c>
      <c r="E2067" s="360"/>
      <c r="F2067" s="359" t="s">
        <v>1333</v>
      </c>
      <c r="G2067" s="361">
        <v>5.1282051282051279E-6</v>
      </c>
      <c r="H2067" s="359" t="s">
        <v>1286</v>
      </c>
      <c r="I2067" s="361">
        <v>0</v>
      </c>
      <c r="J2067" s="359" t="s">
        <v>1740</v>
      </c>
      <c r="K2067" s="359" t="s">
        <v>1272</v>
      </c>
      <c r="M2067" t="str">
        <f t="shared" si="33"/>
        <v>CERTAIN GLYCOL ETHERS</v>
      </c>
    </row>
    <row r="2068" spans="1:13" ht="45" x14ac:dyDescent="0.25">
      <c r="A2068" s="359" t="s">
        <v>2009</v>
      </c>
      <c r="B2068" s="359" t="s">
        <v>826</v>
      </c>
      <c r="C2068" s="359" t="s">
        <v>1485</v>
      </c>
      <c r="D2068" s="359" t="s">
        <v>1486</v>
      </c>
      <c r="E2068" s="360"/>
      <c r="F2068" s="359" t="s">
        <v>1333</v>
      </c>
      <c r="G2068" s="361">
        <v>5.1282051282051279E-6</v>
      </c>
      <c r="H2068" s="359" t="s">
        <v>1286</v>
      </c>
      <c r="I2068" s="361">
        <v>0</v>
      </c>
      <c r="J2068" s="359" t="s">
        <v>1485</v>
      </c>
      <c r="K2068" s="359" t="s">
        <v>1272</v>
      </c>
      <c r="M2068" t="str">
        <f t="shared" si="33"/>
        <v>COBALT AND COBALT COMPOUNDS</v>
      </c>
    </row>
    <row r="2069" spans="1:13" ht="45" x14ac:dyDescent="0.25">
      <c r="A2069" s="359" t="s">
        <v>2009</v>
      </c>
      <c r="B2069" s="359" t="s">
        <v>826</v>
      </c>
      <c r="C2069" s="359" t="s">
        <v>1467</v>
      </c>
      <c r="D2069" s="359" t="s">
        <v>1441</v>
      </c>
      <c r="E2069" s="361">
        <v>43.783577959999995</v>
      </c>
      <c r="F2069" s="359" t="s">
        <v>1333</v>
      </c>
      <c r="G2069" s="361">
        <v>5.1282051282051279E-6</v>
      </c>
      <c r="H2069" s="359" t="s">
        <v>490</v>
      </c>
      <c r="I2069" s="361">
        <v>6.1515388774148212E-7</v>
      </c>
      <c r="J2069" s="359" t="s">
        <v>1467</v>
      </c>
      <c r="K2069" s="359" t="s">
        <v>1277</v>
      </c>
      <c r="M2069" t="str">
        <f t="shared" si="33"/>
        <v>Copper, total (as Cu)</v>
      </c>
    </row>
    <row r="2070" spans="1:13" ht="45" x14ac:dyDescent="0.25">
      <c r="A2070" s="359" t="s">
        <v>2009</v>
      </c>
      <c r="B2070" s="359" t="s">
        <v>826</v>
      </c>
      <c r="C2070" s="359" t="s">
        <v>1443</v>
      </c>
      <c r="D2070" s="359" t="s">
        <v>1444</v>
      </c>
      <c r="E2070" s="360"/>
      <c r="F2070" s="359" t="s">
        <v>1333</v>
      </c>
      <c r="G2070" s="361">
        <v>5.1282051282051279E-6</v>
      </c>
      <c r="H2070" s="359" t="s">
        <v>1905</v>
      </c>
      <c r="I2070" s="361">
        <v>2.4622176940057732E-2</v>
      </c>
      <c r="J2070" s="359" t="s">
        <v>1445</v>
      </c>
      <c r="K2070" s="359" t="s">
        <v>1272</v>
      </c>
      <c r="M2070" t="str">
        <f t="shared" si="33"/>
        <v>CRESOL(S)</v>
      </c>
    </row>
    <row r="2071" spans="1:13" ht="45" x14ac:dyDescent="0.25">
      <c r="A2071" s="359" t="s">
        <v>2009</v>
      </c>
      <c r="B2071" s="359" t="s">
        <v>826</v>
      </c>
      <c r="C2071" s="359" t="s">
        <v>1284</v>
      </c>
      <c r="D2071" s="359" t="s">
        <v>1285</v>
      </c>
      <c r="E2071" s="360"/>
      <c r="F2071" s="359" t="s">
        <v>1333</v>
      </c>
      <c r="G2071" s="361">
        <v>5.1282051282051279E-6</v>
      </c>
      <c r="H2071" s="359" t="s">
        <v>1286</v>
      </c>
      <c r="I2071" s="361">
        <v>0</v>
      </c>
      <c r="J2071" s="359" t="s">
        <v>1287</v>
      </c>
      <c r="K2071" s="359" t="s">
        <v>1272</v>
      </c>
      <c r="M2071" t="str">
        <f t="shared" si="33"/>
        <v>ISOPROPYLBENZENE</v>
      </c>
    </row>
    <row r="2072" spans="1:13" ht="45" x14ac:dyDescent="0.25">
      <c r="A2072" s="359" t="s">
        <v>2009</v>
      </c>
      <c r="B2072" s="359" t="s">
        <v>826</v>
      </c>
      <c r="C2072" s="359" t="s">
        <v>1291</v>
      </c>
      <c r="D2072" s="359" t="s">
        <v>1292</v>
      </c>
      <c r="E2072" s="360"/>
      <c r="F2072" s="359" t="s">
        <v>1333</v>
      </c>
      <c r="G2072" s="361">
        <v>5.1282051282051279E-6</v>
      </c>
      <c r="H2072" s="359" t="s">
        <v>1286</v>
      </c>
      <c r="I2072" s="361">
        <v>0</v>
      </c>
      <c r="J2072" s="359" t="s">
        <v>1291</v>
      </c>
      <c r="K2072" s="359" t="s">
        <v>1272</v>
      </c>
      <c r="M2072" t="str">
        <f t="shared" si="33"/>
        <v>CYCLOHEXANE</v>
      </c>
    </row>
    <row r="2073" spans="1:13" ht="45" x14ac:dyDescent="0.25">
      <c r="A2073" s="359" t="s">
        <v>2009</v>
      </c>
      <c r="B2073" s="359" t="s">
        <v>826</v>
      </c>
      <c r="C2073" s="359" t="s">
        <v>1295</v>
      </c>
      <c r="D2073" s="359" t="s">
        <v>1296</v>
      </c>
      <c r="E2073" s="360"/>
      <c r="F2073" s="359" t="s">
        <v>1333</v>
      </c>
      <c r="G2073" s="361">
        <v>5.1282051282051279E-6</v>
      </c>
      <c r="H2073" s="359" t="s">
        <v>1275</v>
      </c>
      <c r="I2073" s="361">
        <v>5.9432840889794532E-3</v>
      </c>
      <c r="J2073" s="359" t="s">
        <v>1295</v>
      </c>
      <c r="K2073" s="359" t="s">
        <v>1272</v>
      </c>
      <c r="M2073" t="str">
        <f t="shared" si="33"/>
        <v>ETHYLBENZENE</v>
      </c>
    </row>
    <row r="2074" spans="1:13" ht="45" x14ac:dyDescent="0.25">
      <c r="A2074" s="359" t="s">
        <v>2009</v>
      </c>
      <c r="B2074" s="359" t="s">
        <v>826</v>
      </c>
      <c r="C2074" s="359" t="s">
        <v>1367</v>
      </c>
      <c r="D2074" s="359" t="s">
        <v>1368</v>
      </c>
      <c r="E2074" s="360"/>
      <c r="F2074" s="359" t="s">
        <v>1333</v>
      </c>
      <c r="G2074" s="361">
        <v>5.1282051282051279E-6</v>
      </c>
      <c r="H2074" s="359" t="s">
        <v>1286</v>
      </c>
      <c r="I2074" s="361">
        <v>0</v>
      </c>
      <c r="J2074" s="359" t="s">
        <v>1367</v>
      </c>
      <c r="K2074" s="359" t="s">
        <v>1272</v>
      </c>
      <c r="M2074" t="str">
        <f t="shared" si="33"/>
        <v>ETHYLENE GLYCOL</v>
      </c>
    </row>
    <row r="2075" spans="1:13" ht="45" x14ac:dyDescent="0.25">
      <c r="A2075" s="359" t="s">
        <v>2009</v>
      </c>
      <c r="B2075" s="359" t="s">
        <v>826</v>
      </c>
      <c r="C2075" s="359" t="s">
        <v>1431</v>
      </c>
      <c r="D2075" s="359" t="s">
        <v>1298</v>
      </c>
      <c r="E2075" s="361">
        <v>33.835538159999999</v>
      </c>
      <c r="F2075" s="359" t="s">
        <v>1333</v>
      </c>
      <c r="G2075" s="361">
        <v>5.1282051282051279E-6</v>
      </c>
      <c r="H2075" s="359" t="s">
        <v>490</v>
      </c>
      <c r="I2075" s="361">
        <v>4.7538515152792409E-7</v>
      </c>
      <c r="J2075" s="359" t="s">
        <v>1431</v>
      </c>
      <c r="K2075" s="359" t="s">
        <v>1277</v>
      </c>
      <c r="M2075" t="str">
        <f t="shared" si="33"/>
        <v>Lead, total (as Pb)</v>
      </c>
    </row>
    <row r="2076" spans="1:13" ht="45" x14ac:dyDescent="0.25">
      <c r="A2076" s="359" t="s">
        <v>2009</v>
      </c>
      <c r="B2076" s="359" t="s">
        <v>826</v>
      </c>
      <c r="C2076" s="359" t="s">
        <v>1300</v>
      </c>
      <c r="D2076" s="359" t="s">
        <v>1301</v>
      </c>
      <c r="E2076" s="360"/>
      <c r="F2076" s="359" t="s">
        <v>1333</v>
      </c>
      <c r="G2076" s="361">
        <v>5.1282051282051279E-6</v>
      </c>
      <c r="H2076" s="359" t="s">
        <v>1286</v>
      </c>
      <c r="I2076" s="361">
        <v>0</v>
      </c>
      <c r="J2076" s="359" t="s">
        <v>1300</v>
      </c>
      <c r="K2076" s="359" t="s">
        <v>1272</v>
      </c>
      <c r="M2076" t="str">
        <f t="shared" si="33"/>
        <v>MERCURY AND MERCURY COMPOUNDS</v>
      </c>
    </row>
    <row r="2077" spans="1:13" ht="45" x14ac:dyDescent="0.25">
      <c r="A2077" s="359" t="s">
        <v>2009</v>
      </c>
      <c r="B2077" s="359" t="s">
        <v>826</v>
      </c>
      <c r="C2077" s="359" t="s">
        <v>1375</v>
      </c>
      <c r="D2077" s="359" t="s">
        <v>1376</v>
      </c>
      <c r="E2077" s="360"/>
      <c r="F2077" s="359" t="s">
        <v>1333</v>
      </c>
      <c r="G2077" s="361">
        <v>5.1282051282051279E-6</v>
      </c>
      <c r="H2077" s="359" t="s">
        <v>1286</v>
      </c>
      <c r="I2077" s="361">
        <v>0</v>
      </c>
      <c r="J2077" s="359" t="s">
        <v>1375</v>
      </c>
      <c r="K2077" s="359" t="s">
        <v>1272</v>
      </c>
      <c r="M2077" t="str">
        <f t="shared" si="33"/>
        <v>METHANOL</v>
      </c>
    </row>
    <row r="2078" spans="1:13" ht="45" x14ac:dyDescent="0.25">
      <c r="A2078" s="359" t="s">
        <v>2009</v>
      </c>
      <c r="B2078" s="359" t="s">
        <v>826</v>
      </c>
      <c r="C2078" s="359" t="s">
        <v>1303</v>
      </c>
      <c r="D2078" s="359" t="s">
        <v>1304</v>
      </c>
      <c r="E2078" s="360"/>
      <c r="F2078" s="359" t="s">
        <v>1333</v>
      </c>
      <c r="G2078" s="361">
        <v>5.1282051282051279E-6</v>
      </c>
      <c r="H2078" s="359" t="s">
        <v>1286</v>
      </c>
      <c r="I2078" s="361">
        <v>0</v>
      </c>
      <c r="J2078" s="359" t="s">
        <v>1303</v>
      </c>
      <c r="K2078" s="359" t="s">
        <v>1272</v>
      </c>
      <c r="M2078" t="str">
        <f t="shared" si="33"/>
        <v>NAPHTHALENE</v>
      </c>
    </row>
    <row r="2079" spans="1:13" ht="45" x14ac:dyDescent="0.25">
      <c r="A2079" s="359" t="s">
        <v>2009</v>
      </c>
      <c r="B2079" s="359" t="s">
        <v>826</v>
      </c>
      <c r="C2079" s="359" t="s">
        <v>1305</v>
      </c>
      <c r="D2079" s="359" t="s">
        <v>1306</v>
      </c>
      <c r="E2079" s="360"/>
      <c r="F2079" s="359" t="s">
        <v>1333</v>
      </c>
      <c r="G2079" s="361">
        <v>5.1282051282051279E-6</v>
      </c>
      <c r="H2079" s="359" t="s">
        <v>1286</v>
      </c>
      <c r="I2079" s="361">
        <v>0</v>
      </c>
      <c r="J2079" s="359" t="s">
        <v>1305</v>
      </c>
      <c r="K2079" s="359" t="s">
        <v>1272</v>
      </c>
      <c r="M2079" t="str">
        <f t="shared" si="33"/>
        <v>N-HEXANE</v>
      </c>
    </row>
    <row r="2080" spans="1:13" ht="45" x14ac:dyDescent="0.25">
      <c r="A2080" s="359" t="s">
        <v>2009</v>
      </c>
      <c r="B2080" s="359" t="s">
        <v>826</v>
      </c>
      <c r="C2080" s="359" t="s">
        <v>1384</v>
      </c>
      <c r="D2080" s="359" t="s">
        <v>1385</v>
      </c>
      <c r="E2080" s="360"/>
      <c r="F2080" s="359" t="s">
        <v>1333</v>
      </c>
      <c r="G2080" s="361">
        <v>5.1282051282051279E-6</v>
      </c>
      <c r="H2080" s="359" t="s">
        <v>1286</v>
      </c>
      <c r="I2080" s="361">
        <v>0</v>
      </c>
      <c r="J2080" s="359" t="s">
        <v>1384</v>
      </c>
      <c r="K2080" s="359" t="s">
        <v>1272</v>
      </c>
      <c r="M2080" t="str">
        <f t="shared" si="33"/>
        <v>NICKEL AND NICKEL COMPOUNDS</v>
      </c>
    </row>
    <row r="2081" spans="1:13" ht="45" x14ac:dyDescent="0.25">
      <c r="A2081" s="359" t="s">
        <v>2009</v>
      </c>
      <c r="B2081" s="359" t="s">
        <v>826</v>
      </c>
      <c r="C2081" s="359" t="s">
        <v>1457</v>
      </c>
      <c r="D2081" s="359" t="s">
        <v>490</v>
      </c>
      <c r="E2081" s="361">
        <v>68594.375215499997</v>
      </c>
      <c r="F2081" s="359" t="s">
        <v>1333</v>
      </c>
      <c r="G2081" s="361">
        <v>5.1282051282051279E-6</v>
      </c>
      <c r="H2081" s="359" t="s">
        <v>490</v>
      </c>
      <c r="I2081" s="361">
        <v>9.6374253903055843E-4</v>
      </c>
      <c r="J2081" s="359" t="s">
        <v>1457</v>
      </c>
      <c r="K2081" s="359" t="s">
        <v>1277</v>
      </c>
      <c r="M2081" t="str">
        <f t="shared" si="33"/>
        <v>Chemical Oxygen Demand (COD)</v>
      </c>
    </row>
    <row r="2082" spans="1:13" ht="45" x14ac:dyDescent="0.25">
      <c r="A2082" s="359" t="s">
        <v>2009</v>
      </c>
      <c r="B2082" s="359" t="s">
        <v>826</v>
      </c>
      <c r="C2082" s="359" t="s">
        <v>1388</v>
      </c>
      <c r="D2082" s="359" t="s">
        <v>1389</v>
      </c>
      <c r="E2082" s="360"/>
      <c r="F2082" s="359" t="s">
        <v>1333</v>
      </c>
      <c r="G2082" s="361">
        <v>5.1282051282051279E-6</v>
      </c>
      <c r="H2082" s="359" t="s">
        <v>1286</v>
      </c>
      <c r="I2082" s="361">
        <v>0</v>
      </c>
      <c r="J2082" s="359" t="s">
        <v>1388</v>
      </c>
      <c r="K2082" s="359" t="s">
        <v>1272</v>
      </c>
      <c r="M2082" t="str">
        <f t="shared" si="33"/>
        <v>PHENANTHRENE</v>
      </c>
    </row>
    <row r="2083" spans="1:13" ht="45" x14ac:dyDescent="0.25">
      <c r="A2083" s="359" t="s">
        <v>2009</v>
      </c>
      <c r="B2083" s="359" t="s">
        <v>826</v>
      </c>
      <c r="C2083" s="359" t="s">
        <v>1315</v>
      </c>
      <c r="D2083" s="359" t="s">
        <v>1316</v>
      </c>
      <c r="E2083" s="360"/>
      <c r="F2083" s="359" t="s">
        <v>1333</v>
      </c>
      <c r="G2083" s="361">
        <v>5.1282051282051279E-6</v>
      </c>
      <c r="H2083" s="359" t="s">
        <v>1364</v>
      </c>
      <c r="I2083" s="361">
        <v>2.801833927661742E-2</v>
      </c>
      <c r="J2083" s="359" t="s">
        <v>1315</v>
      </c>
      <c r="K2083" s="359" t="s">
        <v>1272</v>
      </c>
      <c r="M2083" t="str">
        <f t="shared" si="33"/>
        <v>PHENOL</v>
      </c>
    </row>
    <row r="2084" spans="1:13" ht="45" x14ac:dyDescent="0.25">
      <c r="A2084" s="359" t="s">
        <v>2009</v>
      </c>
      <c r="B2084" s="359" t="s">
        <v>826</v>
      </c>
      <c r="C2084" s="359" t="s">
        <v>1482</v>
      </c>
      <c r="D2084" s="359" t="s">
        <v>490</v>
      </c>
      <c r="E2084" s="361">
        <v>25.903328800000001</v>
      </c>
      <c r="F2084" s="359" t="s">
        <v>1333</v>
      </c>
      <c r="G2084" s="361">
        <v>5.1282051282051279E-6</v>
      </c>
      <c r="H2084" s="359" t="s">
        <v>490</v>
      </c>
      <c r="I2084" s="361">
        <v>3.6393858517737967E-7</v>
      </c>
      <c r="J2084" s="359" t="s">
        <v>1482</v>
      </c>
      <c r="K2084" s="359" t="s">
        <v>1277</v>
      </c>
      <c r="M2084" t="str">
        <f t="shared" si="33"/>
        <v>Phenols</v>
      </c>
    </row>
    <row r="2085" spans="1:13" ht="45" x14ac:dyDescent="0.25">
      <c r="A2085" s="359" t="s">
        <v>2009</v>
      </c>
      <c r="B2085" s="359" t="s">
        <v>826</v>
      </c>
      <c r="C2085" s="359" t="s">
        <v>1319</v>
      </c>
      <c r="D2085" s="359" t="s">
        <v>1320</v>
      </c>
      <c r="E2085" s="360"/>
      <c r="F2085" s="359" t="s">
        <v>1333</v>
      </c>
      <c r="G2085" s="361">
        <v>5.1282051282051279E-6</v>
      </c>
      <c r="H2085" s="359" t="s">
        <v>1286</v>
      </c>
      <c r="I2085" s="361">
        <v>0</v>
      </c>
      <c r="J2085" s="359" t="s">
        <v>1319</v>
      </c>
      <c r="K2085" s="359" t="s">
        <v>1272</v>
      </c>
      <c r="M2085" t="str">
        <f t="shared" si="33"/>
        <v>POLYCYCLIC AROMATIC COMPOUNDS</v>
      </c>
    </row>
    <row r="2086" spans="1:13" ht="45" x14ac:dyDescent="0.25">
      <c r="A2086" s="359" t="s">
        <v>2009</v>
      </c>
      <c r="B2086" s="359" t="s">
        <v>826</v>
      </c>
      <c r="C2086" s="359" t="s">
        <v>1322</v>
      </c>
      <c r="D2086" s="359" t="s">
        <v>490</v>
      </c>
      <c r="E2086" s="361">
        <v>657988.23042000004</v>
      </c>
      <c r="F2086" s="359" t="s">
        <v>1333</v>
      </c>
      <c r="G2086" s="361">
        <v>5.1282051282051279E-6</v>
      </c>
      <c r="H2086" s="359" t="s">
        <v>490</v>
      </c>
      <c r="I2086" s="361">
        <v>9.2446537466807158E-3</v>
      </c>
      <c r="J2086" s="359" t="s">
        <v>1322</v>
      </c>
      <c r="K2086" s="359" t="s">
        <v>1277</v>
      </c>
      <c r="M2086" t="str">
        <f t="shared" si="33"/>
        <v>Solids, total suspended</v>
      </c>
    </row>
    <row r="2087" spans="1:13" ht="45" x14ac:dyDescent="0.25">
      <c r="A2087" s="359" t="s">
        <v>2009</v>
      </c>
      <c r="B2087" s="359" t="s">
        <v>826</v>
      </c>
      <c r="C2087" s="359" t="s">
        <v>1392</v>
      </c>
      <c r="D2087" s="359" t="s">
        <v>1393</v>
      </c>
      <c r="E2087" s="360"/>
      <c r="F2087" s="359" t="s">
        <v>1333</v>
      </c>
      <c r="G2087" s="361">
        <v>5.1282051282051279E-6</v>
      </c>
      <c r="H2087" s="359" t="s">
        <v>1286</v>
      </c>
      <c r="I2087" s="361">
        <v>0</v>
      </c>
      <c r="J2087" s="359" t="s">
        <v>1392</v>
      </c>
      <c r="K2087" s="359" t="s">
        <v>1272</v>
      </c>
      <c r="M2087" t="str">
        <f t="shared" si="33"/>
        <v>STYRENE</v>
      </c>
    </row>
    <row r="2088" spans="1:13" ht="45" x14ac:dyDescent="0.25">
      <c r="A2088" s="359" t="s">
        <v>2009</v>
      </c>
      <c r="B2088" s="359" t="s">
        <v>826</v>
      </c>
      <c r="C2088" s="359" t="s">
        <v>1396</v>
      </c>
      <c r="D2088" s="359" t="s">
        <v>1397</v>
      </c>
      <c r="E2088" s="360"/>
      <c r="F2088" s="359" t="s">
        <v>1333</v>
      </c>
      <c r="G2088" s="361">
        <v>5.1282051282051279E-6</v>
      </c>
      <c r="H2088" s="359" t="s">
        <v>1286</v>
      </c>
      <c r="I2088" s="361">
        <v>0</v>
      </c>
      <c r="J2088" s="359" t="s">
        <v>1398</v>
      </c>
      <c r="K2088" s="359" t="s">
        <v>1272</v>
      </c>
      <c r="M2088" t="str">
        <f t="shared" si="33"/>
        <v>PERCHLOROETHYLENE</v>
      </c>
    </row>
    <row r="2089" spans="1:13" ht="45" x14ac:dyDescent="0.25">
      <c r="A2089" s="359" t="s">
        <v>2009</v>
      </c>
      <c r="B2089" s="359" t="s">
        <v>826</v>
      </c>
      <c r="C2089" s="359" t="s">
        <v>1325</v>
      </c>
      <c r="D2089" s="359" t="s">
        <v>1326</v>
      </c>
      <c r="E2089" s="360"/>
      <c r="F2089" s="359" t="s">
        <v>1333</v>
      </c>
      <c r="G2089" s="361">
        <v>5.1282051282051279E-6</v>
      </c>
      <c r="H2089" s="359" t="s">
        <v>1271</v>
      </c>
      <c r="I2089" s="361">
        <v>6.7923246731193742E-3</v>
      </c>
      <c r="J2089" s="359" t="s">
        <v>1325</v>
      </c>
      <c r="K2089" s="359" t="s">
        <v>1272</v>
      </c>
      <c r="M2089" t="str">
        <f t="shared" si="33"/>
        <v>TOLUENE</v>
      </c>
    </row>
    <row r="2090" spans="1:13" ht="45" x14ac:dyDescent="0.25">
      <c r="A2090" s="359" t="s">
        <v>2009</v>
      </c>
      <c r="B2090" s="359" t="s">
        <v>826</v>
      </c>
      <c r="C2090" s="359" t="s">
        <v>1495</v>
      </c>
      <c r="D2090" s="359" t="s">
        <v>1465</v>
      </c>
      <c r="E2090" s="360"/>
      <c r="F2090" s="359" t="s">
        <v>1333</v>
      </c>
      <c r="G2090" s="361">
        <v>5.1282051282051279E-6</v>
      </c>
      <c r="H2090" s="359" t="s">
        <v>1286</v>
      </c>
      <c r="I2090" s="361">
        <v>0</v>
      </c>
      <c r="J2090" s="359" t="s">
        <v>1495</v>
      </c>
      <c r="K2090" s="359" t="s">
        <v>1272</v>
      </c>
      <c r="M2090" t="str">
        <f t="shared" si="33"/>
        <v>VANADIUM AND VANADIUM COMPOUNDS</v>
      </c>
    </row>
    <row r="2091" spans="1:13" ht="45" x14ac:dyDescent="0.25">
      <c r="A2091" s="359" t="s">
        <v>2009</v>
      </c>
      <c r="B2091" s="359" t="s">
        <v>826</v>
      </c>
      <c r="C2091" s="359" t="s">
        <v>1327</v>
      </c>
      <c r="D2091" s="359" t="s">
        <v>1328</v>
      </c>
      <c r="E2091" s="360"/>
      <c r="F2091" s="359" t="s">
        <v>1333</v>
      </c>
      <c r="G2091" s="361">
        <v>5.1282051282051279E-6</v>
      </c>
      <c r="H2091" s="359" t="s">
        <v>1275</v>
      </c>
      <c r="I2091" s="361">
        <v>5.9432840889794532E-3</v>
      </c>
      <c r="J2091" s="359" t="s">
        <v>1329</v>
      </c>
      <c r="K2091" s="359" t="s">
        <v>1272</v>
      </c>
      <c r="M2091" t="str">
        <f t="shared" si="33"/>
        <v>XYLENES</v>
      </c>
    </row>
    <row r="2092" spans="1:13" ht="45" x14ac:dyDescent="0.25">
      <c r="A2092" s="359" t="s">
        <v>2009</v>
      </c>
      <c r="B2092" s="359" t="s">
        <v>826</v>
      </c>
      <c r="C2092" s="359" t="s">
        <v>1611</v>
      </c>
      <c r="D2092" s="359" t="s">
        <v>1343</v>
      </c>
      <c r="E2092" s="361">
        <v>2304.7960227600001</v>
      </c>
      <c r="F2092" s="359" t="s">
        <v>1333</v>
      </c>
      <c r="G2092" s="361">
        <v>5.1282051282051279E-6</v>
      </c>
      <c r="H2092" s="359" t="s">
        <v>490</v>
      </c>
      <c r="I2092" s="361">
        <v>3.238210077639621E-5</v>
      </c>
      <c r="J2092" s="359" t="s">
        <v>1611</v>
      </c>
      <c r="K2092" s="359" t="s">
        <v>1277</v>
      </c>
      <c r="M2092" t="str">
        <f t="shared" si="33"/>
        <v>Zinc, total (as Zn)</v>
      </c>
    </row>
    <row r="2093" spans="1:13" ht="30" x14ac:dyDescent="0.25">
      <c r="A2093" s="359" t="s">
        <v>2010</v>
      </c>
      <c r="B2093" s="359" t="s">
        <v>641</v>
      </c>
      <c r="C2093" s="359" t="s">
        <v>2011</v>
      </c>
      <c r="D2093" s="359" t="s">
        <v>1585</v>
      </c>
      <c r="E2093" s="361">
        <v>98.344973699999997</v>
      </c>
      <c r="F2093" s="359" t="s">
        <v>1346</v>
      </c>
      <c r="G2093" s="361">
        <v>5.6286571412950794E-6</v>
      </c>
      <c r="H2093" s="359" t="s">
        <v>490</v>
      </c>
      <c r="I2093" s="361">
        <v>1.5165757219917309E-6</v>
      </c>
      <c r="J2093" s="359" t="s">
        <v>2011</v>
      </c>
      <c r="K2093" s="359" t="s">
        <v>1277</v>
      </c>
      <c r="M2093" t="str">
        <f t="shared" si="33"/>
        <v>Aluminum, acid soluble</v>
      </c>
    </row>
    <row r="2094" spans="1:13" ht="30" x14ac:dyDescent="0.25">
      <c r="A2094" s="359" t="s">
        <v>2010</v>
      </c>
      <c r="B2094" s="359" t="s">
        <v>641</v>
      </c>
      <c r="C2094" s="359" t="s">
        <v>1584</v>
      </c>
      <c r="D2094" s="359" t="s">
        <v>1585</v>
      </c>
      <c r="E2094" s="361">
        <v>151.97456299999999</v>
      </c>
      <c r="F2094" s="359" t="s">
        <v>1346</v>
      </c>
      <c r="G2094" s="361">
        <v>5.6286571412950794E-6</v>
      </c>
      <c r="H2094" s="359" t="s">
        <v>490</v>
      </c>
      <c r="I2094" s="361">
        <v>2.3435964639045176E-6</v>
      </c>
      <c r="J2094" s="359" t="s">
        <v>1584</v>
      </c>
      <c r="K2094" s="359" t="s">
        <v>1277</v>
      </c>
      <c r="M2094" t="str">
        <f t="shared" si="33"/>
        <v>Aluminum, total (as Al)</v>
      </c>
    </row>
    <row r="2095" spans="1:13" ht="30" x14ac:dyDescent="0.25">
      <c r="A2095" s="359" t="s">
        <v>2010</v>
      </c>
      <c r="B2095" s="359" t="s">
        <v>641</v>
      </c>
      <c r="C2095" s="359" t="s">
        <v>1313</v>
      </c>
      <c r="D2095" s="359" t="s">
        <v>1312</v>
      </c>
      <c r="E2095" s="360"/>
      <c r="F2095" s="359" t="s">
        <v>1346</v>
      </c>
      <c r="G2095" s="361">
        <v>5.6286571412950794E-6</v>
      </c>
      <c r="H2095" s="359" t="s">
        <v>2012</v>
      </c>
      <c r="I2095" s="361">
        <v>3.4405632724605022</v>
      </c>
      <c r="J2095" s="359" t="s">
        <v>1313</v>
      </c>
      <c r="K2095" s="359" t="s">
        <v>1272</v>
      </c>
      <c r="M2095" t="str">
        <f t="shared" si="33"/>
        <v>AMMONIA</v>
      </c>
    </row>
    <row r="2096" spans="1:13" ht="30" x14ac:dyDescent="0.25">
      <c r="A2096" s="359" t="s">
        <v>2010</v>
      </c>
      <c r="B2096" s="359" t="s">
        <v>641</v>
      </c>
      <c r="C2096" s="359" t="s">
        <v>1273</v>
      </c>
      <c r="D2096" s="359" t="s">
        <v>1274</v>
      </c>
      <c r="E2096" s="360"/>
      <c r="F2096" s="359" t="s">
        <v>1346</v>
      </c>
      <c r="G2096" s="361">
        <v>5.6286571412950794E-6</v>
      </c>
      <c r="H2096" s="359" t="s">
        <v>1286</v>
      </c>
      <c r="I2096" s="361">
        <v>0</v>
      </c>
      <c r="J2096" s="359" t="s">
        <v>1273</v>
      </c>
      <c r="K2096" s="359" t="s">
        <v>1272</v>
      </c>
      <c r="M2096" t="str">
        <f t="shared" si="33"/>
        <v>BENZENE</v>
      </c>
    </row>
    <row r="2097" spans="1:13" ht="30" x14ac:dyDescent="0.25">
      <c r="A2097" s="359" t="s">
        <v>2010</v>
      </c>
      <c r="B2097" s="359" t="s">
        <v>641</v>
      </c>
      <c r="C2097" s="359" t="s">
        <v>1352</v>
      </c>
      <c r="D2097" s="359" t="s">
        <v>1353</v>
      </c>
      <c r="E2097" s="360"/>
      <c r="F2097" s="359" t="s">
        <v>1346</v>
      </c>
      <c r="G2097" s="361">
        <v>5.6286571412950794E-6</v>
      </c>
      <c r="H2097" s="359" t="s">
        <v>1286</v>
      </c>
      <c r="I2097" s="361">
        <v>0</v>
      </c>
      <c r="J2097" s="359" t="s">
        <v>1352</v>
      </c>
      <c r="K2097" s="359" t="s">
        <v>1272</v>
      </c>
      <c r="M2097" t="str">
        <f t="shared" si="33"/>
        <v>BENZO(G,H,I)PERYLENE</v>
      </c>
    </row>
    <row r="2098" spans="1:13" ht="30" x14ac:dyDescent="0.25">
      <c r="A2098" s="359" t="s">
        <v>2010</v>
      </c>
      <c r="B2098" s="359" t="s">
        <v>641</v>
      </c>
      <c r="C2098" s="359" t="s">
        <v>1437</v>
      </c>
      <c r="D2098" s="359" t="s">
        <v>1438</v>
      </c>
      <c r="E2098" s="360"/>
      <c r="F2098" s="359" t="s">
        <v>1346</v>
      </c>
      <c r="G2098" s="361">
        <v>5.6286571412950794E-6</v>
      </c>
      <c r="H2098" s="359" t="s">
        <v>1275</v>
      </c>
      <c r="I2098" s="361">
        <v>6.5232781438850258E-3</v>
      </c>
      <c r="J2098" s="359" t="s">
        <v>1437</v>
      </c>
      <c r="K2098" s="359" t="s">
        <v>1272</v>
      </c>
      <c r="M2098" t="str">
        <f t="shared" si="33"/>
        <v>CHROMIUM AND CHROMIUM COMPOUNDS</v>
      </c>
    </row>
    <row r="2099" spans="1:13" ht="30" x14ac:dyDescent="0.25">
      <c r="A2099" s="359" t="s">
        <v>2010</v>
      </c>
      <c r="B2099" s="359" t="s">
        <v>641</v>
      </c>
      <c r="C2099" s="359" t="s">
        <v>1485</v>
      </c>
      <c r="D2099" s="359" t="s">
        <v>1486</v>
      </c>
      <c r="E2099" s="360"/>
      <c r="F2099" s="359" t="s">
        <v>1346</v>
      </c>
      <c r="G2099" s="361">
        <v>5.6286571412950794E-6</v>
      </c>
      <c r="H2099" s="359" t="s">
        <v>1286</v>
      </c>
      <c r="I2099" s="361">
        <v>0</v>
      </c>
      <c r="J2099" s="359" t="s">
        <v>1485</v>
      </c>
      <c r="K2099" s="359" t="s">
        <v>1272</v>
      </c>
      <c r="M2099" t="str">
        <f t="shared" si="33"/>
        <v>COBALT AND COBALT COMPOUNDS</v>
      </c>
    </row>
    <row r="2100" spans="1:13" ht="30" x14ac:dyDescent="0.25">
      <c r="A2100" s="359" t="s">
        <v>2010</v>
      </c>
      <c r="B2100" s="359" t="s">
        <v>641</v>
      </c>
      <c r="C2100" s="359" t="s">
        <v>1467</v>
      </c>
      <c r="D2100" s="359" t="s">
        <v>1441</v>
      </c>
      <c r="E2100" s="361">
        <v>14.3861794</v>
      </c>
      <c r="F2100" s="359" t="s">
        <v>1346</v>
      </c>
      <c r="G2100" s="361">
        <v>5.6286571412950794E-6</v>
      </c>
      <c r="H2100" s="359" t="s">
        <v>490</v>
      </c>
      <c r="I2100" s="361">
        <v>2.2184896278291002E-7</v>
      </c>
      <c r="J2100" s="359" t="s">
        <v>1467</v>
      </c>
      <c r="K2100" s="359" t="s">
        <v>1277</v>
      </c>
      <c r="M2100" t="str">
        <f t="shared" si="33"/>
        <v>Copper, total (as Cu)</v>
      </c>
    </row>
    <row r="2101" spans="1:13" ht="30" x14ac:dyDescent="0.25">
      <c r="A2101" s="359" t="s">
        <v>2010</v>
      </c>
      <c r="B2101" s="359" t="s">
        <v>641</v>
      </c>
      <c r="C2101" s="359" t="s">
        <v>1288</v>
      </c>
      <c r="D2101" s="359" t="s">
        <v>1289</v>
      </c>
      <c r="E2101" s="360"/>
      <c r="F2101" s="359" t="s">
        <v>1346</v>
      </c>
      <c r="G2101" s="361">
        <v>5.6286571412950794E-6</v>
      </c>
      <c r="H2101" s="359" t="s">
        <v>1609</v>
      </c>
      <c r="I2101" s="361">
        <v>6.057329705036095E-2</v>
      </c>
      <c r="J2101" s="359" t="s">
        <v>1288</v>
      </c>
      <c r="K2101" s="359" t="s">
        <v>1272</v>
      </c>
      <c r="M2101" t="str">
        <f t="shared" si="33"/>
        <v>CYANIDE COMPOUNDS</v>
      </c>
    </row>
    <row r="2102" spans="1:13" ht="30" x14ac:dyDescent="0.25">
      <c r="A2102" s="359" t="s">
        <v>2010</v>
      </c>
      <c r="B2102" s="359" t="s">
        <v>641</v>
      </c>
      <c r="C2102" s="359" t="s">
        <v>1543</v>
      </c>
      <c r="D2102" s="359" t="s">
        <v>1544</v>
      </c>
      <c r="E2102" s="361">
        <v>40.009493900000002</v>
      </c>
      <c r="F2102" s="359" t="s">
        <v>1346</v>
      </c>
      <c r="G2102" s="361">
        <v>5.6286571412950794E-6</v>
      </c>
      <c r="H2102" s="359" t="s">
        <v>490</v>
      </c>
      <c r="I2102" s="361">
        <v>6.1698554399955325E-7</v>
      </c>
      <c r="J2102" s="359" t="s">
        <v>1543</v>
      </c>
      <c r="K2102" s="359" t="s">
        <v>1277</v>
      </c>
      <c r="M2102" t="str">
        <f t="shared" si="33"/>
        <v>Cyanide, total (as CN)</v>
      </c>
    </row>
    <row r="2103" spans="1:13" ht="30" x14ac:dyDescent="0.25">
      <c r="A2103" s="359" t="s">
        <v>2010</v>
      </c>
      <c r="B2103" s="359" t="s">
        <v>641</v>
      </c>
      <c r="C2103" s="359" t="s">
        <v>1291</v>
      </c>
      <c r="D2103" s="359" t="s">
        <v>1292</v>
      </c>
      <c r="E2103" s="360"/>
      <c r="F2103" s="359" t="s">
        <v>1346</v>
      </c>
      <c r="G2103" s="361">
        <v>5.6286571412950794E-6</v>
      </c>
      <c r="H2103" s="359" t="s">
        <v>1286</v>
      </c>
      <c r="I2103" s="361">
        <v>0</v>
      </c>
      <c r="J2103" s="359" t="s">
        <v>1291</v>
      </c>
      <c r="K2103" s="359" t="s">
        <v>1272</v>
      </c>
      <c r="M2103" t="str">
        <f t="shared" si="33"/>
        <v>CYCLOHEXANE</v>
      </c>
    </row>
    <row r="2104" spans="1:13" ht="30" x14ac:dyDescent="0.25">
      <c r="A2104" s="359" t="s">
        <v>2010</v>
      </c>
      <c r="B2104" s="359" t="s">
        <v>641</v>
      </c>
      <c r="C2104" s="359" t="s">
        <v>1295</v>
      </c>
      <c r="D2104" s="359" t="s">
        <v>1296</v>
      </c>
      <c r="E2104" s="360"/>
      <c r="F2104" s="359" t="s">
        <v>1346</v>
      </c>
      <c r="G2104" s="361">
        <v>5.6286571412950794E-6</v>
      </c>
      <c r="H2104" s="359" t="s">
        <v>1286</v>
      </c>
      <c r="I2104" s="361">
        <v>0</v>
      </c>
      <c r="J2104" s="359" t="s">
        <v>1295</v>
      </c>
      <c r="K2104" s="359" t="s">
        <v>1272</v>
      </c>
      <c r="M2104" t="str">
        <f t="shared" si="33"/>
        <v>ETHYLBENZENE</v>
      </c>
    </row>
    <row r="2105" spans="1:13" ht="30" x14ac:dyDescent="0.25">
      <c r="A2105" s="359" t="s">
        <v>2010</v>
      </c>
      <c r="B2105" s="359" t="s">
        <v>641</v>
      </c>
      <c r="C2105" s="359" t="s">
        <v>1371</v>
      </c>
      <c r="D2105" s="359" t="s">
        <v>1372</v>
      </c>
      <c r="E2105" s="360"/>
      <c r="F2105" s="359" t="s">
        <v>1346</v>
      </c>
      <c r="G2105" s="361">
        <v>5.6286571412950794E-6</v>
      </c>
      <c r="H2105" s="359" t="s">
        <v>1286</v>
      </c>
      <c r="I2105" s="361">
        <v>0</v>
      </c>
      <c r="J2105" s="359" t="s">
        <v>1371</v>
      </c>
      <c r="K2105" s="359" t="s">
        <v>1272</v>
      </c>
      <c r="M2105" t="str">
        <f t="shared" si="33"/>
        <v>HYDROGEN CYANIDE</v>
      </c>
    </row>
    <row r="2106" spans="1:13" ht="30" x14ac:dyDescent="0.25">
      <c r="A2106" s="359" t="s">
        <v>2010</v>
      </c>
      <c r="B2106" s="359" t="s">
        <v>641</v>
      </c>
      <c r="C2106" s="359" t="s">
        <v>1297</v>
      </c>
      <c r="D2106" s="359" t="s">
        <v>1298</v>
      </c>
      <c r="E2106" s="360"/>
      <c r="F2106" s="359" t="s">
        <v>1346</v>
      </c>
      <c r="G2106" s="361">
        <v>5.6286571412950794E-6</v>
      </c>
      <c r="H2106" s="359" t="s">
        <v>1286</v>
      </c>
      <c r="I2106" s="361">
        <v>0</v>
      </c>
      <c r="J2106" s="359" t="s">
        <v>1297</v>
      </c>
      <c r="K2106" s="359" t="s">
        <v>1272</v>
      </c>
      <c r="M2106" t="str">
        <f t="shared" si="33"/>
        <v>LEAD AND LEAD COMPOUNDS</v>
      </c>
    </row>
    <row r="2107" spans="1:13" ht="30" x14ac:dyDescent="0.25">
      <c r="A2107" s="359" t="s">
        <v>2010</v>
      </c>
      <c r="B2107" s="359" t="s">
        <v>641</v>
      </c>
      <c r="C2107" s="359" t="s">
        <v>1300</v>
      </c>
      <c r="D2107" s="359" t="s">
        <v>1301</v>
      </c>
      <c r="E2107" s="360"/>
      <c r="F2107" s="359" t="s">
        <v>1346</v>
      </c>
      <c r="G2107" s="361">
        <v>5.6286571412950794E-6</v>
      </c>
      <c r="H2107" s="359" t="s">
        <v>2013</v>
      </c>
      <c r="I2107" s="361">
        <v>2.7025009453237963E-4</v>
      </c>
      <c r="J2107" s="359" t="s">
        <v>1300</v>
      </c>
      <c r="K2107" s="359" t="s">
        <v>1272</v>
      </c>
      <c r="M2107" t="str">
        <f t="shared" si="33"/>
        <v>MERCURY AND MERCURY COMPOUNDS</v>
      </c>
    </row>
    <row r="2108" spans="1:13" ht="30" x14ac:dyDescent="0.25">
      <c r="A2108" s="359" t="s">
        <v>2010</v>
      </c>
      <c r="B2108" s="359" t="s">
        <v>641</v>
      </c>
      <c r="C2108" s="359" t="s">
        <v>1468</v>
      </c>
      <c r="D2108" s="359" t="s">
        <v>1459</v>
      </c>
      <c r="E2108" s="361">
        <v>0.18437022659999999</v>
      </c>
      <c r="F2108" s="359" t="s">
        <v>1346</v>
      </c>
      <c r="G2108" s="361">
        <v>5.6286571412950794E-6</v>
      </c>
      <c r="H2108" s="359" t="s">
        <v>490</v>
      </c>
      <c r="I2108" s="361">
        <v>2.843169294778855E-9</v>
      </c>
      <c r="J2108" s="359" t="s">
        <v>1468</v>
      </c>
      <c r="K2108" s="359" t="s">
        <v>1277</v>
      </c>
      <c r="M2108" t="str">
        <f t="shared" si="33"/>
        <v>Mercury, total (as Hg)</v>
      </c>
    </row>
    <row r="2109" spans="1:13" ht="30" x14ac:dyDescent="0.25">
      <c r="A2109" s="359" t="s">
        <v>2010</v>
      </c>
      <c r="B2109" s="359" t="s">
        <v>641</v>
      </c>
      <c r="C2109" s="359" t="s">
        <v>1303</v>
      </c>
      <c r="D2109" s="359" t="s">
        <v>1304</v>
      </c>
      <c r="E2109" s="360"/>
      <c r="F2109" s="359" t="s">
        <v>1346</v>
      </c>
      <c r="G2109" s="361">
        <v>5.6286571412950794E-6</v>
      </c>
      <c r="H2109" s="359" t="s">
        <v>1286</v>
      </c>
      <c r="I2109" s="361">
        <v>0</v>
      </c>
      <c r="J2109" s="359" t="s">
        <v>1303</v>
      </c>
      <c r="K2109" s="359" t="s">
        <v>1272</v>
      </c>
      <c r="M2109" t="str">
        <f t="shared" si="33"/>
        <v>NAPHTHALENE</v>
      </c>
    </row>
    <row r="2110" spans="1:13" ht="30" x14ac:dyDescent="0.25">
      <c r="A2110" s="359" t="s">
        <v>2010</v>
      </c>
      <c r="B2110" s="359" t="s">
        <v>641</v>
      </c>
      <c r="C2110" s="359" t="s">
        <v>1384</v>
      </c>
      <c r="D2110" s="359" t="s">
        <v>1385</v>
      </c>
      <c r="E2110" s="360"/>
      <c r="F2110" s="359" t="s">
        <v>1346</v>
      </c>
      <c r="G2110" s="361">
        <v>5.6286571412950794E-6</v>
      </c>
      <c r="H2110" s="359" t="s">
        <v>1374</v>
      </c>
      <c r="I2110" s="361">
        <v>4.5662947007195177E-2</v>
      </c>
      <c r="J2110" s="359" t="s">
        <v>1384</v>
      </c>
      <c r="K2110" s="359" t="s">
        <v>1272</v>
      </c>
      <c r="M2110" t="str">
        <f t="shared" si="33"/>
        <v>NICKEL AND NICKEL COMPOUNDS</v>
      </c>
    </row>
    <row r="2111" spans="1:13" ht="30" x14ac:dyDescent="0.25">
      <c r="A2111" s="359" t="s">
        <v>2010</v>
      </c>
      <c r="B2111" s="359" t="s">
        <v>641</v>
      </c>
      <c r="C2111" s="359" t="s">
        <v>1307</v>
      </c>
      <c r="D2111" s="359" t="s">
        <v>1308</v>
      </c>
      <c r="E2111" s="360"/>
      <c r="F2111" s="359" t="s">
        <v>1346</v>
      </c>
      <c r="G2111" s="361">
        <v>5.6286571412950794E-6</v>
      </c>
      <c r="H2111" s="359" t="s">
        <v>2014</v>
      </c>
      <c r="I2111" s="361">
        <v>300.15746102833708</v>
      </c>
      <c r="J2111" s="359" t="s">
        <v>1310</v>
      </c>
      <c r="K2111" s="359" t="s">
        <v>1272</v>
      </c>
      <c r="M2111" t="str">
        <f t="shared" si="33"/>
        <v>NITRATE</v>
      </c>
    </row>
    <row r="2112" spans="1:13" ht="30" x14ac:dyDescent="0.25">
      <c r="A2112" s="359" t="s">
        <v>2010</v>
      </c>
      <c r="B2112" s="359" t="s">
        <v>641</v>
      </c>
      <c r="C2112" s="359" t="s">
        <v>1315</v>
      </c>
      <c r="D2112" s="359" t="s">
        <v>1316</v>
      </c>
      <c r="E2112" s="360"/>
      <c r="F2112" s="359" t="s">
        <v>1346</v>
      </c>
      <c r="G2112" s="361">
        <v>5.6286571412950794E-6</v>
      </c>
      <c r="H2112" s="359" t="s">
        <v>1905</v>
      </c>
      <c r="I2112" s="361">
        <v>2.7025009453237964E-2</v>
      </c>
      <c r="J2112" s="359" t="s">
        <v>1315</v>
      </c>
      <c r="K2112" s="359" t="s">
        <v>1272</v>
      </c>
      <c r="M2112" t="str">
        <f t="shared" si="33"/>
        <v>PHENOL</v>
      </c>
    </row>
    <row r="2113" spans="1:13" ht="30" x14ac:dyDescent="0.25">
      <c r="A2113" s="359" t="s">
        <v>2010</v>
      </c>
      <c r="B2113" s="359" t="s">
        <v>641</v>
      </c>
      <c r="C2113" s="359" t="s">
        <v>1319</v>
      </c>
      <c r="D2113" s="359" t="s">
        <v>1320</v>
      </c>
      <c r="E2113" s="360"/>
      <c r="F2113" s="359" t="s">
        <v>1346</v>
      </c>
      <c r="G2113" s="361">
        <v>5.6286571412950794E-6</v>
      </c>
      <c r="H2113" s="359" t="s">
        <v>1286</v>
      </c>
      <c r="I2113" s="361">
        <v>0</v>
      </c>
      <c r="J2113" s="359" t="s">
        <v>1319</v>
      </c>
      <c r="K2113" s="359" t="s">
        <v>1272</v>
      </c>
      <c r="M2113" t="str">
        <f t="shared" si="33"/>
        <v>POLYCYCLIC AROMATIC COMPOUNDS</v>
      </c>
    </row>
    <row r="2114" spans="1:13" ht="30" x14ac:dyDescent="0.25">
      <c r="A2114" s="359" t="s">
        <v>2010</v>
      </c>
      <c r="B2114" s="359" t="s">
        <v>641</v>
      </c>
      <c r="C2114" s="359" t="s">
        <v>1432</v>
      </c>
      <c r="D2114" s="359" t="s">
        <v>1427</v>
      </c>
      <c r="E2114" s="361">
        <v>87.276315789500003</v>
      </c>
      <c r="F2114" s="359" t="s">
        <v>1346</v>
      </c>
      <c r="G2114" s="361">
        <v>5.6286571412950794E-6</v>
      </c>
      <c r="H2114" s="359" t="s">
        <v>490</v>
      </c>
      <c r="I2114" s="361">
        <v>1.3458861866698457E-6</v>
      </c>
      <c r="J2114" s="359" t="s">
        <v>1432</v>
      </c>
      <c r="K2114" s="359" t="s">
        <v>1277</v>
      </c>
      <c r="M2114" t="str">
        <f t="shared" si="33"/>
        <v>Selenium, total (as Se)</v>
      </c>
    </row>
    <row r="2115" spans="1:13" ht="30" x14ac:dyDescent="0.25">
      <c r="A2115" s="359" t="s">
        <v>2010</v>
      </c>
      <c r="B2115" s="359" t="s">
        <v>641</v>
      </c>
      <c r="C2115" s="359" t="s">
        <v>1325</v>
      </c>
      <c r="D2115" s="359" t="s">
        <v>1326</v>
      </c>
      <c r="E2115" s="360"/>
      <c r="F2115" s="359" t="s">
        <v>1346</v>
      </c>
      <c r="G2115" s="361">
        <v>5.6286571412950794E-6</v>
      </c>
      <c r="H2115" s="359" t="s">
        <v>1286</v>
      </c>
      <c r="I2115" s="361">
        <v>0</v>
      </c>
      <c r="J2115" s="359" t="s">
        <v>1325</v>
      </c>
      <c r="K2115" s="359" t="s">
        <v>1272</v>
      </c>
      <c r="M2115" t="str">
        <f t="shared" si="33"/>
        <v>TOLUENE</v>
      </c>
    </row>
    <row r="2116" spans="1:13" ht="30" x14ac:dyDescent="0.25">
      <c r="A2116" s="359" t="s">
        <v>2010</v>
      </c>
      <c r="B2116" s="359" t="s">
        <v>641</v>
      </c>
      <c r="C2116" s="359" t="s">
        <v>1327</v>
      </c>
      <c r="D2116" s="359" t="s">
        <v>1328</v>
      </c>
      <c r="E2116" s="360"/>
      <c r="F2116" s="359" t="s">
        <v>1346</v>
      </c>
      <c r="G2116" s="361">
        <v>5.6286571412950794E-6</v>
      </c>
      <c r="H2116" s="359" t="s">
        <v>1286</v>
      </c>
      <c r="I2116" s="361">
        <v>0</v>
      </c>
      <c r="J2116" s="359" t="s">
        <v>1329</v>
      </c>
      <c r="K2116" s="359" t="s">
        <v>1272</v>
      </c>
      <c r="M2116" t="str">
        <f t="shared" si="33"/>
        <v>XYLENES</v>
      </c>
    </row>
    <row r="2117" spans="1:13" ht="30" x14ac:dyDescent="0.25">
      <c r="A2117" s="359" t="s">
        <v>2010</v>
      </c>
      <c r="B2117" s="359" t="s">
        <v>641</v>
      </c>
      <c r="C2117" s="359" t="s">
        <v>2035</v>
      </c>
      <c r="D2117" s="359" t="s">
        <v>1343</v>
      </c>
      <c r="E2117" s="361">
        <v>74.100761800000001</v>
      </c>
      <c r="F2117" s="359" t="s">
        <v>1346</v>
      </c>
      <c r="G2117" s="361">
        <v>5.6286571412950794E-6</v>
      </c>
      <c r="H2117" s="359" t="s">
        <v>490</v>
      </c>
      <c r="I2117" s="361">
        <v>1.1427062522766455E-6</v>
      </c>
      <c r="J2117" s="359" t="s">
        <v>2035</v>
      </c>
      <c r="K2117" s="359" t="s">
        <v>1277</v>
      </c>
      <c r="M2117" t="str">
        <f t="shared" si="33"/>
        <v>Zinc, total (as Cr)</v>
      </c>
    </row>
    <row r="2118" spans="1:13" x14ac:dyDescent="0.25">
      <c r="A2118" s="359" t="s">
        <v>2015</v>
      </c>
      <c r="B2118" s="359" t="s">
        <v>806</v>
      </c>
      <c r="C2118" s="359" t="s">
        <v>1268</v>
      </c>
      <c r="D2118" s="359" t="s">
        <v>1269</v>
      </c>
      <c r="E2118" s="360"/>
      <c r="F2118" s="359" t="s">
        <v>1473</v>
      </c>
      <c r="G2118" s="361">
        <v>1.8608649528565026E-5</v>
      </c>
      <c r="H2118" s="359" t="s">
        <v>1346</v>
      </c>
      <c r="I2118" s="361">
        <v>1.5404511199143234E-2</v>
      </c>
      <c r="J2118" s="359" t="s">
        <v>1268</v>
      </c>
      <c r="K2118" s="359" t="s">
        <v>1272</v>
      </c>
      <c r="M2118" t="str">
        <f t="shared" ref="M2118:M2141" si="34">IF(J2118="",C2118,J2118)</f>
        <v>1,2,4-TRIMETHYLBENZENE</v>
      </c>
    </row>
    <row r="2119" spans="1:13" x14ac:dyDescent="0.25">
      <c r="A2119" s="359" t="s">
        <v>2015</v>
      </c>
      <c r="B2119" s="359" t="s">
        <v>806</v>
      </c>
      <c r="C2119" s="359" t="s">
        <v>1273</v>
      </c>
      <c r="D2119" s="359" t="s">
        <v>1274</v>
      </c>
      <c r="E2119" s="360"/>
      <c r="F2119" s="359" t="s">
        <v>1473</v>
      </c>
      <c r="G2119" s="361">
        <v>1.8608649528565026E-5</v>
      </c>
      <c r="H2119" s="359" t="s">
        <v>1346</v>
      </c>
      <c r="I2119" s="361">
        <v>1.5404511199143234E-2</v>
      </c>
      <c r="J2119" s="359" t="s">
        <v>1273</v>
      </c>
      <c r="K2119" s="359" t="s">
        <v>1272</v>
      </c>
      <c r="M2119" t="str">
        <f t="shared" si="34"/>
        <v>BENZENE</v>
      </c>
    </row>
    <row r="2120" spans="1:13" x14ac:dyDescent="0.25">
      <c r="A2120" s="359" t="s">
        <v>2015</v>
      </c>
      <c r="B2120" s="359" t="s">
        <v>806</v>
      </c>
      <c r="C2120" s="359" t="s">
        <v>1352</v>
      </c>
      <c r="D2120" s="359" t="s">
        <v>1353</v>
      </c>
      <c r="E2120" s="360"/>
      <c r="F2120" s="359" t="s">
        <v>1473</v>
      </c>
      <c r="G2120" s="361">
        <v>1.8608649528565026E-5</v>
      </c>
      <c r="H2120" s="359" t="s">
        <v>1286</v>
      </c>
      <c r="I2120" s="361">
        <v>0</v>
      </c>
      <c r="J2120" s="359" t="s">
        <v>1352</v>
      </c>
      <c r="K2120" s="359" t="s">
        <v>1272</v>
      </c>
      <c r="M2120" t="str">
        <f t="shared" si="34"/>
        <v>BENZO(G,H,I)PERYLENE</v>
      </c>
    </row>
    <row r="2121" spans="1:13" x14ac:dyDescent="0.25">
      <c r="A2121" s="359" t="s">
        <v>2015</v>
      </c>
      <c r="B2121" s="359" t="s">
        <v>806</v>
      </c>
      <c r="C2121" s="359" t="s">
        <v>1276</v>
      </c>
      <c r="D2121" s="359" t="s">
        <v>490</v>
      </c>
      <c r="E2121" s="361">
        <v>9686.4126984100003</v>
      </c>
      <c r="F2121" s="359" t="s">
        <v>1473</v>
      </c>
      <c r="G2121" s="361">
        <v>1.8608649528565026E-5</v>
      </c>
      <c r="H2121" s="359" t="s">
        <v>490</v>
      </c>
      <c r="I2121" s="361">
        <v>4.9383851806507817E-4</v>
      </c>
      <c r="J2121" s="359" t="s">
        <v>1276</v>
      </c>
      <c r="K2121" s="359" t="s">
        <v>1277</v>
      </c>
      <c r="M2121" t="str">
        <f t="shared" si="34"/>
        <v>BOD, 5-day, 20 deg. C</v>
      </c>
    </row>
    <row r="2122" spans="1:13" x14ac:dyDescent="0.25">
      <c r="A2122" s="359" t="s">
        <v>2015</v>
      </c>
      <c r="B2122" s="359" t="s">
        <v>806</v>
      </c>
      <c r="C2122" s="359" t="s">
        <v>1485</v>
      </c>
      <c r="D2122" s="359" t="s">
        <v>1486</v>
      </c>
      <c r="E2122" s="360"/>
      <c r="F2122" s="359" t="s">
        <v>1473</v>
      </c>
      <c r="G2122" s="361">
        <v>1.8608649528565026E-5</v>
      </c>
      <c r="H2122" s="359" t="s">
        <v>1346</v>
      </c>
      <c r="I2122" s="361">
        <v>1.5404511199143234E-2</v>
      </c>
      <c r="J2122" s="359" t="s">
        <v>1485</v>
      </c>
      <c r="K2122" s="359" t="s">
        <v>1272</v>
      </c>
      <c r="M2122" t="str">
        <f t="shared" si="34"/>
        <v>COBALT AND COBALT COMPOUNDS</v>
      </c>
    </row>
    <row r="2123" spans="1:13" x14ac:dyDescent="0.25">
      <c r="A2123" s="359" t="s">
        <v>2015</v>
      </c>
      <c r="B2123" s="359" t="s">
        <v>806</v>
      </c>
      <c r="C2123" s="359" t="s">
        <v>1443</v>
      </c>
      <c r="D2123" s="359" t="s">
        <v>1444</v>
      </c>
      <c r="E2123" s="360"/>
      <c r="F2123" s="359" t="s">
        <v>1473</v>
      </c>
      <c r="G2123" s="361">
        <v>1.8608649528565026E-5</v>
      </c>
      <c r="H2123" s="359" t="s">
        <v>1529</v>
      </c>
      <c r="I2123" s="361">
        <v>0.77022555995716169</v>
      </c>
      <c r="J2123" s="359" t="s">
        <v>1445</v>
      </c>
      <c r="K2123" s="359" t="s">
        <v>1272</v>
      </c>
      <c r="M2123" t="str">
        <f t="shared" si="34"/>
        <v>CRESOL(S)</v>
      </c>
    </row>
    <row r="2124" spans="1:13" x14ac:dyDescent="0.25">
      <c r="A2124" s="359" t="s">
        <v>2015</v>
      </c>
      <c r="B2124" s="359" t="s">
        <v>806</v>
      </c>
      <c r="C2124" s="359" t="s">
        <v>1293</v>
      </c>
      <c r="D2124" s="359" t="s">
        <v>1294</v>
      </c>
      <c r="E2124" s="360"/>
      <c r="F2124" s="359" t="s">
        <v>1473</v>
      </c>
      <c r="G2124" s="361">
        <v>1.8608649528565026E-5</v>
      </c>
      <c r="H2124" s="359" t="s">
        <v>1346</v>
      </c>
      <c r="I2124" s="361">
        <v>1.5404511199143234E-2</v>
      </c>
      <c r="J2124" s="359" t="s">
        <v>1293</v>
      </c>
      <c r="K2124" s="359" t="s">
        <v>1272</v>
      </c>
      <c r="M2124" t="str">
        <f t="shared" si="34"/>
        <v>DIETHANOLAMINE</v>
      </c>
    </row>
    <row r="2125" spans="1:13" x14ac:dyDescent="0.25">
      <c r="A2125" s="359" t="s">
        <v>2015</v>
      </c>
      <c r="B2125" s="359" t="s">
        <v>806</v>
      </c>
      <c r="C2125" s="359" t="s">
        <v>1295</v>
      </c>
      <c r="D2125" s="359" t="s">
        <v>1296</v>
      </c>
      <c r="E2125" s="360"/>
      <c r="F2125" s="359" t="s">
        <v>1473</v>
      </c>
      <c r="G2125" s="361">
        <v>1.8608649528565026E-5</v>
      </c>
      <c r="H2125" s="359" t="s">
        <v>1346</v>
      </c>
      <c r="I2125" s="361">
        <v>1.5404511199143234E-2</v>
      </c>
      <c r="J2125" s="359" t="s">
        <v>1295</v>
      </c>
      <c r="K2125" s="359" t="s">
        <v>1272</v>
      </c>
      <c r="M2125" t="str">
        <f t="shared" si="34"/>
        <v>ETHYLBENZENE</v>
      </c>
    </row>
    <row r="2126" spans="1:13" x14ac:dyDescent="0.25">
      <c r="A2126" s="359" t="s">
        <v>2015</v>
      </c>
      <c r="B2126" s="359" t="s">
        <v>806</v>
      </c>
      <c r="C2126" s="359" t="s">
        <v>1488</v>
      </c>
      <c r="D2126" s="359" t="s">
        <v>1489</v>
      </c>
      <c r="E2126" s="360"/>
      <c r="F2126" s="359" t="s">
        <v>1473</v>
      </c>
      <c r="G2126" s="361">
        <v>1.8608649528565026E-5</v>
      </c>
      <c r="H2126" s="359" t="s">
        <v>1286</v>
      </c>
      <c r="I2126" s="361">
        <v>0</v>
      </c>
      <c r="J2126" s="359" t="s">
        <v>1490</v>
      </c>
      <c r="K2126" s="359" t="s">
        <v>1272</v>
      </c>
      <c r="M2126" t="str">
        <f t="shared" si="34"/>
        <v>HYDROFLUORIC ACID</v>
      </c>
    </row>
    <row r="2127" spans="1:13" x14ac:dyDescent="0.25">
      <c r="A2127" s="359" t="s">
        <v>2015</v>
      </c>
      <c r="B2127" s="359" t="s">
        <v>806</v>
      </c>
      <c r="C2127" s="359" t="s">
        <v>1297</v>
      </c>
      <c r="D2127" s="359" t="s">
        <v>1298</v>
      </c>
      <c r="E2127" s="360"/>
      <c r="F2127" s="359" t="s">
        <v>1473</v>
      </c>
      <c r="G2127" s="361">
        <v>1.8608649528565026E-5</v>
      </c>
      <c r="H2127" s="359" t="s">
        <v>1351</v>
      </c>
      <c r="I2127" s="361">
        <v>4.0051729117772404E-2</v>
      </c>
      <c r="J2127" s="359" t="s">
        <v>1297</v>
      </c>
      <c r="K2127" s="359" t="s">
        <v>1272</v>
      </c>
      <c r="M2127" t="str">
        <f t="shared" si="34"/>
        <v>LEAD AND LEAD COMPOUNDS</v>
      </c>
    </row>
    <row r="2128" spans="1:13" x14ac:dyDescent="0.25">
      <c r="A2128" s="359" t="s">
        <v>2015</v>
      </c>
      <c r="B2128" s="359" t="s">
        <v>806</v>
      </c>
      <c r="C2128" s="359" t="s">
        <v>1300</v>
      </c>
      <c r="D2128" s="359" t="s">
        <v>1301</v>
      </c>
      <c r="E2128" s="360"/>
      <c r="F2128" s="359" t="s">
        <v>1473</v>
      </c>
      <c r="G2128" s="361">
        <v>1.8608649528565026E-5</v>
      </c>
      <c r="H2128" s="359" t="s">
        <v>1546</v>
      </c>
      <c r="I2128" s="361">
        <v>1.2323608959314588E-3</v>
      </c>
      <c r="J2128" s="359" t="s">
        <v>1300</v>
      </c>
      <c r="K2128" s="359" t="s">
        <v>1272</v>
      </c>
      <c r="M2128" t="str">
        <f t="shared" si="34"/>
        <v>MERCURY AND MERCURY COMPOUNDS</v>
      </c>
    </row>
    <row r="2129" spans="1:13" x14ac:dyDescent="0.25">
      <c r="A2129" s="359" t="s">
        <v>2015</v>
      </c>
      <c r="B2129" s="359" t="s">
        <v>806</v>
      </c>
      <c r="C2129" s="359" t="s">
        <v>1384</v>
      </c>
      <c r="D2129" s="359" t="s">
        <v>1385</v>
      </c>
      <c r="E2129" s="360"/>
      <c r="F2129" s="359" t="s">
        <v>1473</v>
      </c>
      <c r="G2129" s="361">
        <v>1.8608649528565026E-5</v>
      </c>
      <c r="H2129" s="359" t="s">
        <v>1451</v>
      </c>
      <c r="I2129" s="361">
        <v>4.6213533597429697E-2</v>
      </c>
      <c r="J2129" s="359" t="s">
        <v>1384</v>
      </c>
      <c r="K2129" s="359" t="s">
        <v>1272</v>
      </c>
      <c r="M2129" t="str">
        <f t="shared" si="34"/>
        <v>NICKEL AND NICKEL COMPOUNDS</v>
      </c>
    </row>
    <row r="2130" spans="1:13" x14ac:dyDescent="0.25">
      <c r="A2130" s="359" t="s">
        <v>2015</v>
      </c>
      <c r="B2130" s="359" t="s">
        <v>806</v>
      </c>
      <c r="C2130" s="359" t="s">
        <v>1307</v>
      </c>
      <c r="D2130" s="359" t="s">
        <v>1308</v>
      </c>
      <c r="E2130" s="360"/>
      <c r="F2130" s="359" t="s">
        <v>1473</v>
      </c>
      <c r="G2130" s="361">
        <v>1.8608649528565026E-5</v>
      </c>
      <c r="H2130" s="359" t="s">
        <v>2016</v>
      </c>
      <c r="I2130" s="361">
        <v>2.3106766798714853</v>
      </c>
      <c r="J2130" s="359" t="s">
        <v>1310</v>
      </c>
      <c r="K2130" s="359" t="s">
        <v>1272</v>
      </c>
      <c r="M2130" t="str">
        <f t="shared" si="34"/>
        <v>NITRATE</v>
      </c>
    </row>
    <row r="2131" spans="1:13" x14ac:dyDescent="0.25">
      <c r="A2131" s="359" t="s">
        <v>2015</v>
      </c>
      <c r="B2131" s="359" t="s">
        <v>806</v>
      </c>
      <c r="C2131" s="359" t="s">
        <v>1311</v>
      </c>
      <c r="D2131" s="359" t="s">
        <v>1312</v>
      </c>
      <c r="E2131" s="361">
        <v>2128.64852608</v>
      </c>
      <c r="F2131" s="359" t="s">
        <v>1473</v>
      </c>
      <c r="G2131" s="361">
        <v>1.8608649528565026E-5</v>
      </c>
      <c r="H2131" s="359" t="s">
        <v>490</v>
      </c>
      <c r="I2131" s="361">
        <v>1.0852403942827187E-4</v>
      </c>
      <c r="J2131" s="359" t="s">
        <v>1313</v>
      </c>
      <c r="K2131" s="359" t="s">
        <v>1277</v>
      </c>
      <c r="M2131" t="str">
        <f t="shared" si="34"/>
        <v>AMMONIA</v>
      </c>
    </row>
    <row r="2132" spans="1:13" x14ac:dyDescent="0.25">
      <c r="A2132" s="359" t="s">
        <v>2015</v>
      </c>
      <c r="B2132" s="359" t="s">
        <v>806</v>
      </c>
      <c r="C2132" s="359" t="s">
        <v>1460</v>
      </c>
      <c r="D2132" s="359" t="s">
        <v>490</v>
      </c>
      <c r="E2132" s="361">
        <v>613.01544505300001</v>
      </c>
      <c r="F2132" s="359" t="s">
        <v>1473</v>
      </c>
      <c r="G2132" s="361">
        <v>1.8608649528565026E-5</v>
      </c>
      <c r="H2132" s="359" t="s">
        <v>490</v>
      </c>
      <c r="I2132" s="361">
        <v>3.1253122116681066E-5</v>
      </c>
      <c r="J2132" s="359" t="s">
        <v>1460</v>
      </c>
      <c r="K2132" s="359" t="s">
        <v>1277</v>
      </c>
      <c r="M2132" t="str">
        <f t="shared" si="34"/>
        <v>Oil and grease, hexane extr method</v>
      </c>
    </row>
    <row r="2133" spans="1:13" x14ac:dyDescent="0.25">
      <c r="A2133" s="359" t="s">
        <v>2015</v>
      </c>
      <c r="B2133" s="359" t="s">
        <v>806</v>
      </c>
      <c r="C2133" s="359" t="s">
        <v>1457</v>
      </c>
      <c r="D2133" s="359" t="s">
        <v>490</v>
      </c>
      <c r="E2133" s="361">
        <v>96136.115003599989</v>
      </c>
      <c r="F2133" s="359" t="s">
        <v>1473</v>
      </c>
      <c r="G2133" s="361">
        <v>1.8608649528565026E-5</v>
      </c>
      <c r="H2133" s="359" t="s">
        <v>490</v>
      </c>
      <c r="I2133" s="361">
        <v>4.9012692359994905E-3</v>
      </c>
      <c r="J2133" s="359" t="s">
        <v>1457</v>
      </c>
      <c r="K2133" s="359" t="s">
        <v>1277</v>
      </c>
      <c r="M2133" t="str">
        <f t="shared" si="34"/>
        <v>Chemical Oxygen Demand (COD)</v>
      </c>
    </row>
    <row r="2134" spans="1:13" x14ac:dyDescent="0.25">
      <c r="A2134" s="359" t="s">
        <v>2015</v>
      </c>
      <c r="B2134" s="359" t="s">
        <v>806</v>
      </c>
      <c r="C2134" s="359" t="s">
        <v>1315</v>
      </c>
      <c r="D2134" s="359" t="s">
        <v>1316</v>
      </c>
      <c r="E2134" s="360"/>
      <c r="F2134" s="359" t="s">
        <v>1473</v>
      </c>
      <c r="G2134" s="361">
        <v>1.8608649528565026E-5</v>
      </c>
      <c r="H2134" s="359" t="s">
        <v>1492</v>
      </c>
      <c r="I2134" s="361">
        <v>0.11399338287365993</v>
      </c>
      <c r="J2134" s="359" t="s">
        <v>1315</v>
      </c>
      <c r="K2134" s="359" t="s">
        <v>1272</v>
      </c>
      <c r="M2134" t="str">
        <f t="shared" si="34"/>
        <v>PHENOL</v>
      </c>
    </row>
    <row r="2135" spans="1:13" x14ac:dyDescent="0.25">
      <c r="A2135" s="359" t="s">
        <v>2015</v>
      </c>
      <c r="B2135" s="359" t="s">
        <v>806</v>
      </c>
      <c r="C2135" s="359" t="s">
        <v>1318</v>
      </c>
      <c r="D2135" s="359" t="s">
        <v>490</v>
      </c>
      <c r="E2135" s="361">
        <v>21.619047619</v>
      </c>
      <c r="F2135" s="359" t="s">
        <v>1473</v>
      </c>
      <c r="G2135" s="361">
        <v>1.8608649528565026E-5</v>
      </c>
      <c r="H2135" s="359" t="s">
        <v>490</v>
      </c>
      <c r="I2135" s="361">
        <v>1.1021952884474772E-6</v>
      </c>
      <c r="J2135" s="359" t="s">
        <v>1318</v>
      </c>
      <c r="K2135" s="359" t="s">
        <v>1277</v>
      </c>
      <c r="M2135" t="str">
        <f t="shared" si="34"/>
        <v>Phenolics, total recoverable</v>
      </c>
    </row>
    <row r="2136" spans="1:13" x14ac:dyDescent="0.25">
      <c r="A2136" s="359" t="s">
        <v>2015</v>
      </c>
      <c r="B2136" s="359" t="s">
        <v>806</v>
      </c>
      <c r="C2136" s="359" t="s">
        <v>1319</v>
      </c>
      <c r="D2136" s="359" t="s">
        <v>1320</v>
      </c>
      <c r="E2136" s="360"/>
      <c r="F2136" s="359" t="s">
        <v>1473</v>
      </c>
      <c r="G2136" s="361">
        <v>1.8608649528565026E-5</v>
      </c>
      <c r="H2136" s="359" t="s">
        <v>1520</v>
      </c>
      <c r="I2136" s="361">
        <v>3.6970826877943765E-2</v>
      </c>
      <c r="J2136" s="359" t="s">
        <v>1319</v>
      </c>
      <c r="K2136" s="359" t="s">
        <v>1272</v>
      </c>
      <c r="M2136" t="str">
        <f t="shared" si="34"/>
        <v>POLYCYCLIC AROMATIC COMPOUNDS</v>
      </c>
    </row>
    <row r="2137" spans="1:13" x14ac:dyDescent="0.25">
      <c r="A2137" s="359" t="s">
        <v>2015</v>
      </c>
      <c r="B2137" s="359" t="s">
        <v>806</v>
      </c>
      <c r="C2137" s="359" t="s">
        <v>1322</v>
      </c>
      <c r="D2137" s="359" t="s">
        <v>490</v>
      </c>
      <c r="E2137" s="361">
        <v>126818.3959153</v>
      </c>
      <c r="F2137" s="359" t="s">
        <v>1473</v>
      </c>
      <c r="G2137" s="361">
        <v>1.8608649528565026E-5</v>
      </c>
      <c r="H2137" s="359" t="s">
        <v>490</v>
      </c>
      <c r="I2137" s="361">
        <v>6.4655317352400555E-3</v>
      </c>
      <c r="J2137" s="359" t="s">
        <v>1322</v>
      </c>
      <c r="K2137" s="359" t="s">
        <v>1277</v>
      </c>
      <c r="M2137" t="str">
        <f t="shared" si="34"/>
        <v>Solids, total suspended</v>
      </c>
    </row>
    <row r="2138" spans="1:13" x14ac:dyDescent="0.25">
      <c r="A2138" s="359" t="s">
        <v>2015</v>
      </c>
      <c r="B2138" s="359" t="s">
        <v>806</v>
      </c>
      <c r="C2138" s="359" t="s">
        <v>1323</v>
      </c>
      <c r="D2138" s="359" t="s">
        <v>1324</v>
      </c>
      <c r="E2138" s="361">
        <v>41.424036281200003</v>
      </c>
      <c r="F2138" s="359" t="s">
        <v>1473</v>
      </c>
      <c r="G2138" s="361">
        <v>1.8608649528565026E-5</v>
      </c>
      <c r="H2138" s="359" t="s">
        <v>490</v>
      </c>
      <c r="I2138" s="361">
        <v>2.1119051320970217E-6</v>
      </c>
      <c r="J2138" s="359" t="s">
        <v>1323</v>
      </c>
      <c r="K2138" s="359" t="s">
        <v>1277</v>
      </c>
      <c r="M2138" t="str">
        <f t="shared" si="34"/>
        <v>Sulfide, total (as S)</v>
      </c>
    </row>
    <row r="2139" spans="1:13" x14ac:dyDescent="0.25">
      <c r="A2139" s="359" t="s">
        <v>2015</v>
      </c>
      <c r="B2139" s="359" t="s">
        <v>806</v>
      </c>
      <c r="C2139" s="359" t="s">
        <v>1325</v>
      </c>
      <c r="D2139" s="359" t="s">
        <v>1326</v>
      </c>
      <c r="E2139" s="360"/>
      <c r="F2139" s="359" t="s">
        <v>1473</v>
      </c>
      <c r="G2139" s="361">
        <v>1.8608649528565026E-5</v>
      </c>
      <c r="H2139" s="359" t="s">
        <v>1346</v>
      </c>
      <c r="I2139" s="361">
        <v>1.5404511199143234E-2</v>
      </c>
      <c r="J2139" s="359" t="s">
        <v>1325</v>
      </c>
      <c r="K2139" s="359" t="s">
        <v>1272</v>
      </c>
      <c r="M2139" t="str">
        <f t="shared" si="34"/>
        <v>TOLUENE</v>
      </c>
    </row>
    <row r="2140" spans="1:13" x14ac:dyDescent="0.25">
      <c r="A2140" s="359" t="s">
        <v>2015</v>
      </c>
      <c r="B2140" s="359" t="s">
        <v>806</v>
      </c>
      <c r="C2140" s="359" t="s">
        <v>1495</v>
      </c>
      <c r="D2140" s="359" t="s">
        <v>1465</v>
      </c>
      <c r="E2140" s="360"/>
      <c r="F2140" s="359" t="s">
        <v>1473</v>
      </c>
      <c r="G2140" s="361">
        <v>1.8608649528565026E-5</v>
      </c>
      <c r="H2140" s="359" t="s">
        <v>1346</v>
      </c>
      <c r="I2140" s="361">
        <v>1.5404511199143234E-2</v>
      </c>
      <c r="J2140" s="359" t="s">
        <v>1495</v>
      </c>
      <c r="K2140" s="359" t="s">
        <v>1272</v>
      </c>
      <c r="M2140" t="str">
        <f t="shared" si="34"/>
        <v>VANADIUM AND VANADIUM COMPOUNDS</v>
      </c>
    </row>
    <row r="2141" spans="1:13" x14ac:dyDescent="0.25">
      <c r="A2141" s="359" t="s">
        <v>2015</v>
      </c>
      <c r="B2141" s="359" t="s">
        <v>806</v>
      </c>
      <c r="C2141" s="359" t="s">
        <v>1327</v>
      </c>
      <c r="D2141" s="359" t="s">
        <v>1328</v>
      </c>
      <c r="E2141" s="360"/>
      <c r="F2141" s="359" t="s">
        <v>1473</v>
      </c>
      <c r="G2141" s="361">
        <v>1.8608649528565026E-5</v>
      </c>
      <c r="H2141" s="359" t="s">
        <v>1346</v>
      </c>
      <c r="I2141" s="361">
        <v>1.5404511199143234E-2</v>
      </c>
      <c r="J2141" s="359" t="s">
        <v>1329</v>
      </c>
      <c r="K2141" s="359" t="s">
        <v>1272</v>
      </c>
      <c r="M2141" t="str">
        <f t="shared" si="34"/>
        <v>XYLENES</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M89"/>
  <sheetViews>
    <sheetView topLeftCell="A67" workbookViewId="0">
      <selection activeCell="G58" sqref="G58"/>
    </sheetView>
  </sheetViews>
  <sheetFormatPr defaultRowHeight="15" x14ac:dyDescent="0.25"/>
  <cols>
    <col min="1" max="1" width="17.42578125" customWidth="1"/>
    <col min="2" max="2" width="25" customWidth="1"/>
    <col min="3" max="3" width="5" bestFit="1" customWidth="1"/>
    <col min="4" max="4" width="32.140625" bestFit="1" customWidth="1"/>
    <col min="5" max="5" width="10.140625" bestFit="1" customWidth="1"/>
    <col min="6" max="6" width="18.28515625" bestFit="1" customWidth="1"/>
    <col min="7" max="7" width="12.85546875" bestFit="1" customWidth="1"/>
    <col min="8" max="8" width="22" bestFit="1" customWidth="1"/>
  </cols>
  <sheetData>
    <row r="1" spans="1:13" x14ac:dyDescent="0.25">
      <c r="A1" s="385" t="s">
        <v>1260</v>
      </c>
      <c r="B1" s="385" t="s">
        <v>613</v>
      </c>
      <c r="C1" s="385" t="s">
        <v>116</v>
      </c>
      <c r="D1" s="385" t="s">
        <v>2304</v>
      </c>
      <c r="E1" s="385" t="s">
        <v>1245</v>
      </c>
      <c r="F1" s="385" t="s">
        <v>947</v>
      </c>
      <c r="G1" s="385" t="s">
        <v>2305</v>
      </c>
      <c r="H1" s="200" t="s">
        <v>1194</v>
      </c>
    </row>
    <row r="2" spans="1:13" ht="30" x14ac:dyDescent="0.25">
      <c r="A2" s="386" t="s">
        <v>1978</v>
      </c>
      <c r="B2" s="386" t="s">
        <v>815</v>
      </c>
      <c r="C2" s="387">
        <v>2011</v>
      </c>
      <c r="D2" s="387">
        <v>2356.895</v>
      </c>
      <c r="E2" s="390">
        <v>2</v>
      </c>
      <c r="F2" s="387">
        <v>1.4992503748125937E-5</v>
      </c>
      <c r="G2" s="387">
        <v>96.810293483395284</v>
      </c>
      <c r="H2">
        <f>VLOOKUP(B2,'Emission Rates'!$E$6:$M$145,9)</f>
        <v>100000</v>
      </c>
      <c r="K2" s="388">
        <f>E2</f>
        <v>2</v>
      </c>
      <c r="M2" s="388">
        <v>1</v>
      </c>
    </row>
    <row r="3" spans="1:13" ht="30" x14ac:dyDescent="0.25">
      <c r="A3" s="386" t="s">
        <v>1330</v>
      </c>
      <c r="B3" s="386" t="s">
        <v>817</v>
      </c>
      <c r="C3" s="387">
        <v>2011</v>
      </c>
      <c r="D3" s="387">
        <v>1142.9229948999998</v>
      </c>
      <c r="E3" s="390">
        <v>1</v>
      </c>
      <c r="F3" s="387">
        <v>1E-4</v>
      </c>
      <c r="G3" s="387">
        <v>313.12958764383552</v>
      </c>
      <c r="H3">
        <f>VLOOKUP(B3,'Emission Rates'!$E$6:$M$145,9)</f>
        <v>88000</v>
      </c>
      <c r="K3" s="388">
        <f t="shared" ref="K3:K66" si="0">E3</f>
        <v>1</v>
      </c>
    </row>
    <row r="4" spans="1:13" ht="30" x14ac:dyDescent="0.25">
      <c r="A4" s="386" t="s">
        <v>1849</v>
      </c>
      <c r="B4" s="386" t="s">
        <v>823</v>
      </c>
      <c r="C4" s="387">
        <v>2011</v>
      </c>
      <c r="D4" s="387">
        <v>21042.121999999999</v>
      </c>
      <c r="E4" s="390">
        <v>3</v>
      </c>
      <c r="F4" s="387">
        <v>5.4054054054054052E-6</v>
      </c>
      <c r="G4" s="387">
        <v>311.61972602739723</v>
      </c>
      <c r="H4">
        <f>VLOOKUP(B4,'Emission Rates'!$E$6:$M$145,9)</f>
        <v>344500</v>
      </c>
      <c r="K4" s="388">
        <f t="shared" si="0"/>
        <v>3</v>
      </c>
    </row>
    <row r="5" spans="1:13" ht="30" x14ac:dyDescent="0.25">
      <c r="A5" s="386" t="s">
        <v>1945</v>
      </c>
      <c r="B5" s="386" t="s">
        <v>819</v>
      </c>
      <c r="C5" s="387">
        <v>2011</v>
      </c>
      <c r="D5" s="387">
        <v>6039.8120000000008</v>
      </c>
      <c r="E5" s="390">
        <v>2</v>
      </c>
      <c r="F5" s="387">
        <v>3.0303030303030305E-6</v>
      </c>
      <c r="G5" s="387">
        <v>50.143727687837291</v>
      </c>
      <c r="H5">
        <f>VLOOKUP(B5,'Emission Rates'!$E$6:$M$145,9)</f>
        <v>82700</v>
      </c>
      <c r="K5" s="388">
        <f t="shared" si="0"/>
        <v>2</v>
      </c>
    </row>
    <row r="6" spans="1:13" ht="45" x14ac:dyDescent="0.25">
      <c r="A6" s="386" t="s">
        <v>2009</v>
      </c>
      <c r="B6" s="386" t="s">
        <v>826</v>
      </c>
      <c r="C6" s="387">
        <v>2011</v>
      </c>
      <c r="D6" s="387">
        <v>1320.8643</v>
      </c>
      <c r="E6" s="390">
        <v>1</v>
      </c>
      <c r="F6" s="387">
        <v>5.1282051282051279E-6</v>
      </c>
      <c r="G6" s="387">
        <v>18.557981032665964</v>
      </c>
      <c r="H6">
        <f>VLOOKUP(B6,'Emission Rates'!$E$6:$M$145,9)</f>
        <v>173589</v>
      </c>
      <c r="K6" s="388">
        <f t="shared" si="0"/>
        <v>1</v>
      </c>
    </row>
    <row r="7" spans="1:13" ht="30" x14ac:dyDescent="0.25">
      <c r="A7" s="386" t="s">
        <v>1689</v>
      </c>
      <c r="B7" s="386" t="s">
        <v>707</v>
      </c>
      <c r="C7" s="387">
        <v>2011</v>
      </c>
      <c r="D7" s="387">
        <v>18.069527272720002</v>
      </c>
      <c r="E7" s="390">
        <v>1</v>
      </c>
      <c r="F7" s="387">
        <v>1.7722048066875652E-4</v>
      </c>
      <c r="G7" s="387">
        <v>8.7733981061058728</v>
      </c>
      <c r="H7">
        <f>VLOOKUP(B7,'Emission Rates'!$E$6:$M$145,9)</f>
        <v>0</v>
      </c>
      <c r="K7" s="388">
        <f t="shared" si="0"/>
        <v>1</v>
      </c>
    </row>
    <row r="8" spans="1:13" ht="30" x14ac:dyDescent="0.25">
      <c r="A8" s="386" t="s">
        <v>1456</v>
      </c>
      <c r="B8" s="386" t="s">
        <v>694</v>
      </c>
      <c r="C8" s="387">
        <v>2011</v>
      </c>
      <c r="D8" s="387">
        <v>29317.472000000002</v>
      </c>
      <c r="E8" s="390">
        <v>4</v>
      </c>
      <c r="F8" s="387">
        <v>2.5990903183885641E-6</v>
      </c>
      <c r="G8" s="387">
        <v>208.7637195474735</v>
      </c>
      <c r="H8">
        <f>VLOOKUP(B8,'Emission Rates'!$E$6:$M$145,9)</f>
        <v>88000</v>
      </c>
      <c r="K8" s="388">
        <f t="shared" si="0"/>
        <v>4</v>
      </c>
    </row>
    <row r="9" spans="1:13" x14ac:dyDescent="0.25">
      <c r="A9" s="386" t="s">
        <v>1475</v>
      </c>
      <c r="B9" s="386" t="s">
        <v>891</v>
      </c>
      <c r="C9" s="387">
        <v>2011</v>
      </c>
      <c r="D9" s="387">
        <v>140.71354545454997</v>
      </c>
      <c r="E9" s="390">
        <v>2</v>
      </c>
      <c r="F9" s="387">
        <v>3.0075187969924811E-5</v>
      </c>
      <c r="G9" s="387">
        <v>11.594483094411368</v>
      </c>
      <c r="H9">
        <f>VLOOKUP(B9,'Emission Rates'!$E$6:$M$145,9)</f>
        <v>88000</v>
      </c>
      <c r="K9" s="388">
        <f t="shared" si="0"/>
        <v>2</v>
      </c>
    </row>
    <row r="10" spans="1:13" ht="30" x14ac:dyDescent="0.25">
      <c r="A10" s="386" t="s">
        <v>1918</v>
      </c>
      <c r="B10" s="386" t="s">
        <v>750</v>
      </c>
      <c r="C10" s="387">
        <v>2011</v>
      </c>
      <c r="D10" s="387">
        <v>558.12</v>
      </c>
      <c r="E10" s="390">
        <v>2</v>
      </c>
      <c r="F10" s="387">
        <v>1.3513513513513513E-5</v>
      </c>
      <c r="G10" s="387">
        <v>20.663457978526473</v>
      </c>
      <c r="H10">
        <f>VLOOKUP(B10,'Emission Rates'!$E$6:$M$145,9)</f>
        <v>82700</v>
      </c>
      <c r="K10" s="388">
        <f t="shared" si="0"/>
        <v>2</v>
      </c>
    </row>
    <row r="11" spans="1:13" ht="30" x14ac:dyDescent="0.25">
      <c r="A11" s="386" t="s">
        <v>1759</v>
      </c>
      <c r="B11" s="386" t="s">
        <v>748</v>
      </c>
      <c r="C11" s="387">
        <v>2011</v>
      </c>
      <c r="D11" s="387">
        <v>1079.45</v>
      </c>
      <c r="E11" s="390">
        <v>5</v>
      </c>
      <c r="F11" s="387">
        <v>3.105107902499612E-6</v>
      </c>
      <c r="G11" s="387">
        <v>9.1830376037074135</v>
      </c>
      <c r="H11">
        <f>VLOOKUP(B11,'Emission Rates'!$E$6:$M$145,9)</f>
        <v>9500</v>
      </c>
      <c r="K11" s="388">
        <f t="shared" si="0"/>
        <v>5</v>
      </c>
    </row>
    <row r="12" spans="1:13" x14ac:dyDescent="0.25">
      <c r="A12" s="386" t="s">
        <v>1411</v>
      </c>
      <c r="B12" s="386" t="s">
        <v>763</v>
      </c>
      <c r="C12" s="387">
        <v>2011</v>
      </c>
      <c r="D12" s="387">
        <v>242.797</v>
      </c>
      <c r="E12" s="390">
        <v>4</v>
      </c>
      <c r="F12" s="387">
        <v>1.7241379310344828E-5</v>
      </c>
      <c r="G12" s="387">
        <v>11.468918280585736</v>
      </c>
      <c r="H12">
        <f>VLOOKUP(B12,'Emission Rates'!$E$6:$M$145,9)</f>
        <v>88000</v>
      </c>
      <c r="K12" s="388">
        <f t="shared" si="0"/>
        <v>4</v>
      </c>
    </row>
    <row r="13" spans="1:13" ht="30" x14ac:dyDescent="0.25">
      <c r="A13" s="386" t="s">
        <v>1756</v>
      </c>
      <c r="B13" s="386" t="s">
        <v>761</v>
      </c>
      <c r="C13" s="387">
        <v>2011</v>
      </c>
      <c r="D13" s="387">
        <v>16985.731040000002</v>
      </c>
      <c r="E13" s="390">
        <v>5</v>
      </c>
      <c r="F13" s="387">
        <v>1.6666666666666667E-5</v>
      </c>
      <c r="G13" s="387">
        <v>775.6041570776257</v>
      </c>
      <c r="H13">
        <f>VLOOKUP(B13,'Emission Rates'!$E$6:$M$145,9)</f>
        <v>9500</v>
      </c>
      <c r="K13" s="388">
        <f t="shared" si="0"/>
        <v>5</v>
      </c>
    </row>
    <row r="14" spans="1:13" ht="30" x14ac:dyDescent="0.25">
      <c r="A14" s="386" t="s">
        <v>1824</v>
      </c>
      <c r="B14" s="386" t="s">
        <v>691</v>
      </c>
      <c r="C14" s="387">
        <v>2011</v>
      </c>
      <c r="D14" s="387">
        <v>1553.0140909090001</v>
      </c>
      <c r="E14" s="390">
        <v>5</v>
      </c>
      <c r="F14" s="387">
        <v>4.5751529704589514E-6</v>
      </c>
      <c r="G14" s="387">
        <v>19.46651241421074</v>
      </c>
      <c r="H14">
        <f>VLOOKUP(B14,'Emission Rates'!$E$6:$M$145,9)</f>
        <v>135000</v>
      </c>
      <c r="K14" s="388">
        <f t="shared" si="0"/>
        <v>5</v>
      </c>
    </row>
    <row r="15" spans="1:13" ht="30" x14ac:dyDescent="0.25">
      <c r="A15" s="386" t="s">
        <v>1767</v>
      </c>
      <c r="B15" s="386" t="s">
        <v>701</v>
      </c>
      <c r="C15" s="387">
        <v>2011</v>
      </c>
      <c r="D15" s="387">
        <v>628.546352727</v>
      </c>
      <c r="E15" s="390">
        <v>4</v>
      </c>
      <c r="F15" s="387">
        <v>7.4074074074074075E-6</v>
      </c>
      <c r="G15" s="387">
        <v>12.75588742216134</v>
      </c>
      <c r="H15">
        <f>VLOOKUP(B15,'Emission Rates'!$E$6:$M$145,9)</f>
        <v>9500</v>
      </c>
      <c r="K15" s="388">
        <f t="shared" si="0"/>
        <v>4</v>
      </c>
    </row>
    <row r="16" spans="1:13" ht="30" x14ac:dyDescent="0.25">
      <c r="A16" s="386" t="s">
        <v>1998</v>
      </c>
      <c r="B16" s="386" t="s">
        <v>718</v>
      </c>
      <c r="C16" s="387">
        <v>2011</v>
      </c>
      <c r="D16" s="387">
        <v>26424.220000000008</v>
      </c>
      <c r="E16" s="390">
        <v>2</v>
      </c>
      <c r="F16" s="387">
        <v>7.8633336646456609E-6</v>
      </c>
      <c r="G16" s="387">
        <v>569.26701010411841</v>
      </c>
      <c r="H16">
        <f>VLOOKUP(B16,'Emission Rates'!$E$6:$M$145,9)</f>
        <v>173589</v>
      </c>
      <c r="K16" s="388">
        <f t="shared" si="0"/>
        <v>2</v>
      </c>
    </row>
    <row r="17" spans="1:11" ht="30" x14ac:dyDescent="0.25">
      <c r="A17" s="386" t="s">
        <v>1862</v>
      </c>
      <c r="B17" s="386" t="s">
        <v>732</v>
      </c>
      <c r="C17" s="387">
        <v>2011</v>
      </c>
      <c r="D17" s="387">
        <v>17914.083699999999</v>
      </c>
      <c r="E17" s="390">
        <v>5</v>
      </c>
      <c r="F17" s="387">
        <v>4.4678032185486709E-6</v>
      </c>
      <c r="G17" s="387">
        <v>219.27835838961721</v>
      </c>
      <c r="H17">
        <f>VLOOKUP(B17,'Emission Rates'!$E$6:$M$145,9)</f>
        <v>344500</v>
      </c>
      <c r="K17" s="388">
        <f t="shared" si="0"/>
        <v>5</v>
      </c>
    </row>
    <row r="18" spans="1:11" ht="45" x14ac:dyDescent="0.25">
      <c r="A18" s="386" t="s">
        <v>1721</v>
      </c>
      <c r="B18" s="386" t="s">
        <v>733</v>
      </c>
      <c r="C18" s="387">
        <v>2011</v>
      </c>
      <c r="D18" s="387">
        <v>32.503</v>
      </c>
      <c r="E18" s="390">
        <v>2</v>
      </c>
      <c r="F18" s="387">
        <v>1.7871212874194684E-5</v>
      </c>
      <c r="G18" s="387">
        <v>1.5914192658902733</v>
      </c>
      <c r="H18">
        <f>VLOOKUP(B18,'Emission Rates'!$E$6:$M$145,9)</f>
        <v>55000</v>
      </c>
      <c r="K18" s="388">
        <f t="shared" si="0"/>
        <v>2</v>
      </c>
    </row>
    <row r="19" spans="1:11" ht="30" x14ac:dyDescent="0.25">
      <c r="A19" s="386" t="s">
        <v>1483</v>
      </c>
      <c r="B19" s="386" t="s">
        <v>730</v>
      </c>
      <c r="C19" s="387">
        <v>2011</v>
      </c>
      <c r="D19" s="387">
        <v>41350.46899999999</v>
      </c>
      <c r="E19" s="390">
        <v>4</v>
      </c>
      <c r="F19" s="387">
        <v>5.2006175030725275E-6</v>
      </c>
      <c r="G19" s="387">
        <v>589.17252833330929</v>
      </c>
      <c r="H19">
        <f>VLOOKUP(B19,'Emission Rates'!$E$6:$M$145,9)</f>
        <v>88000</v>
      </c>
      <c r="K19" s="388">
        <f t="shared" si="0"/>
        <v>4</v>
      </c>
    </row>
    <row r="20" spans="1:11" ht="45" x14ac:dyDescent="0.25">
      <c r="A20" s="386" t="s">
        <v>1466</v>
      </c>
      <c r="B20" s="386" t="s">
        <v>741</v>
      </c>
      <c r="C20" s="387">
        <v>2011</v>
      </c>
      <c r="D20" s="387">
        <v>110.19338400000001</v>
      </c>
      <c r="E20" s="390">
        <v>1</v>
      </c>
      <c r="F20" s="387">
        <v>2.2339016092743355E-6</v>
      </c>
      <c r="G20" s="387">
        <v>0.67441418588762969</v>
      </c>
      <c r="H20">
        <f>VLOOKUP(B20,'Emission Rates'!$E$6:$M$145,9)</f>
        <v>88000</v>
      </c>
      <c r="K20" s="388">
        <f t="shared" si="0"/>
        <v>1</v>
      </c>
    </row>
    <row r="21" spans="1:11" ht="30" x14ac:dyDescent="0.25">
      <c r="A21" s="386" t="s">
        <v>1902</v>
      </c>
      <c r="B21" s="386" t="s">
        <v>716</v>
      </c>
      <c r="C21" s="387">
        <v>2011</v>
      </c>
      <c r="D21" s="387">
        <v>587.43799999999999</v>
      </c>
      <c r="E21" s="390">
        <v>2</v>
      </c>
      <c r="F21" s="387">
        <v>1.7536426549165166E-5</v>
      </c>
      <c r="G21" s="387">
        <v>28.223461203256129</v>
      </c>
      <c r="H21">
        <f>VLOOKUP(B21,'Emission Rates'!$E$6:$M$145,9)</f>
        <v>82700</v>
      </c>
      <c r="K21" s="388">
        <f t="shared" si="0"/>
        <v>2</v>
      </c>
    </row>
    <row r="22" spans="1:11" x14ac:dyDescent="0.25">
      <c r="A22" s="386" t="s">
        <v>2015</v>
      </c>
      <c r="B22" s="386" t="s">
        <v>806</v>
      </c>
      <c r="C22" s="387">
        <v>2011</v>
      </c>
      <c r="D22" s="387">
        <v>379.577</v>
      </c>
      <c r="E22" s="390">
        <v>3</v>
      </c>
      <c r="F22" s="387">
        <v>1.8608649528565026E-5</v>
      </c>
      <c r="G22" s="387">
        <v>19.351822909874322</v>
      </c>
      <c r="H22">
        <f>VLOOKUP(B22,'Emission Rates'!$E$6:$M$145,9)</f>
        <v>173589</v>
      </c>
      <c r="K22" s="388">
        <f t="shared" si="0"/>
        <v>3</v>
      </c>
    </row>
    <row r="23" spans="1:11" x14ac:dyDescent="0.25">
      <c r="A23" s="386" t="s">
        <v>1713</v>
      </c>
      <c r="B23" s="386" t="s">
        <v>860</v>
      </c>
      <c r="C23" s="387">
        <v>2011</v>
      </c>
      <c r="D23" s="387">
        <v>860.08539999999994</v>
      </c>
      <c r="E23" s="390">
        <v>4</v>
      </c>
      <c r="F23" s="387">
        <v>1.6459976213285328E-5</v>
      </c>
      <c r="G23" s="387">
        <v>38.7862608914904</v>
      </c>
      <c r="H23">
        <f>VLOOKUP(B23,'Emission Rates'!$E$6:$M$145,9)</f>
        <v>0</v>
      </c>
      <c r="K23" s="388">
        <f t="shared" si="0"/>
        <v>4</v>
      </c>
    </row>
    <row r="24" spans="1:11" x14ac:dyDescent="0.25">
      <c r="A24" s="386" t="s">
        <v>1781</v>
      </c>
      <c r="B24" s="386" t="s">
        <v>840</v>
      </c>
      <c r="C24" s="387">
        <v>2011</v>
      </c>
      <c r="D24" s="387">
        <v>1425.1630000000002</v>
      </c>
      <c r="E24" s="390">
        <v>3</v>
      </c>
      <c r="F24" s="387">
        <v>1.0973317475523551E-5</v>
      </c>
      <c r="G24" s="387">
        <v>42.84593439279336</v>
      </c>
      <c r="H24">
        <f>VLOOKUP(B24,'Emission Rates'!$E$6:$M$145,9)</f>
        <v>9500</v>
      </c>
      <c r="K24" s="388">
        <f t="shared" si="0"/>
        <v>3</v>
      </c>
    </row>
    <row r="25" spans="1:11" x14ac:dyDescent="0.25">
      <c r="A25" s="386" t="s">
        <v>1779</v>
      </c>
      <c r="B25" s="386" t="s">
        <v>843</v>
      </c>
      <c r="C25" s="387">
        <v>2011</v>
      </c>
      <c r="D25" s="387">
        <v>13523.138363636401</v>
      </c>
      <c r="E25" s="390">
        <v>5</v>
      </c>
      <c r="F25" s="387">
        <v>2.1885840948412623E-6</v>
      </c>
      <c r="G25" s="387">
        <v>81.086371328746068</v>
      </c>
      <c r="H25">
        <f>VLOOKUP(B25,'Emission Rates'!$E$6:$M$145,9)</f>
        <v>9500</v>
      </c>
      <c r="K25" s="388">
        <f t="shared" si="0"/>
        <v>5</v>
      </c>
    </row>
    <row r="26" spans="1:11" x14ac:dyDescent="0.25">
      <c r="A26" s="386" t="s">
        <v>1957</v>
      </c>
      <c r="B26" s="386" t="s">
        <v>831</v>
      </c>
      <c r="C26" s="387">
        <v>2011</v>
      </c>
      <c r="D26" s="387">
        <v>603.22463636399993</v>
      </c>
      <c r="E26" s="390">
        <v>1</v>
      </c>
      <c r="F26" s="387">
        <v>1.2994718063119994E-5</v>
      </c>
      <c r="G26" s="387">
        <v>21.475983776104822</v>
      </c>
      <c r="H26">
        <f>VLOOKUP(B26,'Emission Rates'!$E$6:$M$145,9)</f>
        <v>100000</v>
      </c>
      <c r="K26" s="388">
        <f t="shared" si="0"/>
        <v>1</v>
      </c>
    </row>
    <row r="27" spans="1:11" ht="30" x14ac:dyDescent="0.25">
      <c r="A27" s="386" t="s">
        <v>1991</v>
      </c>
      <c r="B27" s="386" t="s">
        <v>850</v>
      </c>
      <c r="C27" s="387">
        <v>2011</v>
      </c>
      <c r="D27" s="387">
        <v>3771.8</v>
      </c>
      <c r="E27" s="390">
        <v>5</v>
      </c>
      <c r="F27" s="387">
        <v>3.1858018477326438E-6</v>
      </c>
      <c r="G27" s="387">
        <v>32.921116189802696</v>
      </c>
      <c r="H27">
        <f>VLOOKUP(B27,'Emission Rates'!$E$6:$M$145,9)</f>
        <v>173589</v>
      </c>
      <c r="K27" s="388">
        <f t="shared" si="0"/>
        <v>5</v>
      </c>
    </row>
    <row r="28" spans="1:11" x14ac:dyDescent="0.25">
      <c r="A28" s="386" t="s">
        <v>1910</v>
      </c>
      <c r="B28" s="386" t="s">
        <v>848</v>
      </c>
      <c r="C28" s="387">
        <v>2011</v>
      </c>
      <c r="D28" s="387">
        <v>4124.7460000000001</v>
      </c>
      <c r="E28" s="390">
        <v>5</v>
      </c>
      <c r="F28" s="387">
        <v>3.4652581501653321E-6</v>
      </c>
      <c r="G28" s="387">
        <v>39.159752585922881</v>
      </c>
      <c r="H28">
        <f>VLOOKUP(B28,'Emission Rates'!$E$6:$M$145,9)</f>
        <v>82700</v>
      </c>
      <c r="K28" s="388">
        <f t="shared" si="0"/>
        <v>5</v>
      </c>
    </row>
    <row r="29" spans="1:11" x14ac:dyDescent="0.25">
      <c r="A29" s="386" t="s">
        <v>1910</v>
      </c>
      <c r="B29" s="386" t="s">
        <v>848</v>
      </c>
      <c r="C29" s="387">
        <v>2011</v>
      </c>
      <c r="D29" s="387">
        <v>4124.7460000000001</v>
      </c>
      <c r="E29" s="390">
        <v>4</v>
      </c>
      <c r="F29" s="387">
        <v>5.6892923675873452E-6</v>
      </c>
      <c r="G29" s="387">
        <v>64.29283818092172</v>
      </c>
      <c r="H29">
        <f>VLOOKUP(B29,'Emission Rates'!$E$6:$M$145,9)</f>
        <v>82700</v>
      </c>
      <c r="K29" s="388">
        <f t="shared" si="0"/>
        <v>4</v>
      </c>
    </row>
    <row r="30" spans="1:11" x14ac:dyDescent="0.25">
      <c r="A30" s="386" t="s">
        <v>1910</v>
      </c>
      <c r="B30" s="386" t="s">
        <v>848</v>
      </c>
      <c r="C30" s="387">
        <v>2011</v>
      </c>
      <c r="D30" s="387">
        <v>4124.7460000000001</v>
      </c>
      <c r="E30" s="390">
        <v>5</v>
      </c>
      <c r="F30" s="387">
        <v>3.4652581501653321E-6</v>
      </c>
      <c r="G30" s="387">
        <v>39.159752585922881</v>
      </c>
      <c r="H30">
        <f>VLOOKUP(B30,'Emission Rates'!$E$6:$M$145,9)</f>
        <v>82700</v>
      </c>
      <c r="K30" s="388">
        <f t="shared" si="0"/>
        <v>5</v>
      </c>
    </row>
    <row r="31" spans="1:11" x14ac:dyDescent="0.25">
      <c r="A31" s="386" t="s">
        <v>1910</v>
      </c>
      <c r="B31" s="386" t="s">
        <v>848</v>
      </c>
      <c r="C31" s="387">
        <v>2011</v>
      </c>
      <c r="D31" s="387">
        <v>4124.7460000000001</v>
      </c>
      <c r="E31" s="390">
        <v>4</v>
      </c>
      <c r="F31" s="387">
        <v>5.6892923675873452E-6</v>
      </c>
      <c r="G31" s="387">
        <v>64.29283818092172</v>
      </c>
      <c r="H31">
        <f>VLOOKUP(B31,'Emission Rates'!$E$6:$M$145,9)</f>
        <v>82700</v>
      </c>
      <c r="K31" s="388">
        <f t="shared" si="0"/>
        <v>4</v>
      </c>
    </row>
    <row r="32" spans="1:11" x14ac:dyDescent="0.25">
      <c r="A32" s="386" t="s">
        <v>1965</v>
      </c>
      <c r="B32" s="386" t="s">
        <v>862</v>
      </c>
      <c r="C32" s="387">
        <v>2011</v>
      </c>
      <c r="D32" s="387">
        <v>55.617379</v>
      </c>
      <c r="E32" s="390">
        <v>2</v>
      </c>
      <c r="F32" s="387">
        <v>9.8759857279711965E-6</v>
      </c>
      <c r="G32" s="387">
        <v>1.5048669622771642</v>
      </c>
      <c r="H32">
        <f>VLOOKUP(B32,'Emission Rates'!$E$6:$M$145,9)</f>
        <v>100000</v>
      </c>
      <c r="K32" s="388">
        <f t="shared" si="0"/>
        <v>2</v>
      </c>
    </row>
    <row r="33" spans="1:11" x14ac:dyDescent="0.25">
      <c r="A33" s="386" t="s">
        <v>1775</v>
      </c>
      <c r="B33" s="386" t="s">
        <v>897</v>
      </c>
      <c r="C33" s="387">
        <v>2011</v>
      </c>
      <c r="D33" s="387">
        <v>75.423000000000002</v>
      </c>
      <c r="E33" s="390">
        <v>4</v>
      </c>
      <c r="F33" s="387">
        <v>1.8813967489464178E-5</v>
      </c>
      <c r="G33" s="387">
        <v>3.8876873149530318</v>
      </c>
      <c r="H33">
        <f>VLOOKUP(B33,'Emission Rates'!$E$6:$M$145,9)</f>
        <v>9500</v>
      </c>
      <c r="K33" s="388">
        <f t="shared" si="0"/>
        <v>4</v>
      </c>
    </row>
    <row r="34" spans="1:11" ht="30" x14ac:dyDescent="0.25">
      <c r="A34" s="386" t="s">
        <v>1528</v>
      </c>
      <c r="B34" s="386" t="s">
        <v>875</v>
      </c>
      <c r="C34" s="387">
        <v>2011</v>
      </c>
      <c r="D34" s="387">
        <v>405.66</v>
      </c>
      <c r="E34" s="390">
        <v>4</v>
      </c>
      <c r="F34" s="387">
        <v>2.2222222222222223E-5</v>
      </c>
      <c r="G34" s="387">
        <v>24.697716894977169</v>
      </c>
      <c r="H34">
        <f>VLOOKUP(B34,'Emission Rates'!$E$6:$M$145,9)</f>
        <v>0</v>
      </c>
      <c r="K34" s="388">
        <f t="shared" si="0"/>
        <v>4</v>
      </c>
    </row>
    <row r="35" spans="1:11" ht="30" x14ac:dyDescent="0.25">
      <c r="A35" s="386" t="s">
        <v>1895</v>
      </c>
      <c r="B35" s="386" t="s">
        <v>643</v>
      </c>
      <c r="C35" s="387">
        <v>2011</v>
      </c>
      <c r="D35" s="387">
        <v>153.94200000000001</v>
      </c>
      <c r="E35" s="390">
        <v>5</v>
      </c>
      <c r="F35" s="387">
        <v>6.8988587888980795E-6</v>
      </c>
      <c r="G35" s="387">
        <v>2.9096551224124605</v>
      </c>
      <c r="H35">
        <f>VLOOKUP(B35,'Emission Rates'!$E$6:$M$145,9)</f>
        <v>138700</v>
      </c>
      <c r="K35" s="388">
        <f t="shared" si="0"/>
        <v>5</v>
      </c>
    </row>
    <row r="36" spans="1:11" x14ac:dyDescent="0.25">
      <c r="A36" s="386" t="s">
        <v>1926</v>
      </c>
      <c r="B36" s="386" t="s">
        <v>667</v>
      </c>
      <c r="C36" s="387">
        <v>2011</v>
      </c>
      <c r="D36" s="387">
        <v>2102.0300000000002</v>
      </c>
      <c r="E36" s="390">
        <v>5</v>
      </c>
      <c r="F36" s="387">
        <v>6.5991152691045767E-6</v>
      </c>
      <c r="G36" s="387">
        <v>38.004214435933953</v>
      </c>
      <c r="H36">
        <f>VLOOKUP(B36,'Emission Rates'!$E$6:$M$145,9)</f>
        <v>82700</v>
      </c>
      <c r="K36" s="388">
        <f t="shared" si="0"/>
        <v>5</v>
      </c>
    </row>
    <row r="37" spans="1:11" ht="30" x14ac:dyDescent="0.25">
      <c r="A37" s="386" t="s">
        <v>1894</v>
      </c>
      <c r="B37" s="386" t="s">
        <v>643</v>
      </c>
      <c r="C37" s="387">
        <v>2011</v>
      </c>
      <c r="D37" s="387">
        <v>14491.45</v>
      </c>
      <c r="E37" s="390">
        <v>5</v>
      </c>
      <c r="F37" s="387">
        <v>6.8988587888980795E-6</v>
      </c>
      <c r="G37" s="387">
        <v>273.90264985308789</v>
      </c>
      <c r="H37">
        <f>VLOOKUP(B37,'Emission Rates'!$E$6:$M$145,9)</f>
        <v>138700</v>
      </c>
      <c r="K37" s="388">
        <f t="shared" si="0"/>
        <v>5</v>
      </c>
    </row>
    <row r="38" spans="1:11" x14ac:dyDescent="0.25">
      <c r="A38" s="386" t="s">
        <v>1497</v>
      </c>
      <c r="B38" s="386" t="s">
        <v>682</v>
      </c>
      <c r="C38" s="387">
        <v>2011</v>
      </c>
      <c r="D38" s="387">
        <v>1428.7844499999999</v>
      </c>
      <c r="E38" s="390">
        <v>2</v>
      </c>
      <c r="F38" s="387">
        <v>1.8518518518518518E-5</v>
      </c>
      <c r="G38" s="387">
        <v>72.490332318619991</v>
      </c>
      <c r="H38">
        <f>VLOOKUP(B38,'Emission Rates'!$E$6:$M$145,9)</f>
        <v>88000</v>
      </c>
      <c r="K38" s="388">
        <f t="shared" si="0"/>
        <v>2</v>
      </c>
    </row>
    <row r="39" spans="1:11" ht="45" x14ac:dyDescent="0.25">
      <c r="A39" s="386" t="s">
        <v>1846</v>
      </c>
      <c r="B39" s="386" t="s">
        <v>796</v>
      </c>
      <c r="C39" s="387">
        <v>2011</v>
      </c>
      <c r="D39" s="387">
        <v>552.49699999999996</v>
      </c>
      <c r="E39" s="390">
        <v>2</v>
      </c>
      <c r="F39" s="387">
        <v>1.282051282051282E-5</v>
      </c>
      <c r="G39" s="387">
        <v>19.40628731998595</v>
      </c>
      <c r="H39">
        <f>VLOOKUP(B39,'Emission Rates'!$E$6:$M$145,9)</f>
        <v>344500</v>
      </c>
      <c r="K39" s="388">
        <f t="shared" si="0"/>
        <v>2</v>
      </c>
    </row>
    <row r="40" spans="1:11" ht="30" x14ac:dyDescent="0.25">
      <c r="A40" s="386" t="s">
        <v>1987</v>
      </c>
      <c r="B40" s="386" t="s">
        <v>859</v>
      </c>
      <c r="C40" s="387">
        <v>2011</v>
      </c>
      <c r="D40" s="387">
        <v>640.63800000000003</v>
      </c>
      <c r="E40" s="390">
        <v>5</v>
      </c>
      <c r="F40" s="387">
        <v>4.8175540136444855E-6</v>
      </c>
      <c r="G40" s="387">
        <v>8.4556388169676051</v>
      </c>
      <c r="H40">
        <f>VLOOKUP(B40,'Emission Rates'!$E$6:$M$145,9)</f>
        <v>205000</v>
      </c>
      <c r="K40" s="388">
        <f t="shared" si="0"/>
        <v>5</v>
      </c>
    </row>
    <row r="41" spans="1:11" x14ac:dyDescent="0.25">
      <c r="A41" s="386" t="s">
        <v>1345</v>
      </c>
      <c r="B41" s="386" t="s">
        <v>851</v>
      </c>
      <c r="C41" s="387">
        <v>2011</v>
      </c>
      <c r="D41" s="387">
        <v>6574.7</v>
      </c>
      <c r="E41" s="390">
        <v>5</v>
      </c>
      <c r="F41" s="387">
        <v>1.7619956695755924E-6</v>
      </c>
      <c r="G41" s="387">
        <v>31.73861076372232</v>
      </c>
      <c r="H41">
        <f>VLOOKUP(B41,'Emission Rates'!$E$6:$M$145,9)</f>
        <v>88000</v>
      </c>
      <c r="K41" s="388">
        <f t="shared" si="0"/>
        <v>5</v>
      </c>
    </row>
    <row r="42" spans="1:11" ht="30" x14ac:dyDescent="0.25">
      <c r="A42" s="386" t="s">
        <v>1651</v>
      </c>
      <c r="B42" s="386" t="s">
        <v>726</v>
      </c>
      <c r="C42" s="387">
        <v>2011</v>
      </c>
      <c r="D42" s="387">
        <v>2794.7155999999995</v>
      </c>
      <c r="E42" s="390">
        <v>5</v>
      </c>
      <c r="F42" s="387">
        <v>4.1126222095427099E-6</v>
      </c>
      <c r="G42" s="387">
        <v>31.489340947713639</v>
      </c>
      <c r="H42">
        <f>VLOOKUP(B42,'Emission Rates'!$E$6:$M$145,9)</f>
        <v>0</v>
      </c>
      <c r="K42" s="388">
        <f t="shared" si="0"/>
        <v>5</v>
      </c>
    </row>
    <row r="43" spans="1:11" ht="45" x14ac:dyDescent="0.25">
      <c r="A43" s="386" t="s">
        <v>1472</v>
      </c>
      <c r="B43" s="386" t="s">
        <v>722</v>
      </c>
      <c r="C43" s="387">
        <v>2011</v>
      </c>
      <c r="D43" s="387">
        <v>2070.607</v>
      </c>
      <c r="E43" s="390">
        <v>3</v>
      </c>
      <c r="F43" s="387">
        <v>2.8083334516591648E-5</v>
      </c>
      <c r="G43" s="387">
        <v>159.313832968209</v>
      </c>
      <c r="H43">
        <f>VLOOKUP(B43,'Emission Rates'!$E$6:$M$145,9)</f>
        <v>88000</v>
      </c>
      <c r="K43" s="388">
        <f t="shared" si="0"/>
        <v>3</v>
      </c>
    </row>
    <row r="44" spans="1:11" x14ac:dyDescent="0.25">
      <c r="A44" s="386" t="s">
        <v>1578</v>
      </c>
      <c r="B44" s="386" t="s">
        <v>766</v>
      </c>
      <c r="C44" s="387">
        <v>2011</v>
      </c>
      <c r="D44" s="387">
        <v>401.06700000000001</v>
      </c>
      <c r="E44" s="390">
        <v>4</v>
      </c>
      <c r="F44" s="387">
        <v>1.8181818181818182E-5</v>
      </c>
      <c r="G44" s="387">
        <v>19.978430884184306</v>
      </c>
      <c r="H44">
        <f>VLOOKUP(B44,'Emission Rates'!$E$6:$M$145,9)</f>
        <v>0</v>
      </c>
      <c r="K44" s="388">
        <f t="shared" si="0"/>
        <v>4</v>
      </c>
    </row>
    <row r="45" spans="1:11" x14ac:dyDescent="0.25">
      <c r="A45" s="386" t="s">
        <v>1726</v>
      </c>
      <c r="B45" s="386" t="s">
        <v>685</v>
      </c>
      <c r="C45" s="387">
        <v>2011</v>
      </c>
      <c r="D45" s="387">
        <v>1233.8644300000001</v>
      </c>
      <c r="E45" s="390">
        <v>4</v>
      </c>
      <c r="F45" s="387">
        <v>3.9600063525821178E-6</v>
      </c>
      <c r="G45" s="387">
        <v>13.386605427466067</v>
      </c>
      <c r="H45">
        <f>VLOOKUP(B45,'Emission Rates'!$E$6:$M$145,9)</f>
        <v>9500</v>
      </c>
      <c r="K45" s="388">
        <f t="shared" si="0"/>
        <v>4</v>
      </c>
    </row>
    <row r="46" spans="1:11" x14ac:dyDescent="0.25">
      <c r="A46" s="386" t="s">
        <v>1583</v>
      </c>
      <c r="B46" s="386" t="s">
        <v>689</v>
      </c>
      <c r="C46" s="387">
        <v>2011</v>
      </c>
      <c r="D46" s="387">
        <v>2027.2490909099999</v>
      </c>
      <c r="E46" s="390">
        <v>4</v>
      </c>
      <c r="F46" s="387">
        <v>5.9406335450018528E-6</v>
      </c>
      <c r="G46" s="387">
        <v>32.994914941190295</v>
      </c>
      <c r="H46">
        <f>VLOOKUP(B46,'Emission Rates'!$E$6:$M$145,9)</f>
        <v>0</v>
      </c>
      <c r="K46" s="388">
        <f t="shared" si="0"/>
        <v>4</v>
      </c>
    </row>
    <row r="47" spans="1:11" ht="45" x14ac:dyDescent="0.25">
      <c r="A47" s="386" t="s">
        <v>1842</v>
      </c>
      <c r="B47" s="386" t="s">
        <v>739</v>
      </c>
      <c r="C47" s="387">
        <v>2011</v>
      </c>
      <c r="D47" s="387">
        <v>2571.3979999999997</v>
      </c>
      <c r="E47" s="390">
        <v>5</v>
      </c>
      <c r="F47" s="387">
        <v>2.2543961194511644E-6</v>
      </c>
      <c r="G47" s="387">
        <v>15.882053897984889</v>
      </c>
      <c r="H47">
        <f>VLOOKUP(B47,'Emission Rates'!$E$6:$M$145,9)</f>
        <v>436000</v>
      </c>
      <c r="K47" s="388">
        <f t="shared" si="0"/>
        <v>5</v>
      </c>
    </row>
    <row r="48" spans="1:11" ht="30" x14ac:dyDescent="0.25">
      <c r="A48" s="386" t="s">
        <v>1858</v>
      </c>
      <c r="B48" s="386" t="s">
        <v>735</v>
      </c>
      <c r="C48" s="387">
        <v>2011</v>
      </c>
      <c r="D48" s="387">
        <v>7072.71</v>
      </c>
      <c r="E48" s="390">
        <v>3</v>
      </c>
      <c r="F48" s="387">
        <v>4.3300295510163335E-6</v>
      </c>
      <c r="G48" s="387">
        <v>83.904228234982838</v>
      </c>
      <c r="H48">
        <f>VLOOKUP(B48,'Emission Rates'!$E$6:$M$145,9)</f>
        <v>344500</v>
      </c>
      <c r="K48" s="388">
        <f t="shared" si="0"/>
        <v>3</v>
      </c>
    </row>
    <row r="49" spans="1:11" ht="30" x14ac:dyDescent="0.25">
      <c r="A49" s="386" t="s">
        <v>1469</v>
      </c>
      <c r="B49" s="386" t="s">
        <v>714</v>
      </c>
      <c r="C49" s="387">
        <v>2011</v>
      </c>
      <c r="D49" s="387">
        <v>124.375</v>
      </c>
      <c r="E49" s="390">
        <v>1</v>
      </c>
      <c r="F49" s="387">
        <v>1.0346491664007448E-4</v>
      </c>
      <c r="G49" s="387">
        <v>35.256024677011688</v>
      </c>
      <c r="H49">
        <f>VLOOKUP(B49,'Emission Rates'!$E$6:$M$145,9)</f>
        <v>88000</v>
      </c>
      <c r="K49" s="388">
        <f t="shared" si="0"/>
        <v>1</v>
      </c>
    </row>
    <row r="50" spans="1:11" x14ac:dyDescent="0.25">
      <c r="A50" s="386" t="s">
        <v>1698</v>
      </c>
      <c r="B50" s="386" t="s">
        <v>837</v>
      </c>
      <c r="C50" s="387">
        <v>2011</v>
      </c>
      <c r="D50" s="387">
        <v>2943.65</v>
      </c>
      <c r="E50" s="390">
        <v>5</v>
      </c>
      <c r="F50" s="387">
        <v>3.0201791217037297E-6</v>
      </c>
      <c r="G50" s="387">
        <v>24.357124031789546</v>
      </c>
      <c r="H50">
        <f>VLOOKUP(B50,'Emission Rates'!$E$6:$M$145,9)</f>
        <v>0</v>
      </c>
      <c r="K50" s="388">
        <f t="shared" si="0"/>
        <v>5</v>
      </c>
    </row>
    <row r="51" spans="1:11" x14ac:dyDescent="0.25">
      <c r="A51" s="386" t="s">
        <v>1982</v>
      </c>
      <c r="B51" s="386" t="s">
        <v>809</v>
      </c>
      <c r="C51" s="387">
        <v>2011</v>
      </c>
      <c r="D51" s="387">
        <v>399.12</v>
      </c>
      <c r="E51" s="390">
        <v>3</v>
      </c>
      <c r="F51" s="387">
        <v>1.0677093991799605E-5</v>
      </c>
      <c r="G51" s="387">
        <v>11.675182887690569</v>
      </c>
      <c r="H51">
        <f>VLOOKUP(B51,'Emission Rates'!$E$6:$M$145,9)</f>
        <v>100000</v>
      </c>
      <c r="K51" s="388">
        <f t="shared" si="0"/>
        <v>3</v>
      </c>
    </row>
    <row r="52" spans="1:11" ht="30" x14ac:dyDescent="0.25">
      <c r="A52" s="386" t="s">
        <v>1638</v>
      </c>
      <c r="B52" s="386" t="s">
        <v>712</v>
      </c>
      <c r="C52" s="387">
        <v>2011</v>
      </c>
      <c r="D52" s="387">
        <v>12844.890000000001</v>
      </c>
      <c r="E52" s="390">
        <v>4</v>
      </c>
      <c r="F52" s="387">
        <v>3.9794198707720958E-6</v>
      </c>
      <c r="G52" s="387">
        <v>140.04167261337474</v>
      </c>
      <c r="H52">
        <f>VLOOKUP(B52,'Emission Rates'!$E$6:$M$145,9)</f>
        <v>0</v>
      </c>
      <c r="K52" s="388">
        <f t="shared" si="0"/>
        <v>4</v>
      </c>
    </row>
    <row r="53" spans="1:11" x14ac:dyDescent="0.25">
      <c r="A53" s="386" t="s">
        <v>1958</v>
      </c>
      <c r="B53" s="386" t="s">
        <v>831</v>
      </c>
      <c r="C53" s="387">
        <v>2011</v>
      </c>
      <c r="D53" s="387">
        <v>968.52</v>
      </c>
      <c r="E53" s="390">
        <v>4</v>
      </c>
      <c r="F53" s="387">
        <v>4.0310145828453861E-6</v>
      </c>
      <c r="G53" s="387">
        <v>10.696214366513461</v>
      </c>
      <c r="H53">
        <f>VLOOKUP(B53,'Emission Rates'!$E$6:$M$145,9)</f>
        <v>100000</v>
      </c>
      <c r="K53" s="388">
        <f t="shared" si="0"/>
        <v>4</v>
      </c>
    </row>
    <row r="54" spans="1:11" x14ac:dyDescent="0.25">
      <c r="A54" s="386" t="s">
        <v>1428</v>
      </c>
      <c r="B54" s="386" t="s">
        <v>844</v>
      </c>
      <c r="C54" s="387">
        <v>2011</v>
      </c>
      <c r="D54" s="387">
        <v>4624.0120000000006</v>
      </c>
      <c r="E54" s="390">
        <v>4</v>
      </c>
      <c r="F54" s="387">
        <v>6.7643737862816414E-6</v>
      </c>
      <c r="G54" s="387">
        <v>85.694645370552749</v>
      </c>
      <c r="H54">
        <f>VLOOKUP(B54,'Emission Rates'!$E$6:$M$145,9)</f>
        <v>88000</v>
      </c>
      <c r="K54" s="388">
        <f t="shared" si="0"/>
        <v>4</v>
      </c>
    </row>
    <row r="55" spans="1:11" ht="30" x14ac:dyDescent="0.25">
      <c r="A55" s="386" t="s">
        <v>1612</v>
      </c>
      <c r="B55" s="386" t="s">
        <v>699</v>
      </c>
      <c r="C55" s="387">
        <v>2011</v>
      </c>
      <c r="D55" s="387">
        <v>1089.44112</v>
      </c>
      <c r="E55" s="390">
        <v>4</v>
      </c>
      <c r="F55" s="387">
        <v>8.3333333333333337E-6</v>
      </c>
      <c r="G55" s="387">
        <v>24.873084931506849</v>
      </c>
      <c r="H55">
        <f>VLOOKUP(B55,'Emission Rates'!$E$6:$M$145,9)</f>
        <v>0</v>
      </c>
      <c r="K55" s="388">
        <f t="shared" si="0"/>
        <v>4</v>
      </c>
    </row>
    <row r="56" spans="1:11" x14ac:dyDescent="0.25">
      <c r="A56" s="386" t="s">
        <v>1908</v>
      </c>
      <c r="B56" s="386" t="s">
        <v>804</v>
      </c>
      <c r="C56" s="387">
        <v>2011</v>
      </c>
      <c r="D56" s="387">
        <v>1047.18</v>
      </c>
      <c r="E56" s="390">
        <v>4</v>
      </c>
      <c r="F56" s="387">
        <v>5.2243534772709303E-6</v>
      </c>
      <c r="G56" s="387">
        <v>14.988598559804309</v>
      </c>
      <c r="H56">
        <f>VLOOKUP(B56,'Emission Rates'!$E$6:$M$145,9)</f>
        <v>82700</v>
      </c>
      <c r="K56" s="388">
        <f t="shared" si="0"/>
        <v>4</v>
      </c>
    </row>
    <row r="57" spans="1:11" ht="30" x14ac:dyDescent="0.25">
      <c r="A57" s="386" t="s">
        <v>1784</v>
      </c>
      <c r="B57" s="386" t="s">
        <v>842</v>
      </c>
      <c r="C57" s="387">
        <v>2011</v>
      </c>
      <c r="D57" s="387">
        <v>333.87</v>
      </c>
      <c r="E57" s="390">
        <v>4</v>
      </c>
      <c r="F57" s="387">
        <v>3.6850693014817894E-6</v>
      </c>
      <c r="G57" s="387">
        <v>3.3707783224266441</v>
      </c>
      <c r="H57">
        <f>VLOOKUP(B57,'Emission Rates'!$E$6:$M$145,9)</f>
        <v>9500</v>
      </c>
      <c r="K57" s="388">
        <f t="shared" si="0"/>
        <v>4</v>
      </c>
    </row>
    <row r="58" spans="1:11" ht="30" x14ac:dyDescent="0.25">
      <c r="A58" s="386" t="s">
        <v>1933</v>
      </c>
      <c r="B58" s="386" t="s">
        <v>670</v>
      </c>
      <c r="C58" s="387">
        <v>2011</v>
      </c>
      <c r="D58" s="387">
        <v>11745.92</v>
      </c>
      <c r="E58" s="390">
        <v>2</v>
      </c>
      <c r="F58" s="387">
        <v>1.075268817204301E-5</v>
      </c>
      <c r="G58" s="387">
        <v>346.02798644866692</v>
      </c>
      <c r="H58">
        <f>VLOOKUP(B58,'Emission Rates'!$E$6:$M$145,9)</f>
        <v>82700</v>
      </c>
      <c r="K58" s="388">
        <f t="shared" si="0"/>
        <v>2</v>
      </c>
    </row>
    <row r="59" spans="1:11" ht="30" x14ac:dyDescent="0.25">
      <c r="A59" s="386" t="s">
        <v>1736</v>
      </c>
      <c r="B59" s="386" t="s">
        <v>742</v>
      </c>
      <c r="C59" s="387">
        <v>2011</v>
      </c>
      <c r="D59" s="387">
        <v>6302.6270000000004</v>
      </c>
      <c r="E59" s="390">
        <v>5</v>
      </c>
      <c r="F59" s="387">
        <v>1.9521682384919715E-6</v>
      </c>
      <c r="G59" s="387">
        <v>33.709008899895728</v>
      </c>
      <c r="H59">
        <f>VLOOKUP(B59,'Emission Rates'!$E$6:$M$145,9)</f>
        <v>9500</v>
      </c>
      <c r="K59" s="388">
        <f t="shared" si="0"/>
        <v>5</v>
      </c>
    </row>
    <row r="60" spans="1:11" x14ac:dyDescent="0.25">
      <c r="A60" s="386" t="s">
        <v>1799</v>
      </c>
      <c r="B60" s="386" t="s">
        <v>623</v>
      </c>
      <c r="C60" s="387">
        <v>2011</v>
      </c>
      <c r="D60" s="387">
        <v>25.466333333366702</v>
      </c>
      <c r="E60" s="390">
        <v>3</v>
      </c>
      <c r="F60" s="387">
        <v>1.0507447675379363E-5</v>
      </c>
      <c r="G60" s="387">
        <v>0.7331127807784108</v>
      </c>
      <c r="H60">
        <f>VLOOKUP(B60,'Emission Rates'!$E$6:$M$145,9)</f>
        <v>135000</v>
      </c>
      <c r="K60" s="388">
        <f t="shared" si="0"/>
        <v>3</v>
      </c>
    </row>
    <row r="61" spans="1:11" ht="30" x14ac:dyDescent="0.25">
      <c r="A61" s="386" t="s">
        <v>1691</v>
      </c>
      <c r="B61" s="386" t="s">
        <v>835</v>
      </c>
      <c r="C61" s="387">
        <v>2011</v>
      </c>
      <c r="D61" s="387">
        <v>475.90357999999998</v>
      </c>
      <c r="E61" s="390">
        <v>5</v>
      </c>
      <c r="F61" s="387">
        <v>3.5359777042503386E-6</v>
      </c>
      <c r="G61" s="387">
        <v>4.6103683513778551</v>
      </c>
      <c r="H61">
        <f>VLOOKUP(B61,'Emission Rates'!$E$6:$M$145,9)</f>
        <v>0</v>
      </c>
      <c r="K61" s="388">
        <f t="shared" si="0"/>
        <v>5</v>
      </c>
    </row>
    <row r="62" spans="1:11" ht="45" x14ac:dyDescent="0.25">
      <c r="A62" s="386" t="s">
        <v>1697</v>
      </c>
      <c r="B62" s="386" t="s">
        <v>696</v>
      </c>
      <c r="C62" s="387">
        <v>2011</v>
      </c>
      <c r="D62" s="387">
        <v>139.72546645473696</v>
      </c>
      <c r="E62" s="390">
        <v>2</v>
      </c>
      <c r="F62" s="387">
        <v>3.7735849056603776E-5</v>
      </c>
      <c r="G62" s="387">
        <v>14.445641401368515</v>
      </c>
      <c r="H62">
        <f>VLOOKUP(B62,'Emission Rates'!$E$6:$M$145,9)</f>
        <v>0</v>
      </c>
      <c r="K62" s="388">
        <f t="shared" si="0"/>
        <v>2</v>
      </c>
    </row>
    <row r="63" spans="1:11" ht="30" x14ac:dyDescent="0.25">
      <c r="A63" s="386" t="s">
        <v>1538</v>
      </c>
      <c r="B63" s="386" t="s">
        <v>665</v>
      </c>
      <c r="C63" s="387">
        <v>2011</v>
      </c>
      <c r="D63" s="387">
        <v>2645.82</v>
      </c>
      <c r="E63" s="390">
        <v>3</v>
      </c>
      <c r="F63" s="387">
        <v>3.9377436790953236E-6</v>
      </c>
      <c r="G63" s="387">
        <v>28.544002687736956</v>
      </c>
      <c r="H63">
        <f>VLOOKUP(B63,'Emission Rates'!$E$6:$M$145,9)</f>
        <v>0</v>
      </c>
      <c r="K63" s="388">
        <f t="shared" si="0"/>
        <v>3</v>
      </c>
    </row>
    <row r="64" spans="1:11" ht="30" x14ac:dyDescent="0.25">
      <c r="A64" s="386" t="s">
        <v>1871</v>
      </c>
      <c r="B64" s="386" t="s">
        <v>772</v>
      </c>
      <c r="C64" s="387">
        <v>2011</v>
      </c>
      <c r="D64" s="387">
        <v>3658.2449999999999</v>
      </c>
      <c r="E64" s="390">
        <v>4</v>
      </c>
      <c r="F64" s="387">
        <v>3.9258236338528303E-6</v>
      </c>
      <c r="G64" s="387">
        <v>39.346916929928625</v>
      </c>
      <c r="H64">
        <f>VLOOKUP(B64,'Emission Rates'!$E$6:$M$145,9)</f>
        <v>344500</v>
      </c>
      <c r="K64" s="388">
        <f t="shared" si="0"/>
        <v>4</v>
      </c>
    </row>
    <row r="65" spans="1:11" ht="30" x14ac:dyDescent="0.25">
      <c r="A65" s="386" t="s">
        <v>1953</v>
      </c>
      <c r="B65" s="386" t="s">
        <v>662</v>
      </c>
      <c r="C65" s="387">
        <v>2011</v>
      </c>
      <c r="D65" s="387">
        <v>1730.9103928947372</v>
      </c>
      <c r="E65" s="390">
        <v>5</v>
      </c>
      <c r="F65" s="387">
        <v>5.9433025715538109E-6</v>
      </c>
      <c r="G65" s="387">
        <v>28.184449833480844</v>
      </c>
      <c r="H65">
        <f>VLOOKUP(B65,'Emission Rates'!$E$6:$M$145,9)</f>
        <v>82700</v>
      </c>
      <c r="K65" s="388">
        <f t="shared" si="0"/>
        <v>5</v>
      </c>
    </row>
    <row r="66" spans="1:11" x14ac:dyDescent="0.25">
      <c r="A66" s="386" t="s">
        <v>1822</v>
      </c>
      <c r="B66" s="386" t="s">
        <v>769</v>
      </c>
      <c r="C66" s="387">
        <v>2011</v>
      </c>
      <c r="D66" s="387">
        <v>388.93</v>
      </c>
      <c r="E66" s="390">
        <v>1</v>
      </c>
      <c r="F66" s="387">
        <v>1.7241379310344828E-5</v>
      </c>
      <c r="G66" s="387">
        <v>18.371752479924425</v>
      </c>
      <c r="H66">
        <f>VLOOKUP(B66,'Emission Rates'!$E$6:$M$145,9)</f>
        <v>135000</v>
      </c>
      <c r="K66" s="388">
        <f t="shared" si="0"/>
        <v>1</v>
      </c>
    </row>
    <row r="67" spans="1:11" ht="45" x14ac:dyDescent="0.25">
      <c r="A67" s="386" t="s">
        <v>1944</v>
      </c>
      <c r="B67" s="386" t="s">
        <v>821</v>
      </c>
      <c r="C67" s="387">
        <v>2011</v>
      </c>
      <c r="D67" s="387">
        <v>7057.8969999999999</v>
      </c>
      <c r="E67" s="390">
        <v>2</v>
      </c>
      <c r="F67" s="387">
        <v>5.7142857142857145E-6</v>
      </c>
      <c r="G67" s="387">
        <v>110.49545205479454</v>
      </c>
      <c r="H67">
        <f>VLOOKUP(B67,'Emission Rates'!$E$6:$M$145,9)</f>
        <v>82700</v>
      </c>
      <c r="K67" s="388">
        <f t="shared" ref="K67:K72" si="1">E67</f>
        <v>2</v>
      </c>
    </row>
    <row r="68" spans="1:11" ht="30" x14ac:dyDescent="0.25">
      <c r="A68" s="386" t="s">
        <v>2010</v>
      </c>
      <c r="B68" s="386" t="s">
        <v>641</v>
      </c>
      <c r="C68" s="387">
        <v>2011</v>
      </c>
      <c r="D68" s="387">
        <v>746.93</v>
      </c>
      <c r="E68" s="390">
        <v>5</v>
      </c>
      <c r="F68" s="387">
        <v>5.6286571412950794E-6</v>
      </c>
      <c r="G68" s="387">
        <v>11.518391448075436</v>
      </c>
      <c r="H68">
        <f>VLOOKUP(B68,'Emission Rates'!$E$6:$M$145,9)</f>
        <v>173589</v>
      </c>
      <c r="K68" s="388">
        <f t="shared" si="1"/>
        <v>5</v>
      </c>
    </row>
    <row r="69" spans="1:11" ht="30" x14ac:dyDescent="0.25">
      <c r="A69" s="386" t="s">
        <v>1267</v>
      </c>
      <c r="B69" s="386" t="s">
        <v>737</v>
      </c>
      <c r="C69" s="387">
        <v>2011</v>
      </c>
      <c r="D69" s="387">
        <v>526.12499999999989</v>
      </c>
      <c r="E69" s="390">
        <v>2</v>
      </c>
      <c r="F69" s="387">
        <v>1.1842369976875995E-5</v>
      </c>
      <c r="G69" s="387">
        <v>17.070046312558581</v>
      </c>
      <c r="H69">
        <f>VLOOKUP(B69,'Emission Rates'!$E$6:$M$145,9)</f>
        <v>88000</v>
      </c>
      <c r="K69" s="388">
        <f t="shared" si="1"/>
        <v>2</v>
      </c>
    </row>
    <row r="70" spans="1:11" x14ac:dyDescent="0.25">
      <c r="A70" s="386" t="s">
        <v>1623</v>
      </c>
      <c r="B70" s="386" t="s">
        <v>687</v>
      </c>
      <c r="C70" s="387">
        <v>2011</v>
      </c>
      <c r="D70" s="387">
        <v>1869.6715217390001</v>
      </c>
      <c r="E70" s="390">
        <v>5</v>
      </c>
      <c r="F70" s="387">
        <v>3.0800049408972026E-6</v>
      </c>
      <c r="G70" s="387">
        <v>15.776979520029895</v>
      </c>
      <c r="H70">
        <f>VLOOKUP(B70,'Emission Rates'!$E$6:$M$145,9)</f>
        <v>0</v>
      </c>
      <c r="K70" s="388">
        <f t="shared" si="1"/>
        <v>5</v>
      </c>
    </row>
    <row r="71" spans="1:11" x14ac:dyDescent="0.25">
      <c r="A71" s="386" t="s">
        <v>490</v>
      </c>
      <c r="B71" s="386" t="s">
        <v>1240</v>
      </c>
      <c r="C71" s="387">
        <v>2011</v>
      </c>
      <c r="D71" s="387">
        <v>12891.687899999999</v>
      </c>
      <c r="E71" s="390">
        <v>4</v>
      </c>
      <c r="F71" s="387">
        <v>6.3004693639369675E-6</v>
      </c>
      <c r="G71" s="387">
        <v>222.53064291338876</v>
      </c>
      <c r="H71">
        <f>VLOOKUP(B71,'Emission Rates'!$E$6:$M$145,9)</f>
        <v>0</v>
      </c>
      <c r="K71" s="388">
        <f t="shared" si="1"/>
        <v>4</v>
      </c>
    </row>
    <row r="72" spans="1:11" x14ac:dyDescent="0.25">
      <c r="A72" s="386" t="s">
        <v>490</v>
      </c>
      <c r="B72" s="386" t="s">
        <v>1236</v>
      </c>
      <c r="C72" s="387">
        <v>2011</v>
      </c>
      <c r="D72" s="387">
        <v>3678.1210000000001</v>
      </c>
      <c r="E72" s="390">
        <v>1</v>
      </c>
      <c r="F72" s="387">
        <v>7.815632801997311E-6</v>
      </c>
      <c r="G72" s="387">
        <v>78.758474348808633</v>
      </c>
      <c r="H72">
        <f>VLOOKUP(B72,'Emission Rates'!$E$6:$M$145,9)</f>
        <v>100000</v>
      </c>
      <c r="K72" s="388">
        <f t="shared" si="1"/>
        <v>1</v>
      </c>
    </row>
    <row r="74" spans="1:11" x14ac:dyDescent="0.25">
      <c r="H74">
        <f>SUMPRODUCT(G2:G72,H2:H72)/SUM(H2:H72)</f>
        <v>94.562950642424312</v>
      </c>
      <c r="I74" t="s">
        <v>2306</v>
      </c>
    </row>
    <row r="75" spans="1:11" x14ac:dyDescent="0.25">
      <c r="H75" s="389">
        <f>H74*Conversions!D6</f>
        <v>357.95970769164336</v>
      </c>
      <c r="I75" t="s">
        <v>2311</v>
      </c>
    </row>
    <row r="78" spans="1:11" x14ac:dyDescent="0.25">
      <c r="H78" t="s">
        <v>2318</v>
      </c>
    </row>
    <row r="79" spans="1:11" x14ac:dyDescent="0.25">
      <c r="G79">
        <v>1</v>
      </c>
      <c r="H79">
        <f t="shared" ref="H79:H83" si="2">SUMPRODUCT(--($E$2:$E$72=G79),$G$2:$G$72,$H$2:$H$72)/SUM($H$2:$H$72)</f>
        <v>6.9288591613366242</v>
      </c>
    </row>
    <row r="80" spans="1:11" x14ac:dyDescent="0.25">
      <c r="G80">
        <v>2</v>
      </c>
      <c r="H80">
        <f t="shared" si="2"/>
        <v>25.402868794068091</v>
      </c>
    </row>
    <row r="81" spans="7:8" x14ac:dyDescent="0.25">
      <c r="G81">
        <v>3</v>
      </c>
      <c r="H81">
        <f t="shared" si="2"/>
        <v>23.171164653078726</v>
      </c>
    </row>
    <row r="82" spans="7:8" x14ac:dyDescent="0.25">
      <c r="G82">
        <v>4</v>
      </c>
      <c r="H82">
        <f t="shared" si="2"/>
        <v>15.752399856397295</v>
      </c>
    </row>
    <row r="83" spans="7:8" x14ac:dyDescent="0.25">
      <c r="G83">
        <v>5</v>
      </c>
      <c r="H83">
        <f t="shared" si="2"/>
        <v>23.30765817754359</v>
      </c>
    </row>
    <row r="84" spans="7:8" x14ac:dyDescent="0.25">
      <c r="H84" t="s">
        <v>2319</v>
      </c>
    </row>
    <row r="85" spans="7:8" x14ac:dyDescent="0.25">
      <c r="G85">
        <v>1</v>
      </c>
      <c r="H85">
        <f>AVERAGEIF($E$2:$E$72,G85,$G$2:$G$72)</f>
        <v>61.874702031293076</v>
      </c>
    </row>
    <row r="86" spans="7:8" x14ac:dyDescent="0.25">
      <c r="G86">
        <v>2</v>
      </c>
      <c r="H86">
        <f t="shared" ref="H86:H89" si="3">AVERAGEIF($E$2:$E$72,G86,$G$2:$G$72)</f>
        <v>97.123890402550487</v>
      </c>
    </row>
    <row r="87" spans="7:8" x14ac:dyDescent="0.25">
      <c r="G87">
        <v>3</v>
      </c>
      <c r="H87">
        <f t="shared" si="3"/>
        <v>82.248480361182828</v>
      </c>
    </row>
    <row r="88" spans="7:8" x14ac:dyDescent="0.25">
      <c r="G88">
        <v>4</v>
      </c>
      <c r="H88">
        <f t="shared" si="3"/>
        <v>81.30104501535655</v>
      </c>
    </row>
    <row r="89" spans="7:8" x14ac:dyDescent="0.25">
      <c r="G89">
        <v>5</v>
      </c>
      <c r="H89">
        <f t="shared" si="3"/>
        <v>82.685597338001315</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L37"/>
  <sheetViews>
    <sheetView workbookViewId="0">
      <selection activeCell="F7" sqref="F7"/>
    </sheetView>
  </sheetViews>
  <sheetFormatPr defaultColWidth="9.140625" defaultRowHeight="12.75" x14ac:dyDescent="0.2"/>
  <cols>
    <col min="1" max="1" width="9.140625" style="181"/>
    <col min="2" max="2" width="18.5703125" style="181" customWidth="1"/>
    <col min="3" max="3" width="12.85546875" style="181" customWidth="1"/>
    <col min="4" max="4" width="13.42578125" style="181" bestFit="1" customWidth="1"/>
    <col min="5" max="5" width="16.42578125" style="181" bestFit="1" customWidth="1"/>
    <col min="6" max="6" width="23.42578125" style="181" customWidth="1"/>
    <col min="7" max="7" width="11" style="181" bestFit="1" customWidth="1"/>
    <col min="8" max="259" width="9.140625" style="181"/>
    <col min="260" max="260" width="13.42578125" style="181" bestFit="1" customWidth="1"/>
    <col min="261" max="261" width="16.42578125" style="181" bestFit="1" customWidth="1"/>
    <col min="262" max="262" width="23.42578125" style="181" customWidth="1"/>
    <col min="263" max="263" width="11" style="181" bestFit="1" customWidth="1"/>
    <col min="264" max="515" width="9.140625" style="181"/>
    <col min="516" max="516" width="13.42578125" style="181" bestFit="1" customWidth="1"/>
    <col min="517" max="517" width="16.42578125" style="181" bestFit="1" customWidth="1"/>
    <col min="518" max="518" width="23.42578125" style="181" customWidth="1"/>
    <col min="519" max="519" width="11" style="181" bestFit="1" customWidth="1"/>
    <col min="520" max="771" width="9.140625" style="181"/>
    <col min="772" max="772" width="13.42578125" style="181" bestFit="1" customWidth="1"/>
    <col min="773" max="773" width="16.42578125" style="181" bestFit="1" customWidth="1"/>
    <col min="774" max="774" width="23.42578125" style="181" customWidth="1"/>
    <col min="775" max="775" width="11" style="181" bestFit="1" customWidth="1"/>
    <col min="776" max="1027" width="9.140625" style="181"/>
    <col min="1028" max="1028" width="13.42578125" style="181" bestFit="1" customWidth="1"/>
    <col min="1029" max="1029" width="16.42578125" style="181" bestFit="1" customWidth="1"/>
    <col min="1030" max="1030" width="23.42578125" style="181" customWidth="1"/>
    <col min="1031" max="1031" width="11" style="181" bestFit="1" customWidth="1"/>
    <col min="1032" max="1283" width="9.140625" style="181"/>
    <col min="1284" max="1284" width="13.42578125" style="181" bestFit="1" customWidth="1"/>
    <col min="1285" max="1285" width="16.42578125" style="181" bestFit="1" customWidth="1"/>
    <col min="1286" max="1286" width="23.42578125" style="181" customWidth="1"/>
    <col min="1287" max="1287" width="11" style="181" bestFit="1" customWidth="1"/>
    <col min="1288" max="1539" width="9.140625" style="181"/>
    <col min="1540" max="1540" width="13.42578125" style="181" bestFit="1" customWidth="1"/>
    <col min="1541" max="1541" width="16.42578125" style="181" bestFit="1" customWidth="1"/>
    <col min="1542" max="1542" width="23.42578125" style="181" customWidth="1"/>
    <col min="1543" max="1543" width="11" style="181" bestFit="1" customWidth="1"/>
    <col min="1544" max="1795" width="9.140625" style="181"/>
    <col min="1796" max="1796" width="13.42578125" style="181" bestFit="1" customWidth="1"/>
    <col min="1797" max="1797" width="16.42578125" style="181" bestFit="1" customWidth="1"/>
    <col min="1798" max="1798" width="23.42578125" style="181" customWidth="1"/>
    <col min="1799" max="1799" width="11" style="181" bestFit="1" customWidth="1"/>
    <col min="1800" max="2051" width="9.140625" style="181"/>
    <col min="2052" max="2052" width="13.42578125" style="181" bestFit="1" customWidth="1"/>
    <col min="2053" max="2053" width="16.42578125" style="181" bestFit="1" customWidth="1"/>
    <col min="2054" max="2054" width="23.42578125" style="181" customWidth="1"/>
    <col min="2055" max="2055" width="11" style="181" bestFit="1" customWidth="1"/>
    <col min="2056" max="2307" width="9.140625" style="181"/>
    <col min="2308" max="2308" width="13.42578125" style="181" bestFit="1" customWidth="1"/>
    <col min="2309" max="2309" width="16.42578125" style="181" bestFit="1" customWidth="1"/>
    <col min="2310" max="2310" width="23.42578125" style="181" customWidth="1"/>
    <col min="2311" max="2311" width="11" style="181" bestFit="1" customWidth="1"/>
    <col min="2312" max="2563" width="9.140625" style="181"/>
    <col min="2564" max="2564" width="13.42578125" style="181" bestFit="1" customWidth="1"/>
    <col min="2565" max="2565" width="16.42578125" style="181" bestFit="1" customWidth="1"/>
    <col min="2566" max="2566" width="23.42578125" style="181" customWidth="1"/>
    <col min="2567" max="2567" width="11" style="181" bestFit="1" customWidth="1"/>
    <col min="2568" max="2819" width="9.140625" style="181"/>
    <col min="2820" max="2820" width="13.42578125" style="181" bestFit="1" customWidth="1"/>
    <col min="2821" max="2821" width="16.42578125" style="181" bestFit="1" customWidth="1"/>
    <col min="2822" max="2822" width="23.42578125" style="181" customWidth="1"/>
    <col min="2823" max="2823" width="11" style="181" bestFit="1" customWidth="1"/>
    <col min="2824" max="3075" width="9.140625" style="181"/>
    <col min="3076" max="3076" width="13.42578125" style="181" bestFit="1" customWidth="1"/>
    <col min="3077" max="3077" width="16.42578125" style="181" bestFit="1" customWidth="1"/>
    <col min="3078" max="3078" width="23.42578125" style="181" customWidth="1"/>
    <col min="3079" max="3079" width="11" style="181" bestFit="1" customWidth="1"/>
    <col min="3080" max="3331" width="9.140625" style="181"/>
    <col min="3332" max="3332" width="13.42578125" style="181" bestFit="1" customWidth="1"/>
    <col min="3333" max="3333" width="16.42578125" style="181" bestFit="1" customWidth="1"/>
    <col min="3334" max="3334" width="23.42578125" style="181" customWidth="1"/>
    <col min="3335" max="3335" width="11" style="181" bestFit="1" customWidth="1"/>
    <col min="3336" max="3587" width="9.140625" style="181"/>
    <col min="3588" max="3588" width="13.42578125" style="181" bestFit="1" customWidth="1"/>
    <col min="3589" max="3589" width="16.42578125" style="181" bestFit="1" customWidth="1"/>
    <col min="3590" max="3590" width="23.42578125" style="181" customWidth="1"/>
    <col min="3591" max="3591" width="11" style="181" bestFit="1" customWidth="1"/>
    <col min="3592" max="3843" width="9.140625" style="181"/>
    <col min="3844" max="3844" width="13.42578125" style="181" bestFit="1" customWidth="1"/>
    <col min="3845" max="3845" width="16.42578125" style="181" bestFit="1" customWidth="1"/>
    <col min="3846" max="3846" width="23.42578125" style="181" customWidth="1"/>
    <col min="3847" max="3847" width="11" style="181" bestFit="1" customWidth="1"/>
    <col min="3848" max="4099" width="9.140625" style="181"/>
    <col min="4100" max="4100" width="13.42578125" style="181" bestFit="1" customWidth="1"/>
    <col min="4101" max="4101" width="16.42578125" style="181" bestFit="1" customWidth="1"/>
    <col min="4102" max="4102" width="23.42578125" style="181" customWidth="1"/>
    <col min="4103" max="4103" width="11" style="181" bestFit="1" customWidth="1"/>
    <col min="4104" max="4355" width="9.140625" style="181"/>
    <col min="4356" max="4356" width="13.42578125" style="181" bestFit="1" customWidth="1"/>
    <col min="4357" max="4357" width="16.42578125" style="181" bestFit="1" customWidth="1"/>
    <col min="4358" max="4358" width="23.42578125" style="181" customWidth="1"/>
    <col min="4359" max="4359" width="11" style="181" bestFit="1" customWidth="1"/>
    <col min="4360" max="4611" width="9.140625" style="181"/>
    <col min="4612" max="4612" width="13.42578125" style="181" bestFit="1" customWidth="1"/>
    <col min="4613" max="4613" width="16.42578125" style="181" bestFit="1" customWidth="1"/>
    <col min="4614" max="4614" width="23.42578125" style="181" customWidth="1"/>
    <col min="4615" max="4615" width="11" style="181" bestFit="1" customWidth="1"/>
    <col min="4616" max="4867" width="9.140625" style="181"/>
    <col min="4868" max="4868" width="13.42578125" style="181" bestFit="1" customWidth="1"/>
    <col min="4869" max="4869" width="16.42578125" style="181" bestFit="1" customWidth="1"/>
    <col min="4870" max="4870" width="23.42578125" style="181" customWidth="1"/>
    <col min="4871" max="4871" width="11" style="181" bestFit="1" customWidth="1"/>
    <col min="4872" max="5123" width="9.140625" style="181"/>
    <col min="5124" max="5124" width="13.42578125" style="181" bestFit="1" customWidth="1"/>
    <col min="5125" max="5125" width="16.42578125" style="181" bestFit="1" customWidth="1"/>
    <col min="5126" max="5126" width="23.42578125" style="181" customWidth="1"/>
    <col min="5127" max="5127" width="11" style="181" bestFit="1" customWidth="1"/>
    <col min="5128" max="5379" width="9.140625" style="181"/>
    <col min="5380" max="5380" width="13.42578125" style="181" bestFit="1" customWidth="1"/>
    <col min="5381" max="5381" width="16.42578125" style="181" bestFit="1" customWidth="1"/>
    <col min="5382" max="5382" width="23.42578125" style="181" customWidth="1"/>
    <col min="5383" max="5383" width="11" style="181" bestFit="1" customWidth="1"/>
    <col min="5384" max="5635" width="9.140625" style="181"/>
    <col min="5636" max="5636" width="13.42578125" style="181" bestFit="1" customWidth="1"/>
    <col min="5637" max="5637" width="16.42578125" style="181" bestFit="1" customWidth="1"/>
    <col min="5638" max="5638" width="23.42578125" style="181" customWidth="1"/>
    <col min="5639" max="5639" width="11" style="181" bestFit="1" customWidth="1"/>
    <col min="5640" max="5891" width="9.140625" style="181"/>
    <col min="5892" max="5892" width="13.42578125" style="181" bestFit="1" customWidth="1"/>
    <col min="5893" max="5893" width="16.42578125" style="181" bestFit="1" customWidth="1"/>
    <col min="5894" max="5894" width="23.42578125" style="181" customWidth="1"/>
    <col min="5895" max="5895" width="11" style="181" bestFit="1" customWidth="1"/>
    <col min="5896" max="6147" width="9.140625" style="181"/>
    <col min="6148" max="6148" width="13.42578125" style="181" bestFit="1" customWidth="1"/>
    <col min="6149" max="6149" width="16.42578125" style="181" bestFit="1" customWidth="1"/>
    <col min="6150" max="6150" width="23.42578125" style="181" customWidth="1"/>
    <col min="6151" max="6151" width="11" style="181" bestFit="1" customWidth="1"/>
    <col min="6152" max="6403" width="9.140625" style="181"/>
    <col min="6404" max="6404" width="13.42578125" style="181" bestFit="1" customWidth="1"/>
    <col min="6405" max="6405" width="16.42578125" style="181" bestFit="1" customWidth="1"/>
    <col min="6406" max="6406" width="23.42578125" style="181" customWidth="1"/>
    <col min="6407" max="6407" width="11" style="181" bestFit="1" customWidth="1"/>
    <col min="6408" max="6659" width="9.140625" style="181"/>
    <col min="6660" max="6660" width="13.42578125" style="181" bestFit="1" customWidth="1"/>
    <col min="6661" max="6661" width="16.42578125" style="181" bestFit="1" customWidth="1"/>
    <col min="6662" max="6662" width="23.42578125" style="181" customWidth="1"/>
    <col min="6663" max="6663" width="11" style="181" bestFit="1" customWidth="1"/>
    <col min="6664" max="6915" width="9.140625" style="181"/>
    <col min="6916" max="6916" width="13.42578125" style="181" bestFit="1" customWidth="1"/>
    <col min="6917" max="6917" width="16.42578125" style="181" bestFit="1" customWidth="1"/>
    <col min="6918" max="6918" width="23.42578125" style="181" customWidth="1"/>
    <col min="6919" max="6919" width="11" style="181" bestFit="1" customWidth="1"/>
    <col min="6920" max="7171" width="9.140625" style="181"/>
    <col min="7172" max="7172" width="13.42578125" style="181" bestFit="1" customWidth="1"/>
    <col min="7173" max="7173" width="16.42578125" style="181" bestFit="1" customWidth="1"/>
    <col min="7174" max="7174" width="23.42578125" style="181" customWidth="1"/>
    <col min="7175" max="7175" width="11" style="181" bestFit="1" customWidth="1"/>
    <col min="7176" max="7427" width="9.140625" style="181"/>
    <col min="7428" max="7428" width="13.42578125" style="181" bestFit="1" customWidth="1"/>
    <col min="7429" max="7429" width="16.42578125" style="181" bestFit="1" customWidth="1"/>
    <col min="7430" max="7430" width="23.42578125" style="181" customWidth="1"/>
    <col min="7431" max="7431" width="11" style="181" bestFit="1" customWidth="1"/>
    <col min="7432" max="7683" width="9.140625" style="181"/>
    <col min="7684" max="7684" width="13.42578125" style="181" bestFit="1" customWidth="1"/>
    <col min="7685" max="7685" width="16.42578125" style="181" bestFit="1" customWidth="1"/>
    <col min="7686" max="7686" width="23.42578125" style="181" customWidth="1"/>
    <col min="7687" max="7687" width="11" style="181" bestFit="1" customWidth="1"/>
    <col min="7688" max="7939" width="9.140625" style="181"/>
    <col min="7940" max="7940" width="13.42578125" style="181" bestFit="1" customWidth="1"/>
    <col min="7941" max="7941" width="16.42578125" style="181" bestFit="1" customWidth="1"/>
    <col min="7942" max="7942" width="23.42578125" style="181" customWidth="1"/>
    <col min="7943" max="7943" width="11" style="181" bestFit="1" customWidth="1"/>
    <col min="7944" max="8195" width="9.140625" style="181"/>
    <col min="8196" max="8196" width="13.42578125" style="181" bestFit="1" customWidth="1"/>
    <col min="8197" max="8197" width="16.42578125" style="181" bestFit="1" customWidth="1"/>
    <col min="8198" max="8198" width="23.42578125" style="181" customWidth="1"/>
    <col min="8199" max="8199" width="11" style="181" bestFit="1" customWidth="1"/>
    <col min="8200" max="8451" width="9.140625" style="181"/>
    <col min="8452" max="8452" width="13.42578125" style="181" bestFit="1" customWidth="1"/>
    <col min="8453" max="8453" width="16.42578125" style="181" bestFit="1" customWidth="1"/>
    <col min="8454" max="8454" width="23.42578125" style="181" customWidth="1"/>
    <col min="8455" max="8455" width="11" style="181" bestFit="1" customWidth="1"/>
    <col min="8456" max="8707" width="9.140625" style="181"/>
    <col min="8708" max="8708" width="13.42578125" style="181" bestFit="1" customWidth="1"/>
    <col min="8709" max="8709" width="16.42578125" style="181" bestFit="1" customWidth="1"/>
    <col min="8710" max="8710" width="23.42578125" style="181" customWidth="1"/>
    <col min="8711" max="8711" width="11" style="181" bestFit="1" customWidth="1"/>
    <col min="8712" max="8963" width="9.140625" style="181"/>
    <col min="8964" max="8964" width="13.42578125" style="181" bestFit="1" customWidth="1"/>
    <col min="8965" max="8965" width="16.42578125" style="181" bestFit="1" customWidth="1"/>
    <col min="8966" max="8966" width="23.42578125" style="181" customWidth="1"/>
    <col min="8967" max="8967" width="11" style="181" bestFit="1" customWidth="1"/>
    <col min="8968" max="9219" width="9.140625" style="181"/>
    <col min="9220" max="9220" width="13.42578125" style="181" bestFit="1" customWidth="1"/>
    <col min="9221" max="9221" width="16.42578125" style="181" bestFit="1" customWidth="1"/>
    <col min="9222" max="9222" width="23.42578125" style="181" customWidth="1"/>
    <col min="9223" max="9223" width="11" style="181" bestFit="1" customWidth="1"/>
    <col min="9224" max="9475" width="9.140625" style="181"/>
    <col min="9476" max="9476" width="13.42578125" style="181" bestFit="1" customWidth="1"/>
    <col min="9477" max="9477" width="16.42578125" style="181" bestFit="1" customWidth="1"/>
    <col min="9478" max="9478" width="23.42578125" style="181" customWidth="1"/>
    <col min="9479" max="9479" width="11" style="181" bestFit="1" customWidth="1"/>
    <col min="9480" max="9731" width="9.140625" style="181"/>
    <col min="9732" max="9732" width="13.42578125" style="181" bestFit="1" customWidth="1"/>
    <col min="9733" max="9733" width="16.42578125" style="181" bestFit="1" customWidth="1"/>
    <col min="9734" max="9734" width="23.42578125" style="181" customWidth="1"/>
    <col min="9735" max="9735" width="11" style="181" bestFit="1" customWidth="1"/>
    <col min="9736" max="9987" width="9.140625" style="181"/>
    <col min="9988" max="9988" width="13.42578125" style="181" bestFit="1" customWidth="1"/>
    <col min="9989" max="9989" width="16.42578125" style="181" bestFit="1" customWidth="1"/>
    <col min="9990" max="9990" width="23.42578125" style="181" customWidth="1"/>
    <col min="9991" max="9991" width="11" style="181" bestFit="1" customWidth="1"/>
    <col min="9992" max="10243" width="9.140625" style="181"/>
    <col min="10244" max="10244" width="13.42578125" style="181" bestFit="1" customWidth="1"/>
    <col min="10245" max="10245" width="16.42578125" style="181" bestFit="1" customWidth="1"/>
    <col min="10246" max="10246" width="23.42578125" style="181" customWidth="1"/>
    <col min="10247" max="10247" width="11" style="181" bestFit="1" customWidth="1"/>
    <col min="10248" max="10499" width="9.140625" style="181"/>
    <col min="10500" max="10500" width="13.42578125" style="181" bestFit="1" customWidth="1"/>
    <col min="10501" max="10501" width="16.42578125" style="181" bestFit="1" customWidth="1"/>
    <col min="10502" max="10502" width="23.42578125" style="181" customWidth="1"/>
    <col min="10503" max="10503" width="11" style="181" bestFit="1" customWidth="1"/>
    <col min="10504" max="10755" width="9.140625" style="181"/>
    <col min="10756" max="10756" width="13.42578125" style="181" bestFit="1" customWidth="1"/>
    <col min="10757" max="10757" width="16.42578125" style="181" bestFit="1" customWidth="1"/>
    <col min="10758" max="10758" width="23.42578125" style="181" customWidth="1"/>
    <col min="10759" max="10759" width="11" style="181" bestFit="1" customWidth="1"/>
    <col min="10760" max="11011" width="9.140625" style="181"/>
    <col min="11012" max="11012" width="13.42578125" style="181" bestFit="1" customWidth="1"/>
    <col min="11013" max="11013" width="16.42578125" style="181" bestFit="1" customWidth="1"/>
    <col min="11014" max="11014" width="23.42578125" style="181" customWidth="1"/>
    <col min="11015" max="11015" width="11" style="181" bestFit="1" customWidth="1"/>
    <col min="11016" max="11267" width="9.140625" style="181"/>
    <col min="11268" max="11268" width="13.42578125" style="181" bestFit="1" customWidth="1"/>
    <col min="11269" max="11269" width="16.42578125" style="181" bestFit="1" customWidth="1"/>
    <col min="11270" max="11270" width="23.42578125" style="181" customWidth="1"/>
    <col min="11271" max="11271" width="11" style="181" bestFit="1" customWidth="1"/>
    <col min="11272" max="11523" width="9.140625" style="181"/>
    <col min="11524" max="11524" width="13.42578125" style="181" bestFit="1" customWidth="1"/>
    <col min="11525" max="11525" width="16.42578125" style="181" bestFit="1" customWidth="1"/>
    <col min="11526" max="11526" width="23.42578125" style="181" customWidth="1"/>
    <col min="11527" max="11527" width="11" style="181" bestFit="1" customWidth="1"/>
    <col min="11528" max="11779" width="9.140625" style="181"/>
    <col min="11780" max="11780" width="13.42578125" style="181" bestFit="1" customWidth="1"/>
    <col min="11781" max="11781" width="16.42578125" style="181" bestFit="1" customWidth="1"/>
    <col min="11782" max="11782" width="23.42578125" style="181" customWidth="1"/>
    <col min="11783" max="11783" width="11" style="181" bestFit="1" customWidth="1"/>
    <col min="11784" max="12035" width="9.140625" style="181"/>
    <col min="12036" max="12036" width="13.42578125" style="181" bestFit="1" customWidth="1"/>
    <col min="12037" max="12037" width="16.42578125" style="181" bestFit="1" customWidth="1"/>
    <col min="12038" max="12038" width="23.42578125" style="181" customWidth="1"/>
    <col min="12039" max="12039" width="11" style="181" bestFit="1" customWidth="1"/>
    <col min="12040" max="12291" width="9.140625" style="181"/>
    <col min="12292" max="12292" width="13.42578125" style="181" bestFit="1" customWidth="1"/>
    <col min="12293" max="12293" width="16.42578125" style="181" bestFit="1" customWidth="1"/>
    <col min="12294" max="12294" width="23.42578125" style="181" customWidth="1"/>
    <col min="12295" max="12295" width="11" style="181" bestFit="1" customWidth="1"/>
    <col min="12296" max="12547" width="9.140625" style="181"/>
    <col min="12548" max="12548" width="13.42578125" style="181" bestFit="1" customWidth="1"/>
    <col min="12549" max="12549" width="16.42578125" style="181" bestFit="1" customWidth="1"/>
    <col min="12550" max="12550" width="23.42578125" style="181" customWidth="1"/>
    <col min="12551" max="12551" width="11" style="181" bestFit="1" customWidth="1"/>
    <col min="12552" max="12803" width="9.140625" style="181"/>
    <col min="12804" max="12804" width="13.42578125" style="181" bestFit="1" customWidth="1"/>
    <col min="12805" max="12805" width="16.42578125" style="181" bestFit="1" customWidth="1"/>
    <col min="12806" max="12806" width="23.42578125" style="181" customWidth="1"/>
    <col min="12807" max="12807" width="11" style="181" bestFit="1" customWidth="1"/>
    <col min="12808" max="13059" width="9.140625" style="181"/>
    <col min="13060" max="13060" width="13.42578125" style="181" bestFit="1" customWidth="1"/>
    <col min="13061" max="13061" width="16.42578125" style="181" bestFit="1" customWidth="1"/>
    <col min="13062" max="13062" width="23.42578125" style="181" customWidth="1"/>
    <col min="13063" max="13063" width="11" style="181" bestFit="1" customWidth="1"/>
    <col min="13064" max="13315" width="9.140625" style="181"/>
    <col min="13316" max="13316" width="13.42578125" style="181" bestFit="1" customWidth="1"/>
    <col min="13317" max="13317" width="16.42578125" style="181" bestFit="1" customWidth="1"/>
    <col min="13318" max="13318" width="23.42578125" style="181" customWidth="1"/>
    <col min="13319" max="13319" width="11" style="181" bestFit="1" customWidth="1"/>
    <col min="13320" max="13571" width="9.140625" style="181"/>
    <col min="13572" max="13572" width="13.42578125" style="181" bestFit="1" customWidth="1"/>
    <col min="13573" max="13573" width="16.42578125" style="181" bestFit="1" customWidth="1"/>
    <col min="13574" max="13574" width="23.42578125" style="181" customWidth="1"/>
    <col min="13575" max="13575" width="11" style="181" bestFit="1" customWidth="1"/>
    <col min="13576" max="13827" width="9.140625" style="181"/>
    <col min="13828" max="13828" width="13.42578125" style="181" bestFit="1" customWidth="1"/>
    <col min="13829" max="13829" width="16.42578125" style="181" bestFit="1" customWidth="1"/>
    <col min="13830" max="13830" width="23.42578125" style="181" customWidth="1"/>
    <col min="13831" max="13831" width="11" style="181" bestFit="1" customWidth="1"/>
    <col min="13832" max="14083" width="9.140625" style="181"/>
    <col min="14084" max="14084" width="13.42578125" style="181" bestFit="1" customWidth="1"/>
    <col min="14085" max="14085" width="16.42578125" style="181" bestFit="1" customWidth="1"/>
    <col min="14086" max="14086" width="23.42578125" style="181" customWidth="1"/>
    <col min="14087" max="14087" width="11" style="181" bestFit="1" customWidth="1"/>
    <col min="14088" max="14339" width="9.140625" style="181"/>
    <col min="14340" max="14340" width="13.42578125" style="181" bestFit="1" customWidth="1"/>
    <col min="14341" max="14341" width="16.42578125" style="181" bestFit="1" customWidth="1"/>
    <col min="14342" max="14342" width="23.42578125" style="181" customWidth="1"/>
    <col min="14343" max="14343" width="11" style="181" bestFit="1" customWidth="1"/>
    <col min="14344" max="14595" width="9.140625" style="181"/>
    <col min="14596" max="14596" width="13.42578125" style="181" bestFit="1" customWidth="1"/>
    <col min="14597" max="14597" width="16.42578125" style="181" bestFit="1" customWidth="1"/>
    <col min="14598" max="14598" width="23.42578125" style="181" customWidth="1"/>
    <col min="14599" max="14599" width="11" style="181" bestFit="1" customWidth="1"/>
    <col min="14600" max="14851" width="9.140625" style="181"/>
    <col min="14852" max="14852" width="13.42578125" style="181" bestFit="1" customWidth="1"/>
    <col min="14853" max="14853" width="16.42578125" style="181" bestFit="1" customWidth="1"/>
    <col min="14854" max="14854" width="23.42578125" style="181" customWidth="1"/>
    <col min="14855" max="14855" width="11" style="181" bestFit="1" customWidth="1"/>
    <col min="14856" max="15107" width="9.140625" style="181"/>
    <col min="15108" max="15108" width="13.42578125" style="181" bestFit="1" customWidth="1"/>
    <col min="15109" max="15109" width="16.42578125" style="181" bestFit="1" customWidth="1"/>
    <col min="15110" max="15110" width="23.42578125" style="181" customWidth="1"/>
    <col min="15111" max="15111" width="11" style="181" bestFit="1" customWidth="1"/>
    <col min="15112" max="15363" width="9.140625" style="181"/>
    <col min="15364" max="15364" width="13.42578125" style="181" bestFit="1" customWidth="1"/>
    <col min="15365" max="15365" width="16.42578125" style="181" bestFit="1" customWidth="1"/>
    <col min="15366" max="15366" width="23.42578125" style="181" customWidth="1"/>
    <col min="15367" max="15367" width="11" style="181" bestFit="1" customWidth="1"/>
    <col min="15368" max="15619" width="9.140625" style="181"/>
    <col min="15620" max="15620" width="13.42578125" style="181" bestFit="1" customWidth="1"/>
    <col min="15621" max="15621" width="16.42578125" style="181" bestFit="1" customWidth="1"/>
    <col min="15622" max="15622" width="23.42578125" style="181" customWidth="1"/>
    <col min="15623" max="15623" width="11" style="181" bestFit="1" customWidth="1"/>
    <col min="15624" max="15875" width="9.140625" style="181"/>
    <col min="15876" max="15876" width="13.42578125" style="181" bestFit="1" customWidth="1"/>
    <col min="15877" max="15877" width="16.42578125" style="181" bestFit="1" customWidth="1"/>
    <col min="15878" max="15878" width="23.42578125" style="181" customWidth="1"/>
    <col min="15879" max="15879" width="11" style="181" bestFit="1" customWidth="1"/>
    <col min="15880" max="16131" width="9.140625" style="181"/>
    <col min="16132" max="16132" width="13.42578125" style="181" bestFit="1" customWidth="1"/>
    <col min="16133" max="16133" width="16.42578125" style="181" bestFit="1" customWidth="1"/>
    <col min="16134" max="16134" width="23.42578125" style="181" customWidth="1"/>
    <col min="16135" max="16135" width="11" style="181" bestFit="1" customWidth="1"/>
    <col min="16136" max="16384" width="9.140625" style="181"/>
  </cols>
  <sheetData>
    <row r="1" spans="1:38" ht="20.25" x14ac:dyDescent="0.3">
      <c r="A1" s="310" t="s">
        <v>19</v>
      </c>
      <c r="B1" s="183"/>
      <c r="C1" s="182"/>
      <c r="D1" s="183"/>
      <c r="E1" s="182"/>
      <c r="F1" s="182"/>
      <c r="G1" s="182"/>
      <c r="I1" s="196"/>
      <c r="J1" s="196"/>
      <c r="K1" s="196"/>
      <c r="L1" s="196"/>
      <c r="M1" s="196"/>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row>
    <row r="2" spans="1:38" x14ac:dyDescent="0.2">
      <c r="A2" s="196"/>
      <c r="B2" s="497"/>
      <c r="C2" s="497"/>
      <c r="D2" s="497"/>
      <c r="E2" s="497"/>
      <c r="F2" s="184"/>
      <c r="G2" s="196"/>
      <c r="H2" s="196"/>
      <c r="I2" s="196"/>
      <c r="J2" s="196"/>
      <c r="K2" s="196"/>
      <c r="L2" s="196"/>
      <c r="M2" s="196"/>
      <c r="N2" s="196"/>
      <c r="O2" s="196"/>
      <c r="P2" s="196"/>
      <c r="Q2" s="196"/>
      <c r="R2" s="196"/>
      <c r="S2" s="196"/>
      <c r="T2" s="196"/>
      <c r="U2" s="196"/>
      <c r="V2" s="196"/>
      <c r="W2" s="196"/>
      <c r="X2" s="196"/>
      <c r="Y2" s="196"/>
      <c r="Z2" s="196"/>
      <c r="AA2" s="196"/>
      <c r="AB2" s="196"/>
      <c r="AC2" s="196"/>
      <c r="AD2" s="196"/>
      <c r="AE2" s="196"/>
      <c r="AF2" s="196"/>
      <c r="AG2" s="196"/>
      <c r="AH2" s="196"/>
      <c r="AI2" s="196"/>
      <c r="AJ2" s="196"/>
      <c r="AK2" s="196"/>
      <c r="AL2" s="196"/>
    </row>
    <row r="3" spans="1:38" x14ac:dyDescent="0.2">
      <c r="A3" s="196"/>
      <c r="B3" s="498" t="s">
        <v>219</v>
      </c>
      <c r="C3" s="498"/>
      <c r="D3" s="498"/>
      <c r="E3" s="498"/>
      <c r="F3" s="185" t="s">
        <v>63</v>
      </c>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row>
    <row r="4" spans="1:38" x14ac:dyDescent="0.2">
      <c r="A4" s="196"/>
      <c r="B4" s="196">
        <v>1</v>
      </c>
      <c r="C4" s="196" t="s">
        <v>1001</v>
      </c>
      <c r="D4" s="181">
        <f>0.0547*1000*1130/1000000</f>
        <v>6.1810999999999991E-2</v>
      </c>
      <c r="E4" s="196" t="s">
        <v>992</v>
      </c>
      <c r="F4" s="196" t="s">
        <v>1062</v>
      </c>
      <c r="G4" s="196"/>
      <c r="H4" s="196"/>
      <c r="I4" s="196"/>
      <c r="J4" s="196"/>
      <c r="K4" s="196"/>
      <c r="L4" s="196"/>
      <c r="M4" s="196"/>
      <c r="N4" s="196"/>
      <c r="O4" s="196"/>
      <c r="P4" s="196"/>
      <c r="Q4" s="196"/>
      <c r="R4" s="196"/>
      <c r="S4" s="196"/>
      <c r="T4" s="196"/>
      <c r="U4" s="196"/>
      <c r="V4" s="196"/>
      <c r="W4" s="196"/>
      <c r="X4" s="196"/>
      <c r="Y4" s="196"/>
      <c r="Z4" s="196"/>
      <c r="AA4" s="196"/>
      <c r="AB4" s="196"/>
      <c r="AC4" s="196"/>
      <c r="AD4" s="196"/>
      <c r="AE4" s="196"/>
      <c r="AF4" s="196"/>
      <c r="AG4" s="196"/>
      <c r="AH4" s="196"/>
      <c r="AI4" s="196"/>
      <c r="AJ4" s="196"/>
      <c r="AK4" s="196"/>
      <c r="AL4" s="196"/>
    </row>
    <row r="5" spans="1:38" x14ac:dyDescent="0.2">
      <c r="A5" s="196"/>
      <c r="B5" s="186">
        <v>1</v>
      </c>
      <c r="C5" s="196" t="s">
        <v>1001</v>
      </c>
      <c r="D5" s="312">
        <f>0.000000095*1000*1130/1000000</f>
        <v>1.0735000000000001E-7</v>
      </c>
      <c r="E5" s="181" t="s">
        <v>1000</v>
      </c>
      <c r="F5" s="181" t="s">
        <v>1063</v>
      </c>
      <c r="I5" s="196"/>
      <c r="J5" s="196"/>
      <c r="K5" s="196"/>
      <c r="L5" s="196"/>
      <c r="M5" s="196"/>
      <c r="N5" s="196"/>
      <c r="O5" s="196"/>
      <c r="P5" s="196"/>
      <c r="Q5" s="196"/>
      <c r="R5" s="196"/>
      <c r="S5" s="196"/>
      <c r="T5" s="196"/>
      <c r="U5" s="196"/>
      <c r="V5" s="196"/>
      <c r="W5" s="196"/>
      <c r="X5" s="196"/>
      <c r="Y5" s="196"/>
      <c r="Z5" s="196"/>
      <c r="AA5" s="196"/>
      <c r="AB5" s="196"/>
      <c r="AC5" s="196"/>
      <c r="AD5" s="196"/>
      <c r="AE5" s="196"/>
      <c r="AF5" s="196"/>
      <c r="AG5" s="196"/>
      <c r="AH5" s="196"/>
      <c r="AI5" s="196"/>
      <c r="AJ5" s="196"/>
      <c r="AK5" s="196"/>
      <c r="AL5" s="196"/>
    </row>
    <row r="6" spans="1:38" x14ac:dyDescent="0.2">
      <c r="A6" s="196"/>
      <c r="B6" s="187">
        <v>1</v>
      </c>
      <c r="C6" s="181" t="s">
        <v>2307</v>
      </c>
      <c r="D6" s="181">
        <f>CONVERT(1,"gal","l")</f>
        <v>3.7854117839999999</v>
      </c>
      <c r="E6" s="181" t="s">
        <v>2308</v>
      </c>
      <c r="I6" s="196"/>
      <c r="J6" s="196"/>
      <c r="K6" s="196"/>
      <c r="L6" s="196"/>
      <c r="M6" s="196"/>
      <c r="N6" s="196"/>
      <c r="O6" s="196"/>
      <c r="P6" s="196"/>
      <c r="Q6" s="196"/>
      <c r="R6" s="196"/>
      <c r="S6" s="196"/>
      <c r="T6" s="196"/>
      <c r="U6" s="196"/>
      <c r="V6" s="196"/>
      <c r="W6" s="196"/>
      <c r="X6" s="196"/>
      <c r="Y6" s="196"/>
      <c r="Z6" s="196"/>
      <c r="AA6" s="196"/>
      <c r="AB6" s="196"/>
      <c r="AC6" s="196"/>
      <c r="AD6" s="196"/>
      <c r="AE6" s="196"/>
      <c r="AF6" s="196"/>
      <c r="AG6" s="196"/>
      <c r="AH6" s="196"/>
      <c r="AI6" s="196"/>
      <c r="AJ6" s="196"/>
      <c r="AK6" s="196"/>
      <c r="AL6" s="196"/>
    </row>
    <row r="7" spans="1:38" x14ac:dyDescent="0.2">
      <c r="A7" s="196"/>
      <c r="B7" s="186">
        <v>1</v>
      </c>
      <c r="C7" s="181" t="s">
        <v>2309</v>
      </c>
      <c r="D7" s="181">
        <v>1</v>
      </c>
      <c r="E7" s="181" t="s">
        <v>2310</v>
      </c>
      <c r="I7" s="196"/>
      <c r="J7" s="196"/>
      <c r="K7" s="196"/>
      <c r="L7" s="196"/>
      <c r="M7" s="196"/>
      <c r="N7" s="196"/>
      <c r="O7" s="196"/>
      <c r="P7" s="196"/>
      <c r="Q7" s="196"/>
      <c r="R7" s="196"/>
      <c r="S7" s="196"/>
      <c r="T7" s="196"/>
      <c r="U7" s="196"/>
      <c r="V7" s="196"/>
      <c r="W7" s="196"/>
      <c r="X7" s="196"/>
      <c r="Y7" s="196"/>
      <c r="Z7" s="196"/>
      <c r="AA7" s="196"/>
      <c r="AB7" s="196"/>
      <c r="AC7" s="196"/>
      <c r="AD7" s="196"/>
      <c r="AE7" s="196"/>
      <c r="AF7" s="196"/>
      <c r="AG7" s="196"/>
      <c r="AH7" s="196"/>
      <c r="AI7" s="196"/>
      <c r="AJ7" s="196"/>
      <c r="AK7" s="196"/>
      <c r="AL7" s="196"/>
    </row>
    <row r="8" spans="1:38" x14ac:dyDescent="0.2">
      <c r="A8" s="196"/>
      <c r="B8" s="187"/>
      <c r="I8" s="196"/>
      <c r="J8" s="196"/>
      <c r="K8" s="196"/>
      <c r="L8" s="196"/>
      <c r="M8" s="196"/>
      <c r="N8" s="196"/>
      <c r="O8" s="196"/>
      <c r="P8" s="196"/>
      <c r="Q8" s="196"/>
      <c r="R8" s="196"/>
      <c r="S8" s="196"/>
      <c r="T8" s="196"/>
      <c r="U8" s="196"/>
      <c r="V8" s="196"/>
      <c r="W8" s="196"/>
      <c r="X8" s="196"/>
      <c r="Y8" s="196"/>
      <c r="Z8" s="196"/>
      <c r="AA8" s="196"/>
      <c r="AB8" s="196"/>
      <c r="AC8" s="196"/>
      <c r="AD8" s="196"/>
      <c r="AE8" s="196"/>
      <c r="AF8" s="196"/>
      <c r="AG8" s="196"/>
      <c r="AH8" s="196"/>
      <c r="AI8" s="196"/>
      <c r="AJ8" s="196"/>
      <c r="AK8" s="196"/>
      <c r="AL8" s="196"/>
    </row>
    <row r="9" spans="1:38" x14ac:dyDescent="0.2">
      <c r="A9" s="196"/>
      <c r="B9" s="18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row>
    <row r="10" spans="1:38" x14ac:dyDescent="0.2">
      <c r="A10" s="196"/>
      <c r="B10" s="188"/>
      <c r="C10" s="196"/>
      <c r="D10" s="196"/>
      <c r="E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row>
    <row r="11" spans="1:38" x14ac:dyDescent="0.2">
      <c r="A11" s="196"/>
      <c r="B11" s="189"/>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c r="AK11" s="196"/>
      <c r="AL11" s="196"/>
    </row>
    <row r="12" spans="1:38" x14ac:dyDescent="0.2">
      <c r="A12" s="196"/>
      <c r="E12" s="196"/>
      <c r="F12" s="196"/>
      <c r="G12" s="196"/>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row>
    <row r="13" spans="1:38" x14ac:dyDescent="0.2">
      <c r="A13" s="196"/>
      <c r="E13" s="196"/>
      <c r="F13" s="196"/>
      <c r="G13" s="196"/>
      <c r="H13" s="196"/>
      <c r="I13" s="196"/>
      <c r="J13" s="196"/>
      <c r="K13" s="196"/>
      <c r="L13" s="196"/>
      <c r="M13" s="196"/>
      <c r="N13" s="196"/>
      <c r="O13" s="196"/>
      <c r="P13" s="196"/>
      <c r="Q13" s="196"/>
      <c r="R13" s="196"/>
      <c r="S13" s="196"/>
      <c r="T13" s="196"/>
      <c r="U13" s="196"/>
      <c r="V13" s="196"/>
      <c r="W13" s="196"/>
      <c r="X13" s="196"/>
      <c r="Y13" s="196"/>
      <c r="Z13" s="196"/>
      <c r="AA13" s="196"/>
      <c r="AB13" s="196"/>
      <c r="AC13" s="196"/>
      <c r="AD13" s="196"/>
      <c r="AE13" s="196"/>
      <c r="AF13" s="196"/>
      <c r="AG13" s="196"/>
      <c r="AH13" s="196"/>
    </row>
    <row r="14" spans="1:38" x14ac:dyDescent="0.2">
      <c r="A14" s="196"/>
      <c r="E14" s="196"/>
      <c r="F14" s="196"/>
      <c r="G14" s="196"/>
      <c r="H14" s="196"/>
      <c r="I14" s="196"/>
      <c r="J14" s="196"/>
      <c r="K14" s="196"/>
      <c r="L14" s="196"/>
      <c r="M14" s="196"/>
      <c r="N14" s="196"/>
      <c r="O14" s="196"/>
      <c r="P14" s="196"/>
      <c r="Q14" s="196"/>
      <c r="R14" s="196"/>
      <c r="S14" s="196"/>
      <c r="T14" s="196"/>
      <c r="U14" s="196"/>
      <c r="V14" s="196"/>
      <c r="W14" s="196"/>
      <c r="X14" s="196"/>
      <c r="Y14" s="196"/>
      <c r="Z14" s="196"/>
      <c r="AA14" s="196"/>
      <c r="AB14" s="196"/>
      <c r="AC14" s="196"/>
      <c r="AD14" s="196"/>
      <c r="AE14" s="196"/>
      <c r="AF14" s="196"/>
      <c r="AG14" s="196"/>
      <c r="AH14" s="196"/>
    </row>
    <row r="15" spans="1:38" x14ac:dyDescent="0.2">
      <c r="A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row>
    <row r="16" spans="1:38" x14ac:dyDescent="0.2">
      <c r="A16" s="196"/>
      <c r="E16" s="196"/>
      <c r="F16" s="196"/>
      <c r="G16" s="196"/>
      <c r="H16" s="196"/>
      <c r="I16" s="196"/>
      <c r="J16" s="196"/>
      <c r="K16" s="196"/>
      <c r="L16" s="196"/>
      <c r="M16" s="196"/>
      <c r="N16" s="196"/>
      <c r="O16" s="196"/>
      <c r="P16" s="196"/>
      <c r="Q16" s="196"/>
      <c r="R16" s="196"/>
      <c r="S16" s="196"/>
      <c r="T16" s="196"/>
      <c r="U16" s="196"/>
      <c r="V16" s="196"/>
      <c r="W16" s="196"/>
      <c r="X16" s="196"/>
      <c r="Y16" s="196"/>
      <c r="Z16" s="196"/>
      <c r="AA16" s="196"/>
      <c r="AB16" s="196"/>
      <c r="AC16" s="196"/>
      <c r="AD16" s="196"/>
      <c r="AE16" s="196"/>
      <c r="AF16" s="196"/>
      <c r="AG16" s="196"/>
      <c r="AH16" s="196"/>
    </row>
    <row r="17" spans="1:38" x14ac:dyDescent="0.2">
      <c r="A17" s="196"/>
      <c r="E17" s="196"/>
      <c r="F17" s="196"/>
      <c r="G17" s="196"/>
      <c r="H17" s="196"/>
      <c r="I17" s="196"/>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row>
    <row r="18" spans="1:38" x14ac:dyDescent="0.2">
      <c r="A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c r="AK18" s="196"/>
      <c r="AL18" s="196"/>
    </row>
    <row r="19" spans="1:38" x14ac:dyDescent="0.2">
      <c r="A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6"/>
      <c r="AH19" s="196"/>
      <c r="AI19" s="196"/>
      <c r="AJ19" s="196"/>
      <c r="AK19" s="196"/>
      <c r="AL19" s="196"/>
    </row>
    <row r="20" spans="1:38" x14ac:dyDescent="0.2">
      <c r="A20" s="196"/>
      <c r="I20" s="196"/>
      <c r="J20" s="196"/>
      <c r="K20" s="196"/>
      <c r="L20" s="196"/>
      <c r="M20" s="196"/>
      <c r="N20" s="196"/>
      <c r="O20" s="196"/>
      <c r="P20" s="196"/>
      <c r="Q20" s="196"/>
      <c r="R20" s="196"/>
      <c r="S20" s="196"/>
      <c r="T20" s="196"/>
      <c r="U20" s="196"/>
      <c r="V20" s="196"/>
      <c r="W20" s="196"/>
      <c r="X20" s="196"/>
      <c r="Y20" s="196"/>
      <c r="Z20" s="196"/>
      <c r="AA20" s="196"/>
      <c r="AB20" s="196"/>
      <c r="AC20" s="196"/>
      <c r="AD20" s="196"/>
      <c r="AE20" s="196"/>
      <c r="AF20" s="196"/>
      <c r="AG20" s="196"/>
      <c r="AH20" s="196"/>
      <c r="AI20" s="196"/>
      <c r="AJ20" s="196"/>
      <c r="AK20" s="196"/>
      <c r="AL20" s="196"/>
    </row>
    <row r="21" spans="1:38" x14ac:dyDescent="0.2">
      <c r="A21" s="196"/>
      <c r="I21" s="196"/>
      <c r="J21" s="196"/>
      <c r="K21" s="196"/>
      <c r="L21" s="196"/>
      <c r="M21" s="196"/>
      <c r="N21" s="196"/>
      <c r="O21" s="196"/>
      <c r="P21" s="196"/>
      <c r="Q21" s="196"/>
      <c r="R21" s="196"/>
      <c r="S21" s="196"/>
      <c r="T21" s="196"/>
      <c r="U21" s="196"/>
      <c r="V21" s="196"/>
      <c r="W21" s="196"/>
      <c r="X21" s="196"/>
      <c r="Y21" s="196"/>
      <c r="Z21" s="196"/>
      <c r="AA21" s="196"/>
      <c r="AB21" s="196"/>
      <c r="AC21" s="196"/>
      <c r="AD21" s="196"/>
      <c r="AE21" s="196"/>
      <c r="AF21" s="196"/>
      <c r="AG21" s="196"/>
      <c r="AH21" s="196"/>
      <c r="AI21" s="196"/>
      <c r="AJ21" s="196"/>
      <c r="AK21" s="196"/>
      <c r="AL21" s="196"/>
    </row>
    <row r="22" spans="1:38" x14ac:dyDescent="0.2">
      <c r="A22" s="196"/>
      <c r="I22" s="196"/>
      <c r="J22" s="196"/>
      <c r="K22" s="196"/>
      <c r="L22" s="196"/>
      <c r="M22" s="196"/>
      <c r="N22" s="196"/>
      <c r="O22" s="196"/>
      <c r="P22" s="196"/>
      <c r="Q22" s="196"/>
      <c r="R22" s="196"/>
      <c r="S22" s="196"/>
      <c r="T22" s="196"/>
      <c r="U22" s="196"/>
      <c r="V22" s="196"/>
      <c r="W22" s="196"/>
      <c r="X22" s="196"/>
      <c r="Y22" s="196"/>
      <c r="Z22" s="196"/>
      <c r="AA22" s="196"/>
      <c r="AB22" s="196"/>
      <c r="AC22" s="196"/>
      <c r="AD22" s="196"/>
      <c r="AE22" s="196"/>
      <c r="AF22" s="196"/>
      <c r="AG22" s="196"/>
      <c r="AH22" s="196"/>
      <c r="AI22" s="196"/>
      <c r="AJ22" s="196"/>
      <c r="AK22" s="196"/>
      <c r="AL22" s="196"/>
    </row>
    <row r="23" spans="1:38" x14ac:dyDescent="0.2">
      <c r="A23" s="196"/>
      <c r="B23" s="196"/>
      <c r="C23" s="196"/>
      <c r="D23" s="196"/>
      <c r="E23" s="196"/>
      <c r="F23" s="196"/>
      <c r="I23" s="196"/>
      <c r="J23" s="196"/>
      <c r="K23" s="196"/>
      <c r="L23" s="196"/>
      <c r="M23" s="196"/>
      <c r="N23" s="196"/>
      <c r="O23" s="196"/>
      <c r="P23" s="196"/>
      <c r="Q23" s="196"/>
      <c r="R23" s="196"/>
      <c r="S23" s="196"/>
      <c r="T23" s="196"/>
      <c r="U23" s="196"/>
      <c r="V23" s="196"/>
      <c r="W23" s="196"/>
      <c r="X23" s="196"/>
      <c r="Y23" s="196"/>
      <c r="Z23" s="196"/>
      <c r="AA23" s="196"/>
      <c r="AB23" s="196"/>
      <c r="AC23" s="196"/>
      <c r="AD23" s="196"/>
      <c r="AE23" s="196"/>
      <c r="AF23" s="196"/>
      <c r="AG23" s="196"/>
      <c r="AH23" s="196"/>
      <c r="AI23" s="196"/>
      <c r="AJ23" s="196"/>
      <c r="AK23" s="196"/>
      <c r="AL23" s="196"/>
    </row>
    <row r="24" spans="1:38" x14ac:dyDescent="0.2">
      <c r="A24" s="196"/>
      <c r="B24" s="196"/>
      <c r="C24" s="196"/>
      <c r="D24" s="196"/>
      <c r="E24" s="196"/>
      <c r="F24" s="196"/>
      <c r="I24" s="196"/>
      <c r="J24" s="196"/>
      <c r="K24" s="196"/>
      <c r="L24" s="196"/>
      <c r="M24" s="196"/>
      <c r="N24" s="196"/>
      <c r="O24" s="196"/>
      <c r="P24" s="196"/>
      <c r="Q24" s="196"/>
      <c r="R24" s="196"/>
      <c r="S24" s="196"/>
      <c r="T24" s="196"/>
      <c r="U24" s="196"/>
      <c r="V24" s="196"/>
      <c r="W24" s="196"/>
      <c r="X24" s="196"/>
      <c r="Y24" s="196"/>
      <c r="Z24" s="196"/>
      <c r="AA24" s="196"/>
      <c r="AB24" s="196"/>
      <c r="AC24" s="196"/>
      <c r="AD24" s="196"/>
      <c r="AE24" s="196"/>
      <c r="AF24" s="196"/>
      <c r="AG24" s="196"/>
      <c r="AH24" s="196"/>
      <c r="AI24" s="196"/>
      <c r="AJ24" s="196"/>
      <c r="AK24" s="196"/>
      <c r="AL24" s="196"/>
    </row>
    <row r="25" spans="1:38" x14ac:dyDescent="0.2">
      <c r="A25" s="196"/>
      <c r="B25" s="152"/>
      <c r="C25" s="190"/>
      <c r="D25" s="152"/>
      <c r="E25" s="152"/>
      <c r="F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c r="AK25" s="196"/>
      <c r="AL25" s="196"/>
    </row>
    <row r="26" spans="1:38" x14ac:dyDescent="0.2">
      <c r="A26" s="196"/>
      <c r="B26" s="191"/>
      <c r="C26" s="192"/>
      <c r="D26" s="152"/>
      <c r="E26" s="152"/>
      <c r="I26" s="196"/>
      <c r="J26" s="196"/>
      <c r="K26" s="196"/>
      <c r="L26" s="196"/>
      <c r="M26" s="196"/>
      <c r="N26" s="196"/>
      <c r="O26" s="196"/>
      <c r="P26" s="196"/>
      <c r="Q26" s="196"/>
      <c r="R26" s="196"/>
      <c r="S26" s="196"/>
      <c r="T26" s="196"/>
      <c r="U26" s="196"/>
      <c r="V26" s="196"/>
      <c r="W26" s="196"/>
      <c r="X26" s="196"/>
      <c r="Y26" s="196"/>
      <c r="Z26" s="196"/>
      <c r="AA26" s="196"/>
      <c r="AB26" s="196"/>
      <c r="AC26" s="196"/>
      <c r="AD26" s="196"/>
      <c r="AE26" s="196"/>
      <c r="AF26" s="196"/>
      <c r="AG26" s="196"/>
      <c r="AH26" s="196"/>
      <c r="AI26" s="196"/>
      <c r="AJ26" s="196"/>
      <c r="AK26" s="196"/>
      <c r="AL26" s="196"/>
    </row>
    <row r="27" spans="1:38" x14ac:dyDescent="0.2">
      <c r="A27" s="196"/>
      <c r="B27" s="191"/>
      <c r="C27" s="192"/>
      <c r="D27" s="152"/>
      <c r="E27" s="152"/>
      <c r="I27" s="196"/>
      <c r="J27" s="196"/>
      <c r="K27" s="196"/>
      <c r="L27" s="196"/>
      <c r="M27" s="196"/>
      <c r="N27" s="196"/>
      <c r="O27" s="196"/>
      <c r="P27" s="196"/>
      <c r="Q27" s="196"/>
      <c r="R27" s="196"/>
      <c r="S27" s="196"/>
      <c r="T27" s="196"/>
      <c r="U27" s="196"/>
      <c r="V27" s="196"/>
      <c r="W27" s="196"/>
      <c r="X27" s="196"/>
      <c r="Y27" s="196"/>
      <c r="Z27" s="196"/>
      <c r="AA27" s="196"/>
      <c r="AB27" s="196"/>
      <c r="AC27" s="196"/>
      <c r="AD27" s="196"/>
      <c r="AE27" s="196"/>
      <c r="AF27" s="196"/>
      <c r="AG27" s="196"/>
      <c r="AH27" s="196"/>
      <c r="AI27" s="196"/>
      <c r="AJ27" s="196"/>
      <c r="AK27" s="196"/>
      <c r="AL27" s="196"/>
    </row>
    <row r="28" spans="1:38" x14ac:dyDescent="0.2">
      <c r="A28" s="196"/>
      <c r="B28" s="191"/>
      <c r="C28" s="192"/>
      <c r="D28" s="152"/>
      <c r="E28" s="152"/>
      <c r="I28" s="196"/>
      <c r="J28" s="196"/>
      <c r="K28" s="196"/>
      <c r="L28" s="196"/>
      <c r="M28" s="196"/>
      <c r="N28" s="196"/>
      <c r="O28" s="196"/>
      <c r="P28" s="196"/>
      <c r="Q28" s="196"/>
      <c r="R28" s="196"/>
      <c r="S28" s="196"/>
      <c r="T28" s="196"/>
      <c r="U28" s="196"/>
      <c r="V28" s="196"/>
      <c r="W28" s="196"/>
      <c r="X28" s="196"/>
      <c r="Y28" s="196"/>
      <c r="Z28" s="196"/>
      <c r="AA28" s="196"/>
      <c r="AB28" s="196"/>
      <c r="AC28" s="196"/>
      <c r="AD28" s="196"/>
      <c r="AE28" s="196"/>
      <c r="AF28" s="196"/>
      <c r="AG28" s="196"/>
      <c r="AH28" s="196"/>
      <c r="AI28" s="196"/>
      <c r="AJ28" s="196"/>
      <c r="AK28" s="196"/>
      <c r="AL28" s="196"/>
    </row>
    <row r="29" spans="1:38" x14ac:dyDescent="0.2">
      <c r="B29" s="191"/>
      <c r="C29" s="196"/>
      <c r="D29" s="196"/>
      <c r="E29" s="196"/>
    </row>
    <row r="30" spans="1:38" x14ac:dyDescent="0.2">
      <c r="B30" s="191"/>
      <c r="C30" s="196"/>
      <c r="D30" s="196"/>
      <c r="E30" s="196"/>
    </row>
    <row r="31" spans="1:38" x14ac:dyDescent="0.2">
      <c r="B31" s="189"/>
      <c r="C31" s="196"/>
      <c r="D31" s="196"/>
      <c r="E31" s="196"/>
    </row>
    <row r="37" spans="10:10" x14ac:dyDescent="0.2">
      <c r="J37" s="193"/>
    </row>
  </sheetData>
  <mergeCells count="2">
    <mergeCell ref="B2:E2"/>
    <mergeCell ref="B3:E3"/>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L13"/>
  <sheetViews>
    <sheetView workbookViewId="0">
      <selection activeCell="J15" sqref="J15"/>
    </sheetView>
  </sheetViews>
  <sheetFormatPr defaultColWidth="9.140625" defaultRowHeight="12.75" x14ac:dyDescent="0.2"/>
  <cols>
    <col min="1" max="2" width="9.140625" style="3"/>
    <col min="3" max="3" width="13.140625" style="3" bestFit="1" customWidth="1"/>
    <col min="4" max="258" width="9.140625" style="3"/>
    <col min="259" max="259" width="13.140625" style="3" bestFit="1" customWidth="1"/>
    <col min="260" max="514" width="9.140625" style="3"/>
    <col min="515" max="515" width="13.140625" style="3" bestFit="1" customWidth="1"/>
    <col min="516" max="770" width="9.140625" style="3"/>
    <col min="771" max="771" width="13.140625" style="3" bestFit="1" customWidth="1"/>
    <col min="772" max="1026" width="9.140625" style="3"/>
    <col min="1027" max="1027" width="13.140625" style="3" bestFit="1" customWidth="1"/>
    <col min="1028" max="1282" width="9.140625" style="3"/>
    <col min="1283" max="1283" width="13.140625" style="3" bestFit="1" customWidth="1"/>
    <col min="1284" max="1538" width="9.140625" style="3"/>
    <col min="1539" max="1539" width="13.140625" style="3" bestFit="1" customWidth="1"/>
    <col min="1540" max="1794" width="9.140625" style="3"/>
    <col min="1795" max="1795" width="13.140625" style="3" bestFit="1" customWidth="1"/>
    <col min="1796" max="2050" width="9.140625" style="3"/>
    <col min="2051" max="2051" width="13.140625" style="3" bestFit="1" customWidth="1"/>
    <col min="2052" max="2306" width="9.140625" style="3"/>
    <col min="2307" max="2307" width="13.140625" style="3" bestFit="1" customWidth="1"/>
    <col min="2308" max="2562" width="9.140625" style="3"/>
    <col min="2563" max="2563" width="13.140625" style="3" bestFit="1" customWidth="1"/>
    <col min="2564" max="2818" width="9.140625" style="3"/>
    <col min="2819" max="2819" width="13.140625" style="3" bestFit="1" customWidth="1"/>
    <col min="2820" max="3074" width="9.140625" style="3"/>
    <col min="3075" max="3075" width="13.140625" style="3" bestFit="1" customWidth="1"/>
    <col min="3076" max="3330" width="9.140625" style="3"/>
    <col min="3331" max="3331" width="13.140625" style="3" bestFit="1" customWidth="1"/>
    <col min="3332" max="3586" width="9.140625" style="3"/>
    <col min="3587" max="3587" width="13.140625" style="3" bestFit="1" customWidth="1"/>
    <col min="3588" max="3842" width="9.140625" style="3"/>
    <col min="3843" max="3843" width="13.140625" style="3" bestFit="1" customWidth="1"/>
    <col min="3844" max="4098" width="9.140625" style="3"/>
    <col min="4099" max="4099" width="13.140625" style="3" bestFit="1" customWidth="1"/>
    <col min="4100" max="4354" width="9.140625" style="3"/>
    <col min="4355" max="4355" width="13.140625" style="3" bestFit="1" customWidth="1"/>
    <col min="4356" max="4610" width="9.140625" style="3"/>
    <col min="4611" max="4611" width="13.140625" style="3" bestFit="1" customWidth="1"/>
    <col min="4612" max="4866" width="9.140625" style="3"/>
    <col min="4867" max="4867" width="13.140625" style="3" bestFit="1" customWidth="1"/>
    <col min="4868" max="5122" width="9.140625" style="3"/>
    <col min="5123" max="5123" width="13.140625" style="3" bestFit="1" customWidth="1"/>
    <col min="5124" max="5378" width="9.140625" style="3"/>
    <col min="5379" max="5379" width="13.140625" style="3" bestFit="1" customWidth="1"/>
    <col min="5380" max="5634" width="9.140625" style="3"/>
    <col min="5635" max="5635" width="13.140625" style="3" bestFit="1" customWidth="1"/>
    <col min="5636" max="5890" width="9.140625" style="3"/>
    <col min="5891" max="5891" width="13.140625" style="3" bestFit="1" customWidth="1"/>
    <col min="5892" max="6146" width="9.140625" style="3"/>
    <col min="6147" max="6147" width="13.140625" style="3" bestFit="1" customWidth="1"/>
    <col min="6148" max="6402" width="9.140625" style="3"/>
    <col min="6403" max="6403" width="13.140625" style="3" bestFit="1" customWidth="1"/>
    <col min="6404" max="6658" width="9.140625" style="3"/>
    <col min="6659" max="6659" width="13.140625" style="3" bestFit="1" customWidth="1"/>
    <col min="6660" max="6914" width="9.140625" style="3"/>
    <col min="6915" max="6915" width="13.140625" style="3" bestFit="1" customWidth="1"/>
    <col min="6916" max="7170" width="9.140625" style="3"/>
    <col min="7171" max="7171" width="13.140625" style="3" bestFit="1" customWidth="1"/>
    <col min="7172" max="7426" width="9.140625" style="3"/>
    <col min="7427" max="7427" width="13.140625" style="3" bestFit="1" customWidth="1"/>
    <col min="7428" max="7682" width="9.140625" style="3"/>
    <col min="7683" max="7683" width="13.140625" style="3" bestFit="1" customWidth="1"/>
    <col min="7684" max="7938" width="9.140625" style="3"/>
    <col min="7939" max="7939" width="13.140625" style="3" bestFit="1" customWidth="1"/>
    <col min="7940" max="8194" width="9.140625" style="3"/>
    <col min="8195" max="8195" width="13.140625" style="3" bestFit="1" customWidth="1"/>
    <col min="8196" max="8450" width="9.140625" style="3"/>
    <col min="8451" max="8451" width="13.140625" style="3" bestFit="1" customWidth="1"/>
    <col min="8452" max="8706" width="9.140625" style="3"/>
    <col min="8707" max="8707" width="13.140625" style="3" bestFit="1" customWidth="1"/>
    <col min="8708" max="8962" width="9.140625" style="3"/>
    <col min="8963" max="8963" width="13.140625" style="3" bestFit="1" customWidth="1"/>
    <col min="8964" max="9218" width="9.140625" style="3"/>
    <col min="9219" max="9219" width="13.140625" style="3" bestFit="1" customWidth="1"/>
    <col min="9220" max="9474" width="9.140625" style="3"/>
    <col min="9475" max="9475" width="13.140625" style="3" bestFit="1" customWidth="1"/>
    <col min="9476" max="9730" width="9.140625" style="3"/>
    <col min="9731" max="9731" width="13.140625" style="3" bestFit="1" customWidth="1"/>
    <col min="9732" max="9986" width="9.140625" style="3"/>
    <col min="9987" max="9987" width="13.140625" style="3" bestFit="1" customWidth="1"/>
    <col min="9988" max="10242" width="9.140625" style="3"/>
    <col min="10243" max="10243" width="13.140625" style="3" bestFit="1" customWidth="1"/>
    <col min="10244" max="10498" width="9.140625" style="3"/>
    <col min="10499" max="10499" width="13.140625" style="3" bestFit="1" customWidth="1"/>
    <col min="10500" max="10754" width="9.140625" style="3"/>
    <col min="10755" max="10755" width="13.140625" style="3" bestFit="1" customWidth="1"/>
    <col min="10756" max="11010" width="9.140625" style="3"/>
    <col min="11011" max="11011" width="13.140625" style="3" bestFit="1" customWidth="1"/>
    <col min="11012" max="11266" width="9.140625" style="3"/>
    <col min="11267" max="11267" width="13.140625" style="3" bestFit="1" customWidth="1"/>
    <col min="11268" max="11522" width="9.140625" style="3"/>
    <col min="11523" max="11523" width="13.140625" style="3" bestFit="1" customWidth="1"/>
    <col min="11524" max="11778" width="9.140625" style="3"/>
    <col min="11779" max="11779" width="13.140625" style="3" bestFit="1" customWidth="1"/>
    <col min="11780" max="12034" width="9.140625" style="3"/>
    <col min="12035" max="12035" width="13.140625" style="3" bestFit="1" customWidth="1"/>
    <col min="12036" max="12290" width="9.140625" style="3"/>
    <col min="12291" max="12291" width="13.140625" style="3" bestFit="1" customWidth="1"/>
    <col min="12292" max="12546" width="9.140625" style="3"/>
    <col min="12547" max="12547" width="13.140625" style="3" bestFit="1" customWidth="1"/>
    <col min="12548" max="12802" width="9.140625" style="3"/>
    <col min="12803" max="12803" width="13.140625" style="3" bestFit="1" customWidth="1"/>
    <col min="12804" max="13058" width="9.140625" style="3"/>
    <col min="13059" max="13059" width="13.140625" style="3" bestFit="1" customWidth="1"/>
    <col min="13060" max="13314" width="9.140625" style="3"/>
    <col min="13315" max="13315" width="13.140625" style="3" bestFit="1" customWidth="1"/>
    <col min="13316" max="13570" width="9.140625" style="3"/>
    <col min="13571" max="13571" width="13.140625" style="3" bestFit="1" customWidth="1"/>
    <col min="13572" max="13826" width="9.140625" style="3"/>
    <col min="13827" max="13827" width="13.140625" style="3" bestFit="1" customWidth="1"/>
    <col min="13828" max="14082" width="9.140625" style="3"/>
    <col min="14083" max="14083" width="13.140625" style="3" bestFit="1" customWidth="1"/>
    <col min="14084" max="14338" width="9.140625" style="3"/>
    <col min="14339" max="14339" width="13.140625" style="3" bestFit="1" customWidth="1"/>
    <col min="14340" max="14594" width="9.140625" style="3"/>
    <col min="14595" max="14595" width="13.140625" style="3" bestFit="1" customWidth="1"/>
    <col min="14596" max="14850" width="9.140625" style="3"/>
    <col min="14851" max="14851" width="13.140625" style="3" bestFit="1" customWidth="1"/>
    <col min="14852" max="15106" width="9.140625" style="3"/>
    <col min="15107" max="15107" width="13.140625" style="3" bestFit="1" customWidth="1"/>
    <col min="15108" max="15362" width="9.140625" style="3"/>
    <col min="15363" max="15363" width="13.140625" style="3" bestFit="1" customWidth="1"/>
    <col min="15364" max="15618" width="9.140625" style="3"/>
    <col min="15619" max="15619" width="13.140625" style="3" bestFit="1" customWidth="1"/>
    <col min="15620" max="15874" width="9.140625" style="3"/>
    <col min="15875" max="15875" width="13.140625" style="3" bestFit="1" customWidth="1"/>
    <col min="15876" max="16130" width="9.140625" style="3"/>
    <col min="16131" max="16131" width="13.140625" style="3" bestFit="1" customWidth="1"/>
    <col min="16132" max="16384" width="9.140625" style="3"/>
  </cols>
  <sheetData>
    <row r="1" spans="1:38" ht="20.25" x14ac:dyDescent="0.3">
      <c r="A1" s="11"/>
      <c r="B1" s="11"/>
      <c r="C1" s="11"/>
      <c r="D1" s="11"/>
      <c r="E1" s="11"/>
      <c r="F1" s="11"/>
      <c r="G1" s="11"/>
      <c r="H1" s="67" t="s">
        <v>21</v>
      </c>
      <c r="N1" s="11"/>
      <c r="O1" s="11"/>
      <c r="P1" s="11"/>
      <c r="Q1" s="11"/>
      <c r="R1" s="11"/>
      <c r="S1" s="11"/>
      <c r="T1" s="11"/>
      <c r="U1" s="11"/>
      <c r="V1" s="11"/>
      <c r="W1" s="11"/>
      <c r="X1" s="11"/>
      <c r="Y1" s="11"/>
      <c r="Z1" s="11"/>
      <c r="AA1" s="11"/>
      <c r="AB1" s="11"/>
      <c r="AC1" s="11"/>
      <c r="AD1" s="11"/>
      <c r="AE1" s="11"/>
      <c r="AF1" s="11"/>
      <c r="AG1" s="11"/>
      <c r="AH1" s="11"/>
      <c r="AI1" s="11"/>
      <c r="AJ1" s="11"/>
      <c r="AK1" s="11"/>
      <c r="AL1" s="11"/>
    </row>
    <row r="3" spans="1:38" x14ac:dyDescent="0.2">
      <c r="C3" s="184" t="s">
        <v>220</v>
      </c>
      <c r="D3" s="184" t="s">
        <v>9</v>
      </c>
    </row>
    <row r="4" spans="1:38" ht="28.5" customHeight="1" x14ac:dyDescent="0.2">
      <c r="C4" s="194">
        <v>1</v>
      </c>
      <c r="D4" s="499" t="s">
        <v>2026</v>
      </c>
      <c r="E4" s="500"/>
      <c r="F4" s="500"/>
      <c r="G4" s="500"/>
      <c r="H4" s="500"/>
      <c r="I4" s="500"/>
      <c r="J4" s="500"/>
      <c r="K4" s="500"/>
      <c r="L4" s="500"/>
    </row>
    <row r="5" spans="1:38" ht="15" x14ac:dyDescent="0.2">
      <c r="C5" s="194"/>
      <c r="D5" s="499"/>
      <c r="E5" s="500"/>
      <c r="F5" s="500"/>
      <c r="G5" s="500"/>
      <c r="H5" s="500"/>
      <c r="I5" s="500"/>
      <c r="J5" s="500"/>
      <c r="K5" s="500"/>
      <c r="L5" s="500"/>
    </row>
    <row r="6" spans="1:38" ht="15" x14ac:dyDescent="0.2">
      <c r="C6" s="194"/>
      <c r="D6" s="499"/>
      <c r="E6" s="500"/>
      <c r="F6" s="500"/>
      <c r="G6" s="500"/>
      <c r="H6" s="500"/>
      <c r="I6" s="500"/>
      <c r="J6" s="500"/>
      <c r="K6" s="500"/>
      <c r="L6" s="500"/>
    </row>
    <row r="7" spans="1:38" ht="15" x14ac:dyDescent="0.2">
      <c r="C7" s="194"/>
      <c r="D7" s="499"/>
      <c r="E7" s="500"/>
      <c r="F7" s="500"/>
      <c r="G7" s="500"/>
      <c r="H7" s="500"/>
      <c r="I7" s="500"/>
      <c r="J7" s="500"/>
      <c r="K7" s="500"/>
      <c r="L7" s="500"/>
    </row>
    <row r="8" spans="1:38" ht="15" x14ac:dyDescent="0.2">
      <c r="C8" s="275"/>
      <c r="D8" s="501"/>
      <c r="E8" s="502"/>
      <c r="F8" s="502"/>
      <c r="G8" s="502"/>
      <c r="H8" s="502"/>
      <c r="I8" s="502"/>
      <c r="J8" s="502"/>
      <c r="K8" s="502"/>
      <c r="L8" s="502"/>
    </row>
    <row r="9" spans="1:38" ht="15" x14ac:dyDescent="0.2">
      <c r="C9" s="194"/>
      <c r="D9" s="499"/>
      <c r="E9" s="500"/>
      <c r="F9" s="500"/>
      <c r="G9" s="500"/>
      <c r="H9" s="500"/>
      <c r="I9" s="500"/>
      <c r="J9" s="500"/>
      <c r="K9" s="500"/>
      <c r="L9" s="500"/>
    </row>
    <row r="10" spans="1:38" ht="15" x14ac:dyDescent="0.2">
      <c r="C10" s="194"/>
      <c r="D10" s="499"/>
      <c r="E10" s="500"/>
      <c r="F10" s="500"/>
      <c r="G10" s="500"/>
      <c r="H10" s="500"/>
      <c r="I10" s="500"/>
      <c r="J10" s="500"/>
      <c r="K10" s="500"/>
      <c r="L10" s="500"/>
    </row>
    <row r="11" spans="1:38" ht="15" x14ac:dyDescent="0.2">
      <c r="C11" s="194"/>
      <c r="D11" s="499"/>
      <c r="E11" s="500"/>
      <c r="F11" s="500"/>
      <c r="G11" s="500"/>
      <c r="H11" s="500"/>
      <c r="I11" s="500"/>
      <c r="J11" s="500"/>
      <c r="K11" s="500"/>
      <c r="L11" s="500"/>
    </row>
    <row r="12" spans="1:38" ht="15" x14ac:dyDescent="0.2">
      <c r="C12" s="194"/>
      <c r="D12" s="499"/>
      <c r="E12" s="500"/>
      <c r="F12" s="500"/>
      <c r="G12" s="500"/>
      <c r="H12" s="500"/>
      <c r="I12" s="500"/>
      <c r="J12" s="500"/>
      <c r="K12" s="500"/>
      <c r="L12" s="500"/>
    </row>
    <row r="13" spans="1:38" ht="15" x14ac:dyDescent="0.2">
      <c r="C13" s="194"/>
      <c r="D13" s="499"/>
      <c r="E13" s="500"/>
      <c r="F13" s="500"/>
      <c r="G13" s="500"/>
      <c r="H13" s="500"/>
      <c r="I13" s="500"/>
      <c r="J13" s="500"/>
      <c r="K13" s="500"/>
      <c r="L13" s="500"/>
    </row>
  </sheetData>
  <mergeCells count="10">
    <mergeCell ref="D10:L10"/>
    <mergeCell ref="D11:L11"/>
    <mergeCell ref="D12:L12"/>
    <mergeCell ref="D13:L13"/>
    <mergeCell ref="D4:L4"/>
    <mergeCell ref="D5:L5"/>
    <mergeCell ref="D6:L6"/>
    <mergeCell ref="D7:L7"/>
    <mergeCell ref="D8:L8"/>
    <mergeCell ref="D9:L9"/>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
  <sheetViews>
    <sheetView zoomScaleNormal="100" workbookViewId="0">
      <selection activeCell="I29" sqref="I29"/>
    </sheetView>
  </sheetViews>
  <sheetFormatPr defaultRowHeight="15" x14ac:dyDescent="0.2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Y1035"/>
  <sheetViews>
    <sheetView zoomScaleNormal="100" workbookViewId="0"/>
  </sheetViews>
  <sheetFormatPr defaultColWidth="9.140625" defaultRowHeight="15" x14ac:dyDescent="0.25"/>
  <cols>
    <col min="1" max="1" width="1.85546875" style="197" customWidth="1"/>
    <col min="2" max="2" width="3.5703125" style="197" customWidth="1"/>
    <col min="3" max="3" width="29.5703125" style="197" customWidth="1"/>
    <col min="4" max="4" width="60.5703125" style="197" customWidth="1"/>
    <col min="5" max="5" width="15.42578125" style="197" customWidth="1"/>
    <col min="6" max="6" width="12.42578125" style="197" customWidth="1"/>
    <col min="7" max="7" width="12.85546875" style="197" customWidth="1"/>
    <col min="8" max="8" width="13.5703125" style="197" customWidth="1"/>
    <col min="9" max="9" width="14" style="197" bestFit="1" customWidth="1"/>
    <col min="10" max="10" width="14.42578125" style="197" customWidth="1"/>
    <col min="11" max="11" width="12" style="197" customWidth="1"/>
    <col min="12" max="12" width="11.42578125" style="197" customWidth="1"/>
    <col min="13" max="13" width="11.5703125" style="197" bestFit="1" customWidth="1"/>
    <col min="14" max="14" width="14.5703125" style="197" customWidth="1"/>
    <col min="15" max="15" width="13" style="197" customWidth="1"/>
    <col min="16" max="16" width="49" style="197" customWidth="1"/>
    <col min="17" max="17" width="2.140625" style="197" customWidth="1"/>
    <col min="18" max="16384" width="9.140625" style="197"/>
  </cols>
  <sheetData>
    <row r="1" spans="1:25" ht="20.25" x14ac:dyDescent="0.3">
      <c r="A1" s="2"/>
      <c r="B1" s="402" t="s">
        <v>0</v>
      </c>
      <c r="C1" s="402"/>
      <c r="D1" s="402"/>
      <c r="E1" s="402"/>
      <c r="F1" s="402"/>
      <c r="G1" s="402"/>
      <c r="H1" s="402"/>
      <c r="I1" s="402"/>
      <c r="J1" s="402"/>
      <c r="K1" s="402"/>
      <c r="L1" s="402"/>
      <c r="M1" s="402"/>
      <c r="N1" s="402"/>
      <c r="O1" s="402"/>
      <c r="P1" s="402"/>
      <c r="Q1" s="402"/>
      <c r="R1" s="2"/>
      <c r="S1" s="2"/>
      <c r="T1" s="2"/>
      <c r="U1" s="2"/>
      <c r="V1" s="2"/>
      <c r="W1" s="2"/>
      <c r="X1" s="2"/>
      <c r="Y1" s="2"/>
    </row>
    <row r="2" spans="1:25" ht="20.25" x14ac:dyDescent="0.3">
      <c r="A2" s="2"/>
      <c r="B2" s="402" t="s">
        <v>38</v>
      </c>
      <c r="C2" s="402"/>
      <c r="D2" s="402"/>
      <c r="E2" s="402"/>
      <c r="F2" s="402"/>
      <c r="G2" s="402"/>
      <c r="H2" s="402"/>
      <c r="I2" s="402"/>
      <c r="J2" s="402"/>
      <c r="K2" s="402"/>
      <c r="L2" s="402"/>
      <c r="M2" s="402"/>
      <c r="N2" s="402"/>
      <c r="O2" s="402"/>
      <c r="P2" s="402"/>
      <c r="Q2" s="402"/>
      <c r="R2" s="2"/>
      <c r="S2" s="2"/>
      <c r="T2" s="2"/>
      <c r="U2" s="2"/>
      <c r="V2" s="2"/>
      <c r="W2" s="2"/>
      <c r="X2" s="2"/>
      <c r="Y2" s="2"/>
    </row>
    <row r="3" spans="1:25" ht="5.25" customHeight="1" x14ac:dyDescent="0.25">
      <c r="A3" s="2"/>
      <c r="B3" s="9"/>
      <c r="C3" s="2"/>
      <c r="D3" s="2"/>
      <c r="E3" s="2"/>
      <c r="F3" s="2"/>
      <c r="G3" s="2"/>
      <c r="H3" s="2"/>
      <c r="I3" s="2"/>
      <c r="J3" s="2"/>
      <c r="K3" s="2"/>
      <c r="L3" s="2"/>
      <c r="M3" s="2"/>
      <c r="N3" s="2"/>
      <c r="O3" s="2"/>
      <c r="P3" s="2"/>
      <c r="Q3" s="2"/>
      <c r="R3" s="2"/>
      <c r="S3" s="2"/>
      <c r="T3" s="2"/>
      <c r="U3" s="2"/>
      <c r="V3" s="2"/>
      <c r="W3" s="2"/>
      <c r="X3" s="2"/>
      <c r="Y3" s="2"/>
    </row>
    <row r="4" spans="1:25" ht="15.75" thickBot="1" x14ac:dyDescent="0.3">
      <c r="A4" s="2"/>
      <c r="B4" s="437" t="s">
        <v>39</v>
      </c>
      <c r="C4" s="437"/>
      <c r="D4" s="347" t="s">
        <v>597</v>
      </c>
      <c r="E4" s="348"/>
      <c r="F4" s="17"/>
      <c r="G4" s="17"/>
      <c r="H4" s="17"/>
      <c r="I4" s="17"/>
      <c r="J4" s="17"/>
      <c r="K4" s="2"/>
      <c r="L4" s="2"/>
      <c r="M4" s="2"/>
      <c r="N4" s="2"/>
      <c r="O4" s="2"/>
      <c r="P4" s="2"/>
      <c r="Q4" s="2"/>
      <c r="R4" s="2"/>
      <c r="S4" s="2"/>
      <c r="T4" s="2"/>
      <c r="U4" s="2"/>
      <c r="V4" s="2"/>
      <c r="W4" s="2"/>
      <c r="X4" s="2"/>
      <c r="Y4" s="2"/>
    </row>
    <row r="5" spans="1:25" ht="15.75" thickBot="1" x14ac:dyDescent="0.3">
      <c r="A5" s="2"/>
      <c r="B5" s="437" t="s">
        <v>40</v>
      </c>
      <c r="C5" s="437"/>
      <c r="D5" s="349">
        <v>1</v>
      </c>
      <c r="E5" s="349" t="s">
        <v>41</v>
      </c>
      <c r="F5" s="350" t="s">
        <v>42</v>
      </c>
      <c r="G5" s="442" t="s">
        <v>598</v>
      </c>
      <c r="H5" s="442"/>
      <c r="I5" s="442"/>
      <c r="J5" s="442"/>
      <c r="K5" s="21"/>
      <c r="L5" s="21"/>
      <c r="M5" s="22" t="s">
        <v>16</v>
      </c>
      <c r="N5" s="23" t="str">
        <f>DQI!I11</f>
        <v>1,3,1,1,2</v>
      </c>
      <c r="O5" s="24"/>
      <c r="P5" s="17" t="s">
        <v>43</v>
      </c>
      <c r="Q5" s="2"/>
      <c r="R5" s="2"/>
      <c r="S5" s="2"/>
      <c r="T5" s="2"/>
      <c r="U5" s="2"/>
      <c r="V5" s="2"/>
      <c r="W5" s="2"/>
      <c r="X5" s="2"/>
      <c r="Y5" s="2"/>
    </row>
    <row r="6" spans="1:25" ht="27.75" customHeight="1" x14ac:dyDescent="0.25">
      <c r="A6" s="2"/>
      <c r="B6" s="443" t="s">
        <v>44</v>
      </c>
      <c r="C6" s="444"/>
      <c r="D6" s="445" t="s">
        <v>2300</v>
      </c>
      <c r="E6" s="446"/>
      <c r="F6" s="446"/>
      <c r="G6" s="446"/>
      <c r="H6" s="446"/>
      <c r="I6" s="446"/>
      <c r="J6" s="446"/>
      <c r="K6" s="446"/>
      <c r="L6" s="446"/>
      <c r="M6" s="446"/>
      <c r="N6" s="446"/>
      <c r="O6" s="447"/>
      <c r="P6" s="25"/>
      <c r="Q6" s="2"/>
      <c r="R6" s="2"/>
      <c r="S6" s="2"/>
      <c r="T6" s="2"/>
      <c r="U6" s="2"/>
      <c r="V6" s="2"/>
      <c r="W6" s="2"/>
      <c r="X6" s="2"/>
      <c r="Y6" s="2"/>
    </row>
    <row r="7" spans="1:25" ht="15.75" thickBot="1" x14ac:dyDescent="0.3">
      <c r="A7" s="2"/>
      <c r="B7" s="9"/>
      <c r="C7" s="2"/>
      <c r="D7" s="2"/>
      <c r="E7" s="2"/>
      <c r="F7" s="2"/>
      <c r="G7" s="2"/>
      <c r="H7" s="2"/>
      <c r="I7" s="2"/>
      <c r="J7" s="2"/>
      <c r="K7" s="2"/>
      <c r="L7" s="2"/>
      <c r="M7" s="2"/>
      <c r="N7" s="2"/>
      <c r="O7" s="2"/>
      <c r="P7" s="2"/>
      <c r="Q7" s="2"/>
      <c r="R7" s="2"/>
      <c r="S7" s="2"/>
      <c r="T7" s="2"/>
      <c r="U7" s="2"/>
      <c r="V7" s="2"/>
      <c r="W7" s="2"/>
      <c r="X7" s="2"/>
      <c r="Y7" s="2"/>
    </row>
    <row r="8" spans="1:25" ht="15.75" thickBot="1" x14ac:dyDescent="0.3">
      <c r="A8" s="26"/>
      <c r="B8" s="422" t="s">
        <v>45</v>
      </c>
      <c r="C8" s="423"/>
      <c r="D8" s="423"/>
      <c r="E8" s="423"/>
      <c r="F8" s="423"/>
      <c r="G8" s="423"/>
      <c r="H8" s="423"/>
      <c r="I8" s="423"/>
      <c r="J8" s="423"/>
      <c r="K8" s="423"/>
      <c r="L8" s="423"/>
      <c r="M8" s="423"/>
      <c r="N8" s="423"/>
      <c r="O8" s="423"/>
      <c r="P8" s="424"/>
      <c r="Q8" s="26"/>
      <c r="R8" s="26"/>
      <c r="S8" s="26"/>
      <c r="T8" s="26"/>
      <c r="U8" s="26"/>
      <c r="V8" s="26"/>
      <c r="W8" s="26"/>
      <c r="X8" s="26"/>
      <c r="Y8" s="26"/>
    </row>
    <row r="9" spans="1:25" x14ac:dyDescent="0.25">
      <c r="A9" s="2"/>
      <c r="B9" s="9"/>
      <c r="C9" s="2"/>
      <c r="D9" s="2"/>
      <c r="E9" s="2"/>
      <c r="F9" s="2"/>
      <c r="G9" s="2"/>
      <c r="H9" s="2"/>
      <c r="I9" s="2"/>
      <c r="J9" s="2"/>
      <c r="K9" s="2"/>
      <c r="L9" s="2"/>
      <c r="M9" s="2"/>
      <c r="N9" s="2"/>
      <c r="O9" s="2"/>
      <c r="P9" s="2"/>
      <c r="Q9" s="2"/>
      <c r="R9" s="2"/>
      <c r="S9" s="2"/>
      <c r="T9" s="2"/>
      <c r="U9" s="2"/>
      <c r="V9" s="2"/>
      <c r="W9" s="2"/>
      <c r="X9" s="2"/>
      <c r="Y9" s="2"/>
    </row>
    <row r="10" spans="1:25" x14ac:dyDescent="0.25">
      <c r="A10" s="2"/>
      <c r="B10" s="437" t="s">
        <v>46</v>
      </c>
      <c r="C10" s="437"/>
      <c r="D10" s="448" t="s">
        <v>221</v>
      </c>
      <c r="E10" s="449"/>
      <c r="F10" s="2"/>
      <c r="G10" s="27" t="s">
        <v>47</v>
      </c>
      <c r="H10" s="28"/>
      <c r="I10" s="28"/>
      <c r="J10" s="28"/>
      <c r="K10" s="28"/>
      <c r="L10" s="28"/>
      <c r="M10" s="28"/>
      <c r="N10" s="28"/>
      <c r="O10" s="29"/>
      <c r="P10" s="2"/>
      <c r="Q10" s="2"/>
      <c r="R10" s="2"/>
      <c r="S10" s="2"/>
      <c r="T10" s="2"/>
      <c r="U10" s="2"/>
      <c r="V10" s="2"/>
      <c r="W10" s="2"/>
      <c r="X10" s="2"/>
      <c r="Y10" s="2"/>
    </row>
    <row r="11" spans="1:25" x14ac:dyDescent="0.25">
      <c r="A11" s="2"/>
      <c r="B11" s="450" t="s">
        <v>48</v>
      </c>
      <c r="C11" s="451"/>
      <c r="D11" s="415" t="s">
        <v>222</v>
      </c>
      <c r="E11" s="449"/>
      <c r="F11" s="2"/>
      <c r="G11" s="30" t="str">
        <f>CONCATENATE("Reference Flow: ",D5," ",E5," of ",G5)</f>
        <v>Reference Flow: 1 kg of crude throughput</v>
      </c>
      <c r="H11" s="31"/>
      <c r="I11" s="31"/>
      <c r="J11" s="31"/>
      <c r="K11" s="31"/>
      <c r="L11" s="31"/>
      <c r="M11" s="31"/>
      <c r="N11" s="31"/>
      <c r="O11" s="32"/>
      <c r="P11" s="2"/>
      <c r="Q11" s="2"/>
      <c r="R11" s="2"/>
      <c r="S11" s="2"/>
      <c r="T11" s="2"/>
      <c r="U11" s="2"/>
      <c r="V11" s="2"/>
      <c r="W11" s="2"/>
      <c r="X11" s="2"/>
      <c r="Y11" s="2"/>
    </row>
    <row r="12" spans="1:25" x14ac:dyDescent="0.25">
      <c r="A12" s="2"/>
      <c r="B12" s="437" t="s">
        <v>49</v>
      </c>
      <c r="C12" s="437"/>
      <c r="D12" s="438">
        <v>2011</v>
      </c>
      <c r="E12" s="438"/>
      <c r="F12" s="2"/>
      <c r="G12" s="30"/>
      <c r="H12" s="31"/>
      <c r="I12" s="31"/>
      <c r="J12" s="31"/>
      <c r="K12" s="31"/>
      <c r="L12" s="31"/>
      <c r="M12" s="31"/>
      <c r="N12" s="31"/>
      <c r="O12" s="32"/>
      <c r="P12" s="2"/>
      <c r="Q12" s="2"/>
      <c r="R12" s="2"/>
      <c r="S12" s="2"/>
      <c r="T12" s="2"/>
      <c r="U12" s="2"/>
      <c r="V12" s="2"/>
      <c r="W12" s="2"/>
      <c r="X12" s="2"/>
      <c r="Y12" s="2"/>
    </row>
    <row r="13" spans="1:25" ht="12.75" customHeight="1" x14ac:dyDescent="0.25">
      <c r="A13" s="2"/>
      <c r="B13" s="437" t="s">
        <v>50</v>
      </c>
      <c r="C13" s="437"/>
      <c r="D13" s="438" t="s">
        <v>100</v>
      </c>
      <c r="E13" s="438"/>
      <c r="F13" s="2"/>
      <c r="G13" s="439" t="s">
        <v>2299</v>
      </c>
      <c r="H13" s="440"/>
      <c r="I13" s="440"/>
      <c r="J13" s="440"/>
      <c r="K13" s="440"/>
      <c r="L13" s="440"/>
      <c r="M13" s="440"/>
      <c r="N13" s="440"/>
      <c r="O13" s="441"/>
      <c r="P13" s="2"/>
      <c r="Q13" s="2"/>
      <c r="R13" s="2"/>
      <c r="S13" s="2"/>
      <c r="T13" s="2"/>
      <c r="U13" s="2"/>
      <c r="V13" s="2"/>
      <c r="W13" s="2"/>
      <c r="X13" s="2"/>
      <c r="Y13" s="2"/>
    </row>
    <row r="14" spans="1:25" x14ac:dyDescent="0.25">
      <c r="A14" s="2"/>
      <c r="B14" s="437" t="s">
        <v>51</v>
      </c>
      <c r="C14" s="437"/>
      <c r="D14" s="438" t="s">
        <v>97</v>
      </c>
      <c r="E14" s="438"/>
      <c r="F14" s="2"/>
      <c r="G14" s="439"/>
      <c r="H14" s="440"/>
      <c r="I14" s="440"/>
      <c r="J14" s="440"/>
      <c r="K14" s="440"/>
      <c r="L14" s="440"/>
      <c r="M14" s="440"/>
      <c r="N14" s="440"/>
      <c r="O14" s="441"/>
      <c r="P14" s="2"/>
      <c r="Q14" s="2"/>
      <c r="R14" s="2"/>
      <c r="S14" s="2"/>
      <c r="T14" s="2"/>
      <c r="U14" s="2"/>
      <c r="V14" s="2"/>
      <c r="W14" s="2"/>
      <c r="X14" s="2"/>
      <c r="Y14" s="2"/>
    </row>
    <row r="15" spans="1:25" x14ac:dyDescent="0.25">
      <c r="A15" s="2"/>
      <c r="B15" s="437" t="s">
        <v>52</v>
      </c>
      <c r="C15" s="437"/>
      <c r="D15" s="438" t="s">
        <v>223</v>
      </c>
      <c r="E15" s="438"/>
      <c r="F15" s="2"/>
      <c r="G15" s="439"/>
      <c r="H15" s="440"/>
      <c r="I15" s="440"/>
      <c r="J15" s="440"/>
      <c r="K15" s="440"/>
      <c r="L15" s="440"/>
      <c r="M15" s="440"/>
      <c r="N15" s="440"/>
      <c r="O15" s="441"/>
      <c r="P15" s="2"/>
      <c r="Q15" s="2"/>
      <c r="R15" s="2"/>
      <c r="S15" s="2"/>
      <c r="T15" s="2"/>
      <c r="U15" s="2"/>
      <c r="V15" s="2"/>
      <c r="W15" s="2"/>
      <c r="X15" s="2"/>
      <c r="Y15" s="2"/>
    </row>
    <row r="16" spans="1:25" x14ac:dyDescent="0.25">
      <c r="A16" s="2"/>
      <c r="B16" s="437" t="s">
        <v>53</v>
      </c>
      <c r="C16" s="437"/>
      <c r="D16" s="438" t="s">
        <v>98</v>
      </c>
      <c r="E16" s="438"/>
      <c r="F16" s="2"/>
      <c r="G16" s="439"/>
      <c r="H16" s="440"/>
      <c r="I16" s="440"/>
      <c r="J16" s="440"/>
      <c r="K16" s="440"/>
      <c r="L16" s="440"/>
      <c r="M16" s="440"/>
      <c r="N16" s="440"/>
      <c r="O16" s="441"/>
      <c r="P16" s="2"/>
      <c r="Q16" s="2"/>
      <c r="R16" s="2"/>
      <c r="S16" s="2"/>
      <c r="T16" s="2"/>
      <c r="U16" s="2"/>
      <c r="V16" s="2"/>
      <c r="W16" s="2"/>
      <c r="X16" s="2"/>
      <c r="Y16" s="2"/>
    </row>
    <row r="17" spans="1:25" ht="23.45" customHeight="1" x14ac:dyDescent="0.25">
      <c r="A17" s="2"/>
      <c r="B17" s="431" t="s">
        <v>54</v>
      </c>
      <c r="C17" s="432"/>
      <c r="D17" s="433"/>
      <c r="E17" s="433"/>
      <c r="F17" s="2"/>
      <c r="G17" s="33" t="s">
        <v>599</v>
      </c>
      <c r="H17" s="34"/>
      <c r="I17" s="34"/>
      <c r="J17" s="34"/>
      <c r="K17" s="34"/>
      <c r="L17" s="34"/>
      <c r="M17" s="34"/>
      <c r="N17" s="34"/>
      <c r="O17" s="35"/>
      <c r="P17" s="2"/>
      <c r="Q17" s="2"/>
      <c r="R17" s="2"/>
      <c r="S17" s="2"/>
      <c r="T17" s="2"/>
      <c r="U17" s="2"/>
      <c r="V17" s="2"/>
      <c r="W17" s="2"/>
      <c r="X17" s="2"/>
      <c r="Y17" s="2"/>
    </row>
    <row r="18" spans="1:25" x14ac:dyDescent="0.25">
      <c r="A18" s="2"/>
      <c r="B18" s="9"/>
      <c r="C18" s="2"/>
      <c r="D18" s="2"/>
      <c r="E18" s="2"/>
      <c r="F18" s="2"/>
      <c r="G18" s="2"/>
      <c r="H18" s="2"/>
      <c r="I18" s="2"/>
      <c r="J18" s="2"/>
      <c r="K18" s="2"/>
      <c r="L18" s="2"/>
      <c r="M18" s="2"/>
      <c r="N18" s="2"/>
      <c r="O18" s="2"/>
      <c r="P18" s="2"/>
      <c r="Q18" s="2"/>
      <c r="R18" s="2"/>
      <c r="S18" s="2"/>
      <c r="T18" s="2"/>
      <c r="U18" s="2"/>
      <c r="V18" s="2"/>
      <c r="W18" s="2"/>
      <c r="X18" s="2"/>
      <c r="Y18" s="2"/>
    </row>
    <row r="19" spans="1:25" ht="15.75" thickBot="1" x14ac:dyDescent="0.3">
      <c r="A19" s="2"/>
      <c r="B19" s="9"/>
      <c r="C19" s="2"/>
      <c r="D19" s="2"/>
      <c r="E19" s="2"/>
      <c r="F19" s="2"/>
      <c r="G19" s="2"/>
      <c r="H19" s="2"/>
      <c r="I19" s="2"/>
      <c r="J19" s="2"/>
      <c r="K19" s="2"/>
      <c r="L19" s="2"/>
      <c r="M19" s="2"/>
      <c r="N19" s="2"/>
      <c r="O19" s="2"/>
      <c r="P19" s="2"/>
      <c r="Q19" s="2"/>
      <c r="R19" s="2"/>
      <c r="S19" s="2"/>
      <c r="T19" s="2"/>
      <c r="U19" s="2"/>
      <c r="V19" s="2"/>
      <c r="W19" s="2"/>
      <c r="X19" s="2"/>
      <c r="Y19" s="2"/>
    </row>
    <row r="20" spans="1:25" ht="15.75" thickBot="1" x14ac:dyDescent="0.3">
      <c r="A20" s="26"/>
      <c r="B20" s="422" t="s">
        <v>55</v>
      </c>
      <c r="C20" s="423"/>
      <c r="D20" s="423"/>
      <c r="E20" s="423"/>
      <c r="F20" s="423"/>
      <c r="G20" s="423"/>
      <c r="H20" s="423"/>
      <c r="I20" s="423"/>
      <c r="J20" s="423"/>
      <c r="K20" s="423"/>
      <c r="L20" s="423"/>
      <c r="M20" s="423"/>
      <c r="N20" s="423"/>
      <c r="O20" s="423"/>
      <c r="P20" s="424"/>
      <c r="Q20" s="26"/>
      <c r="R20" s="26"/>
      <c r="S20" s="26"/>
      <c r="T20" s="26"/>
      <c r="U20" s="26"/>
      <c r="V20" s="26"/>
      <c r="W20" s="26"/>
      <c r="X20" s="26"/>
      <c r="Y20" s="26"/>
    </row>
    <row r="21" spans="1:25" x14ac:dyDescent="0.25">
      <c r="A21" s="2"/>
      <c r="B21" s="9"/>
      <c r="C21" s="2"/>
      <c r="D21" s="2"/>
      <c r="E21" s="2"/>
      <c r="F21" s="2"/>
      <c r="G21" s="36" t="s">
        <v>56</v>
      </c>
      <c r="H21" s="2"/>
      <c r="I21" s="2"/>
      <c r="J21" s="2"/>
      <c r="K21" s="2"/>
      <c r="L21" s="2"/>
      <c r="M21" s="2"/>
      <c r="N21" s="2"/>
      <c r="O21" s="2"/>
      <c r="P21" s="2"/>
      <c r="Q21" s="2"/>
      <c r="R21" s="2"/>
      <c r="S21" s="2"/>
      <c r="T21" s="2"/>
      <c r="U21" s="2"/>
      <c r="V21" s="2"/>
      <c r="W21" s="2"/>
      <c r="X21" s="2"/>
      <c r="Y21" s="2"/>
    </row>
    <row r="22" spans="1:25" x14ac:dyDescent="0.25">
      <c r="A22" s="2"/>
      <c r="B22" s="9"/>
      <c r="C22" s="37" t="s">
        <v>57</v>
      </c>
      <c r="D22" s="37" t="s">
        <v>58</v>
      </c>
      <c r="E22" s="37" t="s">
        <v>59</v>
      </c>
      <c r="F22" s="37" t="s">
        <v>60</v>
      </c>
      <c r="G22" s="37" t="s">
        <v>61</v>
      </c>
      <c r="H22" s="37" t="s">
        <v>62</v>
      </c>
      <c r="I22" s="37" t="s">
        <v>63</v>
      </c>
      <c r="J22" s="434" t="s">
        <v>64</v>
      </c>
      <c r="K22" s="435"/>
      <c r="L22" s="435"/>
      <c r="M22" s="435"/>
      <c r="N22" s="435"/>
      <c r="O22" s="435"/>
      <c r="P22" s="436"/>
      <c r="Q22" s="2"/>
      <c r="R22" s="2"/>
      <c r="S22" s="2"/>
      <c r="T22" s="2"/>
      <c r="U22" s="2"/>
      <c r="V22" s="2"/>
      <c r="W22" s="2"/>
      <c r="X22" s="2"/>
      <c r="Y22" s="2"/>
    </row>
    <row r="23" spans="1:25" customFormat="1" ht="12.75" customHeight="1" x14ac:dyDescent="0.25">
      <c r="A23" s="2"/>
      <c r="B23" s="17">
        <f t="shared" ref="B23:B29" si="0">LEN(C23)</f>
        <v>3</v>
      </c>
      <c r="C23" s="38" t="s">
        <v>994</v>
      </c>
      <c r="D23" s="39"/>
      <c r="E23" s="327">
        <v>30.71</v>
      </c>
      <c r="F23" s="40">
        <v>10</v>
      </c>
      <c r="G23" s="41">
        <v>45</v>
      </c>
      <c r="H23" s="42"/>
      <c r="I23" s="40"/>
      <c r="J23" s="418" t="s">
        <v>1067</v>
      </c>
      <c r="K23" s="419"/>
      <c r="L23" s="419"/>
      <c r="M23" s="419"/>
      <c r="N23" s="419"/>
      <c r="O23" s="419"/>
      <c r="P23" s="420"/>
      <c r="Q23" s="2"/>
      <c r="R23" s="2"/>
      <c r="S23" s="2"/>
      <c r="T23" s="2"/>
      <c r="U23" s="2"/>
      <c r="V23" s="2"/>
      <c r="W23" s="2"/>
      <c r="X23" s="2"/>
      <c r="Y23" s="2"/>
    </row>
    <row r="24" spans="1:25" customFormat="1" ht="12.75" customHeight="1" x14ac:dyDescent="0.25">
      <c r="A24" s="2"/>
      <c r="B24" s="17"/>
      <c r="C24" s="340" t="s">
        <v>1227</v>
      </c>
      <c r="D24" s="341"/>
      <c r="E24" s="345">
        <v>4</v>
      </c>
      <c r="F24" s="342"/>
      <c r="G24" s="343"/>
      <c r="H24" s="344"/>
      <c r="I24" s="342"/>
      <c r="J24" s="336" t="s">
        <v>1259</v>
      </c>
      <c r="K24" s="337"/>
      <c r="L24" s="337"/>
      <c r="M24" s="337"/>
      <c r="N24" s="337"/>
      <c r="O24" s="337"/>
      <c r="P24" s="338"/>
      <c r="Q24" s="2"/>
      <c r="R24" s="2"/>
      <c r="S24" s="2"/>
      <c r="T24" s="2"/>
      <c r="U24" s="2"/>
      <c r="V24" s="2"/>
      <c r="W24" s="2"/>
      <c r="X24" s="2"/>
      <c r="Y24" s="2"/>
    </row>
    <row r="25" spans="1:25" customFormat="1" ht="15.75" customHeight="1" x14ac:dyDescent="0.25">
      <c r="A25" s="2"/>
      <c r="B25" s="17">
        <f t="shared" si="0"/>
        <v>6</v>
      </c>
      <c r="C25" s="38" t="s">
        <v>1068</v>
      </c>
      <c r="D25" s="39" t="s">
        <v>1069</v>
      </c>
      <c r="E25" s="332">
        <f>141.5/(E23+131.5)</f>
        <v>0.87232599716416981</v>
      </c>
      <c r="F25" s="40"/>
      <c r="G25" s="41"/>
      <c r="H25" s="42"/>
      <c r="I25" s="40"/>
      <c r="J25" s="418" t="s">
        <v>1070</v>
      </c>
      <c r="K25" s="419"/>
      <c r="L25" s="419"/>
      <c r="M25" s="419"/>
      <c r="N25" s="419"/>
      <c r="O25" s="419"/>
      <c r="P25" s="420"/>
      <c r="Q25" s="2"/>
      <c r="R25" s="2"/>
      <c r="S25" s="2"/>
      <c r="T25" s="2"/>
      <c r="U25" s="2"/>
      <c r="V25" s="2"/>
      <c r="W25" s="2"/>
      <c r="X25" s="2"/>
      <c r="Y25" s="2"/>
    </row>
    <row r="26" spans="1:25" customFormat="1" ht="14.25" customHeight="1" x14ac:dyDescent="0.25">
      <c r="A26" s="2"/>
      <c r="B26" s="17">
        <f t="shared" si="0"/>
        <v>6</v>
      </c>
      <c r="C26" s="38" t="s">
        <v>1071</v>
      </c>
      <c r="D26" s="39"/>
      <c r="E26" s="346">
        <f>1/CONVERT(42,"gal","l")*1000</f>
        <v>6.2898107704321058</v>
      </c>
      <c r="F26" s="40"/>
      <c r="G26" s="41"/>
      <c r="H26" s="42" t="s">
        <v>1072</v>
      </c>
      <c r="I26" s="40"/>
      <c r="J26" s="418" t="s">
        <v>1073</v>
      </c>
      <c r="K26" s="419"/>
      <c r="L26" s="419"/>
      <c r="M26" s="419"/>
      <c r="N26" s="419"/>
      <c r="O26" s="419"/>
      <c r="P26" s="420"/>
      <c r="Q26" s="2"/>
      <c r="R26" s="2"/>
      <c r="S26" s="2"/>
      <c r="T26" s="2"/>
      <c r="U26" s="2"/>
      <c r="V26" s="2"/>
      <c r="W26" s="2"/>
      <c r="X26" s="2"/>
      <c r="Y26" s="2"/>
    </row>
    <row r="27" spans="1:25" customFormat="1" ht="15" customHeight="1" x14ac:dyDescent="0.25">
      <c r="A27" s="2"/>
      <c r="B27" s="17">
        <f t="shared" si="0"/>
        <v>11</v>
      </c>
      <c r="C27" s="38" t="s">
        <v>1108</v>
      </c>
      <c r="D27" s="39" t="s">
        <v>1109</v>
      </c>
      <c r="E27" s="327">
        <f>E25*1000/E26</f>
        <v>138.68875058450155</v>
      </c>
      <c r="F27" s="40"/>
      <c r="G27" s="41"/>
      <c r="H27" s="42" t="s">
        <v>1085</v>
      </c>
      <c r="I27" s="40"/>
      <c r="J27" s="418" t="s">
        <v>1110</v>
      </c>
      <c r="K27" s="419"/>
      <c r="L27" s="419"/>
      <c r="M27" s="419"/>
      <c r="N27" s="419"/>
      <c r="O27" s="419"/>
      <c r="P27" s="420"/>
      <c r="Q27" s="2"/>
      <c r="R27" s="2"/>
      <c r="S27" s="2"/>
      <c r="T27" s="2"/>
      <c r="U27" s="2"/>
      <c r="V27" s="2"/>
      <c r="W27" s="2"/>
      <c r="X27" s="2"/>
      <c r="Y27" s="2"/>
    </row>
    <row r="28" spans="1:25" s="195" customFormat="1" x14ac:dyDescent="0.25">
      <c r="A28" s="2"/>
      <c r="B28" s="17">
        <f t="shared" si="0"/>
        <v>10</v>
      </c>
      <c r="C28" s="262" t="str">
        <f>C33&amp;"_Low"</f>
        <v>CO_bbl_Low</v>
      </c>
      <c r="D28" s="39"/>
      <c r="E28" s="68">
        <f>HLOOKUP(LEFT($C28,LEN($C28)-4),'Emission Rates'!$R$146:$AJ$162,3,FALSE)</f>
        <v>1.1812747749291584E-2</v>
      </c>
      <c r="F28" s="68">
        <f>HLOOKUP(LEFT($C28,LEN($C28)-4),'Emission Rates'!$R$146:$AJ$162,9,FALSE)</f>
        <v>3.55019287602525E-5</v>
      </c>
      <c r="G28" s="68">
        <f>HLOOKUP(LEFT($C28,LEN($C28)-4),'Emission Rates'!$R$146:$AJ$162,15,FALSE)</f>
        <v>3.5115994757773793E-2</v>
      </c>
      <c r="H28" s="264" t="s">
        <v>1085</v>
      </c>
      <c r="I28" s="328">
        <v>2</v>
      </c>
      <c r="J28" s="425" t="str">
        <f>"[kg/bbl] Kg of "&amp; LEFT(C28,LEN(C28)-8)&amp;" emitted to air per bbl of crude throughput - Low Complexity"</f>
        <v>[kg/bbl] Kg of CO emitted to air per bbl of crude throughput - Low Complexity</v>
      </c>
      <c r="K28" s="426"/>
      <c r="L28" s="426"/>
      <c r="M28" s="426"/>
      <c r="N28" s="426"/>
      <c r="O28" s="426"/>
      <c r="P28" s="427"/>
      <c r="Q28" s="2"/>
      <c r="R28" s="2"/>
      <c r="S28" s="2"/>
      <c r="T28" s="2"/>
      <c r="U28" s="2"/>
      <c r="V28" s="2"/>
      <c r="W28" s="2"/>
      <c r="X28" s="2"/>
      <c r="Y28" s="2"/>
    </row>
    <row r="29" spans="1:25" s="195" customFormat="1" x14ac:dyDescent="0.25">
      <c r="A29" s="2"/>
      <c r="B29" s="17">
        <f t="shared" si="0"/>
        <v>10</v>
      </c>
      <c r="C29" s="262" t="str">
        <f>C33&amp;"_Med"</f>
        <v>CO_bbl_Med</v>
      </c>
      <c r="D29" s="39"/>
      <c r="E29" s="68">
        <f>HLOOKUP(LEFT(C29,LEN(C29)-4),'Emission Rates'!$R$146:$AJ$162,4,FALSE)</f>
        <v>8.6255900998136632E-3</v>
      </c>
      <c r="F29" s="68">
        <f>HLOOKUP(LEFT($C29,LEN($C29)-4),'Emission Rates'!$R$146:$AJ$162,10,FALSE)</f>
        <v>1.6745509826660731E-4</v>
      </c>
      <c r="G29" s="68">
        <f>HLOOKUP(LEFT($C29,LEN($C29)-4),'Emission Rates'!$R$146:$AJ$162,16,FALSE)</f>
        <v>1.750000003401039E-2</v>
      </c>
      <c r="H29" s="264" t="s">
        <v>1085</v>
      </c>
      <c r="I29" s="328">
        <v>2</v>
      </c>
      <c r="J29" s="425" t="str">
        <f>"[kg/bbl] Kg of "&amp; LEFT(C29,LEN(C29)-8)&amp;" emitted to air per bbl of crude throughput - Med Complexity"</f>
        <v>[kg/bbl] Kg of CO emitted to air per bbl of crude throughput - Med Complexity</v>
      </c>
      <c r="K29" s="426"/>
      <c r="L29" s="426"/>
      <c r="M29" s="426"/>
      <c r="N29" s="426"/>
      <c r="O29" s="426"/>
      <c r="P29" s="427"/>
      <c r="Q29" s="2"/>
      <c r="R29" s="2"/>
      <c r="S29" s="2"/>
      <c r="T29" s="2"/>
      <c r="U29" s="2"/>
      <c r="V29" s="2"/>
      <c r="W29" s="2"/>
      <c r="X29" s="2"/>
      <c r="Y29" s="2"/>
    </row>
    <row r="30" spans="1:25" s="195" customFormat="1" x14ac:dyDescent="0.25">
      <c r="A30" s="2"/>
      <c r="B30" s="17">
        <f t="shared" ref="B30:B138" si="1">LEN(C30)</f>
        <v>12</v>
      </c>
      <c r="C30" s="262" t="str">
        <f>C33&amp;"_HighH"</f>
        <v>CO_bbl_HighH</v>
      </c>
      <c r="D30" s="39"/>
      <c r="E30" s="68">
        <f>HLOOKUP(LEFT(C30,LEN(C30)-6),'Emission Rates'!$R$146:$AJ$162,5,FALSE)</f>
        <v>8.6404910947074122E-3</v>
      </c>
      <c r="F30" s="68">
        <f>HLOOKUP(LEFT($C30,LEN($C30)-6),'Emission Rates'!$R$146:$AJ$162,11,FALSE)</f>
        <v>2.5245760559013266E-4</v>
      </c>
      <c r="G30" s="68">
        <f>HLOOKUP(LEFT($C30,LEN($C30)-6),'Emission Rates'!$R$146:$AJ$162,17,FALSE)</f>
        <v>3.1004194054167763E-2</v>
      </c>
      <c r="H30" s="264" t="s">
        <v>1085</v>
      </c>
      <c r="I30" s="328">
        <v>2</v>
      </c>
      <c r="J30" s="425" t="str">
        <f>"[kg/bbl] Kg of "&amp; LEFT(C30,LEN(C30)-10)&amp;" emitted to air per bbl of crude throughput - High Complexity Hydro Cracking"</f>
        <v>[kg/bbl] Kg of CO emitted to air per bbl of crude throughput - High Complexity Hydro Cracking</v>
      </c>
      <c r="K30" s="426"/>
      <c r="L30" s="426"/>
      <c r="M30" s="426"/>
      <c r="N30" s="426"/>
      <c r="O30" s="426"/>
      <c r="P30" s="427"/>
      <c r="Q30" s="2"/>
      <c r="R30" s="2"/>
      <c r="S30" s="2"/>
      <c r="T30" s="2"/>
      <c r="U30" s="2"/>
      <c r="V30" s="2"/>
      <c r="W30" s="2"/>
      <c r="X30" s="2"/>
      <c r="Y30" s="2"/>
    </row>
    <row r="31" spans="1:25" s="195" customFormat="1" x14ac:dyDescent="0.25">
      <c r="A31" s="2"/>
      <c r="B31" s="17">
        <f t="shared" ref="B31" si="2">LEN(C31)</f>
        <v>12</v>
      </c>
      <c r="C31" s="262" t="str">
        <f>C33&amp;"_HighC"</f>
        <v>CO_bbl_HighC</v>
      </c>
      <c r="D31" s="39"/>
      <c r="E31" s="68">
        <f>HLOOKUP(LEFT(C31,LEN(C31)-6),'Emission Rates'!$R$146:$AJ$162,6,FALSE)</f>
        <v>1.1867700769346764E-2</v>
      </c>
      <c r="F31" s="68">
        <f>HLOOKUP(LEFT($C31,LEN($C31)-6),'Emission Rates'!$R$146:$AJ$162,12,FALSE)</f>
        <v>9.3015830255997121E-5</v>
      </c>
      <c r="G31" s="68">
        <f>HLOOKUP(LEFT($C31,LEN($C31)-6),'Emission Rates'!$R$146:$AJ$165,18,FALSE)</f>
        <v>7.8841418575342465E-2</v>
      </c>
      <c r="H31" s="264" t="s">
        <v>1085</v>
      </c>
      <c r="I31" s="328">
        <v>2</v>
      </c>
      <c r="J31" s="425" t="str">
        <f>"[kg/bbl] Kg of "&amp; LEFT(C31,LEN(C31)-10)&amp;" emitted to air per bbl of crude throughput - High Complexity Coking"</f>
        <v>[kg/bbl] Kg of CO emitted to air per bbl of crude throughput - High Complexity Coking</v>
      </c>
      <c r="K31" s="426"/>
      <c r="L31" s="426"/>
      <c r="M31" s="426"/>
      <c r="N31" s="426"/>
      <c r="O31" s="426"/>
      <c r="P31" s="427"/>
      <c r="Q31" s="2"/>
      <c r="R31" s="2"/>
      <c r="S31" s="2"/>
      <c r="T31" s="2"/>
      <c r="U31" s="2"/>
      <c r="V31" s="2"/>
      <c r="W31" s="2"/>
      <c r="X31" s="2"/>
      <c r="Y31" s="2"/>
    </row>
    <row r="32" spans="1:25" s="195" customFormat="1" x14ac:dyDescent="0.25">
      <c r="A32" s="2"/>
      <c r="B32" s="17">
        <f t="shared" ref="B32" si="3">LEN(C32)</f>
        <v>12</v>
      </c>
      <c r="C32" s="262" t="str">
        <f>C33&amp;"_HighB"</f>
        <v>CO_bbl_HighB</v>
      </c>
      <c r="D32" s="39"/>
      <c r="E32" s="68">
        <f>HLOOKUP(LEFT(C32,LEN(C32)-6),'Emission Rates'!$R$146:$AJ$162,7,FALSE)</f>
        <v>8.4671050930762281E-3</v>
      </c>
      <c r="F32" s="68">
        <f>HLOOKUP(LEFT($C32,LEN($C32)-6),'Emission Rates'!$R$146:$AJ$162,13,FALSE)</f>
        <v>7.8410592054383344E-4</v>
      </c>
      <c r="G32" s="68">
        <f>HLOOKUP(LEFT($C32,LEN($C32)-6),'Emission Rates'!$R$146:$AJ$165,19,FALSE)</f>
        <v>1.97097519111082E-2</v>
      </c>
      <c r="H32" s="264" t="s">
        <v>1085</v>
      </c>
      <c r="I32" s="328">
        <v>2</v>
      </c>
      <c r="J32" s="425" t="str">
        <f>"[kg/bbl] Kg of "&amp; LEFT(C32,LEN(C32)-10)&amp;" emitted to air per bbl of crude throughput - High Complexity Hydro Cracking and Coking"</f>
        <v>[kg/bbl] Kg of CO emitted to air per bbl of crude throughput - High Complexity Hydro Cracking and Coking</v>
      </c>
      <c r="K32" s="426"/>
      <c r="L32" s="426"/>
      <c r="M32" s="426"/>
      <c r="N32" s="426"/>
      <c r="O32" s="426"/>
      <c r="P32" s="427"/>
      <c r="Q32" s="2"/>
      <c r="R32" s="2"/>
      <c r="S32" s="2"/>
      <c r="T32" s="2"/>
      <c r="U32" s="2"/>
      <c r="V32" s="2"/>
      <c r="W32" s="2"/>
      <c r="X32" s="2"/>
      <c r="Y32" s="2"/>
    </row>
    <row r="33" spans="1:25" s="195" customFormat="1" ht="26.25" x14ac:dyDescent="0.25">
      <c r="A33" s="2"/>
      <c r="B33" s="17">
        <f t="shared" ref="B33:B38" si="4">LEN(C33)</f>
        <v>6</v>
      </c>
      <c r="C33" s="262" t="s">
        <v>1077</v>
      </c>
      <c r="D33" s="39" t="str">
        <f>"IF(NC=0;"&amp;C28&amp;";IF(NC=1;"&amp;C29&amp;";IF(NC=2;"&amp;C30&amp;";IF(NC=3;"&amp;C31&amp;";"&amp;C32&amp;"))))"</f>
        <v>IF(NC=0;CO_bbl_Low;IF(NC=1;CO_bbl_Med;IF(NC=2;CO_bbl_HighH;IF(NC=3;CO_bbl_HighC;CO_bbl_HighB))))</v>
      </c>
      <c r="E33" s="68">
        <f>IF($E$24=0,E28,IF($E$24=1,E29,IF($E$24=2,E30,IF($E$24=3,E31,E32))))</f>
        <v>8.4671050930762281E-3</v>
      </c>
      <c r="F33" s="68"/>
      <c r="G33" s="68"/>
      <c r="H33" s="264" t="s">
        <v>1085</v>
      </c>
      <c r="I33" s="328">
        <v>2</v>
      </c>
      <c r="J33" s="425" t="s">
        <v>1086</v>
      </c>
      <c r="K33" s="426"/>
      <c r="L33" s="426"/>
      <c r="M33" s="426"/>
      <c r="N33" s="426"/>
      <c r="O33" s="426"/>
      <c r="P33" s="427"/>
      <c r="Q33" s="2"/>
      <c r="R33" s="2"/>
      <c r="S33" s="2"/>
      <c r="T33" s="2"/>
      <c r="U33" s="2"/>
      <c r="V33" s="2"/>
      <c r="W33" s="2"/>
      <c r="X33" s="2"/>
      <c r="Y33" s="2"/>
    </row>
    <row r="34" spans="1:25" s="195" customFormat="1" x14ac:dyDescent="0.25">
      <c r="A34" s="2"/>
      <c r="B34" s="17">
        <f t="shared" si="4"/>
        <v>11</v>
      </c>
      <c r="C34" s="262" t="str">
        <f>C39&amp;"_Low"</f>
        <v>VOC_bbl_Low</v>
      </c>
      <c r="D34" s="39"/>
      <c r="E34" s="68">
        <f>HLOOKUP(LEFT($C34,LEN($C34)-4),'Emission Rates'!$R$146:$AJ$162,3,FALSE)</f>
        <v>1.6984877862655245E-2</v>
      </c>
      <c r="F34" s="68">
        <f>HLOOKUP(LEFT($C34,LEN($C34)-4),'Emission Rates'!$R$146:$AJ$162,9,FALSE)</f>
        <v>2.4402070140421689E-6</v>
      </c>
      <c r="G34" s="68">
        <f>HLOOKUP(LEFT($C34,LEN($C34)-4),'Emission Rates'!$R$146:$AJ$162,15,FALSE)</f>
        <v>5.4135332835616438E-2</v>
      </c>
      <c r="H34" s="264" t="s">
        <v>1085</v>
      </c>
      <c r="I34" s="328">
        <v>2</v>
      </c>
      <c r="J34" s="425" t="str">
        <f>"[kg/bbl] Kg of "&amp; LEFT(C34,LEN(C34)-8)&amp;" emitted to air per bbl of crude throughput - Low Complexity"</f>
        <v>[kg/bbl] Kg of VOC emitted to air per bbl of crude throughput - Low Complexity</v>
      </c>
      <c r="K34" s="426"/>
      <c r="L34" s="426"/>
      <c r="M34" s="426"/>
      <c r="N34" s="426"/>
      <c r="O34" s="426"/>
      <c r="P34" s="427"/>
      <c r="Q34" s="2"/>
      <c r="R34" s="2"/>
      <c r="S34" s="2"/>
      <c r="T34" s="2"/>
      <c r="U34" s="2"/>
      <c r="V34" s="2"/>
      <c r="W34" s="2"/>
      <c r="X34" s="2"/>
      <c r="Y34" s="2"/>
    </row>
    <row r="35" spans="1:25" s="195" customFormat="1" x14ac:dyDescent="0.25">
      <c r="A35" s="2"/>
      <c r="B35" s="17">
        <f t="shared" si="4"/>
        <v>11</v>
      </c>
      <c r="C35" s="262" t="str">
        <f>C39&amp;"_Med"</f>
        <v>VOC_bbl_Med</v>
      </c>
      <c r="D35" s="39"/>
      <c r="E35" s="68">
        <f>HLOOKUP(LEFT(C35,LEN(C35)-4),'Emission Rates'!$R$146:$AJ$162,4,FALSE)</f>
        <v>1.8611000200276034E-2</v>
      </c>
      <c r="F35" s="68">
        <f>HLOOKUP(LEFT($C35,LEN($C35)-4),'Emission Rates'!$R$146:$AJ$162,10,FALSE)</f>
        <v>7.2578681848179403E-4</v>
      </c>
      <c r="G35" s="68">
        <f>HLOOKUP(LEFT($C35,LEN($C35)-4),'Emission Rates'!$R$146:$AJ$162,16,FALSE)</f>
        <v>0.10733954197548666</v>
      </c>
      <c r="H35" s="264" t="s">
        <v>1085</v>
      </c>
      <c r="I35" s="328">
        <v>2</v>
      </c>
      <c r="J35" s="425" t="str">
        <f>"[kg/bbl] Kg of "&amp; LEFT(C35,LEN(C35)-8)&amp;" emitted to air per bbl of crude throughput - Med Complexity"</f>
        <v>[kg/bbl] Kg of VOC emitted to air per bbl of crude throughput - Med Complexity</v>
      </c>
      <c r="K35" s="426"/>
      <c r="L35" s="426"/>
      <c r="M35" s="426"/>
      <c r="N35" s="426"/>
      <c r="O35" s="426"/>
      <c r="P35" s="427"/>
      <c r="Q35" s="2"/>
      <c r="R35" s="2"/>
      <c r="S35" s="2"/>
      <c r="T35" s="2"/>
      <c r="U35" s="2"/>
      <c r="V35" s="2"/>
      <c r="W35" s="2"/>
      <c r="X35" s="2"/>
      <c r="Y35" s="2"/>
    </row>
    <row r="36" spans="1:25" s="195" customFormat="1" x14ac:dyDescent="0.25">
      <c r="A36" s="2"/>
      <c r="B36" s="17">
        <f t="shared" si="4"/>
        <v>13</v>
      </c>
      <c r="C36" s="262" t="str">
        <f>C39&amp;"_HighH"</f>
        <v>VOC_bbl_HighH</v>
      </c>
      <c r="D36" s="39"/>
      <c r="E36" s="68">
        <f>HLOOKUP(LEFT(C36,LEN(C36)-6),'Emission Rates'!$R$146:$AJ$162,5,FALSE)</f>
        <v>1.5939848288028056E-2</v>
      </c>
      <c r="F36" s="68">
        <f>HLOOKUP(LEFT($C36,LEN($C36)-6),'Emission Rates'!$R$146:$AJ$162,11,FALSE)</f>
        <v>1.351683711757761E-3</v>
      </c>
      <c r="G36" s="68">
        <f>HLOOKUP(LEFT($C36,LEN($C36)-6),'Emission Rates'!$R$146:$AJ$162,17,FALSE)</f>
        <v>5.2276258215783668E-2</v>
      </c>
      <c r="H36" s="264" t="s">
        <v>1085</v>
      </c>
      <c r="I36" s="328">
        <v>2</v>
      </c>
      <c r="J36" s="425" t="str">
        <f>"[kg/bbl] Kg of "&amp; LEFT(C36,LEN(C36)-10)&amp;" emitted to air per bbl of crude throughput - High Complexity Hydro Cracking"</f>
        <v>[kg/bbl] Kg of VOC emitted to air per bbl of crude throughput - High Complexity Hydro Cracking</v>
      </c>
      <c r="K36" s="426"/>
      <c r="L36" s="426"/>
      <c r="M36" s="426"/>
      <c r="N36" s="426"/>
      <c r="O36" s="426"/>
      <c r="P36" s="427"/>
      <c r="Q36" s="2"/>
      <c r="R36" s="2"/>
      <c r="S36" s="2"/>
      <c r="T36" s="2"/>
      <c r="U36" s="2"/>
      <c r="V36" s="2"/>
      <c r="W36" s="2"/>
      <c r="X36" s="2"/>
      <c r="Y36" s="2"/>
    </row>
    <row r="37" spans="1:25" s="195" customFormat="1" x14ac:dyDescent="0.25">
      <c r="A37" s="2"/>
      <c r="B37" s="17">
        <f t="shared" si="4"/>
        <v>13</v>
      </c>
      <c r="C37" s="262" t="str">
        <f>C39&amp;"_HighC"</f>
        <v>VOC_bbl_HighC</v>
      </c>
      <c r="D37" s="39"/>
      <c r="E37" s="68">
        <f>HLOOKUP(LEFT(C37,LEN(C37)-6),'Emission Rates'!$R$146:$AJ$162,6,FALSE)</f>
        <v>1.5229368533518473E-2</v>
      </c>
      <c r="F37" s="68">
        <f>HLOOKUP(LEFT($C37,LEN($C37)-6),'Emission Rates'!$R$146:$AJ$162,12,FALSE)</f>
        <v>2.2337892569053848E-4</v>
      </c>
      <c r="G37" s="68">
        <f>HLOOKUP(LEFT($C37,LEN($C37)-6),'Emission Rates'!$R$146:$AJ$165,18,FALSE)</f>
        <v>5.0282123425162459E-2</v>
      </c>
      <c r="H37" s="264" t="s">
        <v>1085</v>
      </c>
      <c r="I37" s="328">
        <v>2</v>
      </c>
      <c r="J37" s="425" t="str">
        <f>"[kg/bbl] Kg of "&amp; LEFT(C37,LEN(C37)-10)&amp;" emitted to air per bbl of crude throughput - High Complexity Coking"</f>
        <v>[kg/bbl] Kg of VOC emitted to air per bbl of crude throughput - High Complexity Coking</v>
      </c>
      <c r="K37" s="426"/>
      <c r="L37" s="426"/>
      <c r="M37" s="426"/>
      <c r="N37" s="426"/>
      <c r="O37" s="426"/>
      <c r="P37" s="427"/>
      <c r="Q37" s="2"/>
      <c r="R37" s="2"/>
      <c r="S37" s="2"/>
      <c r="T37" s="2"/>
      <c r="U37" s="2"/>
      <c r="V37" s="2"/>
      <c r="W37" s="2"/>
      <c r="X37" s="2"/>
      <c r="Y37" s="2"/>
    </row>
    <row r="38" spans="1:25" s="195" customFormat="1" x14ac:dyDescent="0.25">
      <c r="A38" s="2"/>
      <c r="B38" s="17">
        <f t="shared" si="4"/>
        <v>13</v>
      </c>
      <c r="C38" s="262" t="str">
        <f>C39&amp;"_HighB"</f>
        <v>VOC_bbl_HighB</v>
      </c>
      <c r="D38" s="39"/>
      <c r="E38" s="68">
        <f>HLOOKUP(LEFT(C38,LEN(C38)-6),'Emission Rates'!$R$146:$AJ$162,7,FALSE)</f>
        <v>9.0869221619022267E-3</v>
      </c>
      <c r="F38" s="68">
        <f>HLOOKUP(LEFT($C38,LEN($C38)-6),'Emission Rates'!$R$146:$AJ$162,13,FALSE)</f>
        <v>1.028249189684247E-3</v>
      </c>
      <c r="G38" s="68">
        <f>HLOOKUP(LEFT($C38,LEN($C38)-6),'Emission Rates'!$R$146:$AJ$165,19,FALSE)</f>
        <v>3.3224662098381069E-2</v>
      </c>
      <c r="H38" s="264" t="s">
        <v>1085</v>
      </c>
      <c r="I38" s="328">
        <v>2</v>
      </c>
      <c r="J38" s="425" t="str">
        <f>"[kg/bbl] Kg of "&amp; LEFT(C38,LEN(C38)-10)&amp;" emitted to air per bbl of crude throughput - High Complexity Hydro Cracking and Coking"</f>
        <v>[kg/bbl] Kg of VOC emitted to air per bbl of crude throughput - High Complexity Hydro Cracking and Coking</v>
      </c>
      <c r="K38" s="426"/>
      <c r="L38" s="426"/>
      <c r="M38" s="426"/>
      <c r="N38" s="426"/>
      <c r="O38" s="426"/>
      <c r="P38" s="427"/>
      <c r="Q38" s="2"/>
      <c r="R38" s="2"/>
      <c r="S38" s="2"/>
      <c r="T38" s="2"/>
      <c r="U38" s="2"/>
      <c r="V38" s="2"/>
      <c r="W38" s="2"/>
      <c r="X38" s="2"/>
      <c r="Y38" s="2"/>
    </row>
    <row r="39" spans="1:25" s="195" customFormat="1" ht="29.25" customHeight="1" x14ac:dyDescent="0.25">
      <c r="A39" s="2"/>
      <c r="B39" s="17">
        <f t="shared" si="1"/>
        <v>7</v>
      </c>
      <c r="C39" s="262" t="s">
        <v>1078</v>
      </c>
      <c r="D39" s="39" t="str">
        <f>"IF(NC=0;"&amp;C34&amp;";IF(NC=1;"&amp;C35&amp;";IF(NC=2;"&amp;C36&amp;";IF(NC=3;"&amp;C37&amp;";"&amp;C38&amp;"))))"</f>
        <v>IF(NC=0;VOC_bbl_Low;IF(NC=1;VOC_bbl_Med;IF(NC=2;VOC_bbl_HighH;IF(NC=3;VOC_bbl_HighC;VOC_bbl_HighB))))</v>
      </c>
      <c r="E39" s="68">
        <f>IF($E$24=0,E34,IF($E$24=1,E35,IF($E$24=2,E36,IF($E$24=3,E37,E38))))</f>
        <v>9.0869221619022267E-3</v>
      </c>
      <c r="F39" s="68"/>
      <c r="G39" s="68"/>
      <c r="H39" s="264" t="s">
        <v>1085</v>
      </c>
      <c r="I39" s="328">
        <v>2</v>
      </c>
      <c r="J39" s="425" t="s">
        <v>1087</v>
      </c>
      <c r="K39" s="426"/>
      <c r="L39" s="426"/>
      <c r="M39" s="426"/>
      <c r="N39" s="426"/>
      <c r="O39" s="426"/>
      <c r="P39" s="427"/>
      <c r="Q39" s="2"/>
      <c r="R39" s="2"/>
      <c r="S39" s="2"/>
      <c r="T39" s="2"/>
      <c r="U39" s="2"/>
      <c r="V39" s="2"/>
      <c r="W39" s="2"/>
      <c r="X39" s="2"/>
      <c r="Y39" s="2"/>
    </row>
    <row r="40" spans="1:25" s="195" customFormat="1" x14ac:dyDescent="0.25">
      <c r="A40" s="2"/>
      <c r="B40" s="17">
        <f t="shared" si="1"/>
        <v>11</v>
      </c>
      <c r="C40" s="262" t="str">
        <f>C45&amp;"_Low"</f>
        <v>NOX_bbl_Low</v>
      </c>
      <c r="D40" s="39"/>
      <c r="E40" s="68">
        <f>HLOOKUP(LEFT($C40,LEN($C40)-4),'Emission Rates'!$R$146:$AJ$162,3,FALSE)</f>
        <v>2.5244061743313041E-2</v>
      </c>
      <c r="F40" s="68">
        <f>HLOOKUP(LEFT($C40,LEN($C40)-4),'Emission Rates'!$R$146:$AJ$162,9,FALSE)</f>
        <v>2.664847009919697E-7</v>
      </c>
      <c r="G40" s="68">
        <f>HLOOKUP(LEFT($C40,LEN($C40)-4),'Emission Rates'!$R$146:$AJ$162,15,FALSE)</f>
        <v>0.25318911990410964</v>
      </c>
      <c r="H40" s="264" t="s">
        <v>1085</v>
      </c>
      <c r="I40" s="328">
        <v>2</v>
      </c>
      <c r="J40" s="425" t="str">
        <f>"[kg/bbl] Kg of "&amp; LEFT(C40,LEN(C40)-8)&amp;" emitted to air per bbl of crude throughput - Low Complexity"</f>
        <v>[kg/bbl] Kg of NOX emitted to air per bbl of crude throughput - Low Complexity</v>
      </c>
      <c r="K40" s="426"/>
      <c r="L40" s="426"/>
      <c r="M40" s="426"/>
      <c r="N40" s="426"/>
      <c r="O40" s="426"/>
      <c r="P40" s="427"/>
      <c r="Q40" s="2"/>
      <c r="R40" s="2"/>
      <c r="S40" s="2"/>
      <c r="T40" s="2"/>
      <c r="U40" s="2"/>
      <c r="V40" s="2"/>
      <c r="W40" s="2"/>
      <c r="X40" s="2"/>
      <c r="Y40" s="2"/>
    </row>
    <row r="41" spans="1:25" s="195" customFormat="1" x14ac:dyDescent="0.25">
      <c r="A41" s="2"/>
      <c r="B41" s="17">
        <f t="shared" si="1"/>
        <v>11</v>
      </c>
      <c r="C41" s="262" t="str">
        <f>C45&amp;"_Med"</f>
        <v>NOX_bbl_Med</v>
      </c>
      <c r="D41" s="39"/>
      <c r="E41" s="68">
        <f>HLOOKUP(LEFT(C41,LEN(C41)-4),'Emission Rates'!$R$146:$AJ$162,4,FALSE)</f>
        <v>1.21384323099936E-2</v>
      </c>
      <c r="F41" s="68">
        <f>HLOOKUP(LEFT($C41,LEN($C41)-4),'Emission Rates'!$R$146:$AJ$162,10,FALSE)</f>
        <v>2.6650678769221318E-6</v>
      </c>
      <c r="G41" s="68">
        <f>HLOOKUP(LEFT($C41,LEN($C41)-4),'Emission Rates'!$R$146:$AJ$162,16,FALSE)</f>
        <v>6.2952367794611275E-2</v>
      </c>
      <c r="H41" s="264" t="s">
        <v>1085</v>
      </c>
      <c r="I41" s="328">
        <v>2</v>
      </c>
      <c r="J41" s="425" t="str">
        <f>"[kg/bbl] Kg of "&amp; LEFT(C41,LEN(C41)-8)&amp;" emitted to air per bbl of crude throughput - Med Complexity"</f>
        <v>[kg/bbl] Kg of NOX emitted to air per bbl of crude throughput - Med Complexity</v>
      </c>
      <c r="K41" s="426"/>
      <c r="L41" s="426"/>
      <c r="M41" s="426"/>
      <c r="N41" s="426"/>
      <c r="O41" s="426"/>
      <c r="P41" s="427"/>
      <c r="Q41" s="2"/>
      <c r="R41" s="2"/>
      <c r="S41" s="2"/>
      <c r="T41" s="2"/>
      <c r="U41" s="2"/>
      <c r="V41" s="2"/>
      <c r="W41" s="2"/>
      <c r="X41" s="2"/>
      <c r="Y41" s="2"/>
    </row>
    <row r="42" spans="1:25" s="195" customFormat="1" x14ac:dyDescent="0.25">
      <c r="A42" s="2"/>
      <c r="B42" s="17">
        <f t="shared" si="1"/>
        <v>13</v>
      </c>
      <c r="C42" s="262" t="str">
        <f>C45&amp;"_HighH"</f>
        <v>NOX_bbl_HighH</v>
      </c>
      <c r="D42" s="39"/>
      <c r="E42" s="68">
        <f>HLOOKUP(LEFT(C42,LEN(C42)-6),'Emission Rates'!$R$146:$AJ$162,5,FALSE)</f>
        <v>6.933429573408729E-3</v>
      </c>
      <c r="F42" s="68">
        <f>HLOOKUP(LEFT($C42,LEN($C42)-6),'Emission Rates'!$R$146:$AJ$162,11,FALSE)</f>
        <v>4.9897297608849335E-5</v>
      </c>
      <c r="G42" s="68">
        <f>HLOOKUP(LEFT($C42,LEN($C42)-6),'Emission Rates'!$R$146:$AJ$162,17,FALSE)</f>
        <v>3.7479677783185887E-2</v>
      </c>
      <c r="H42" s="264" t="s">
        <v>1085</v>
      </c>
      <c r="I42" s="328">
        <v>2</v>
      </c>
      <c r="J42" s="425" t="str">
        <f>"[kg/bbl] Kg of "&amp; LEFT(C42,LEN(C42)-10)&amp;" emitted to air per bbl of crude throughput - High Complexity Hydro Cracking"</f>
        <v>[kg/bbl] Kg of NOX emitted to air per bbl of crude throughput - High Complexity Hydro Cracking</v>
      </c>
      <c r="K42" s="426"/>
      <c r="L42" s="426"/>
      <c r="M42" s="426"/>
      <c r="N42" s="426"/>
      <c r="O42" s="426"/>
      <c r="P42" s="427"/>
      <c r="Q42" s="2"/>
      <c r="R42" s="2"/>
      <c r="S42" s="2"/>
      <c r="T42" s="2"/>
      <c r="U42" s="2"/>
      <c r="V42" s="2"/>
      <c r="W42" s="2"/>
      <c r="X42" s="2"/>
      <c r="Y42" s="2"/>
    </row>
    <row r="43" spans="1:25" s="195" customFormat="1" x14ac:dyDescent="0.25">
      <c r="A43" s="2"/>
      <c r="B43" s="17">
        <f t="shared" si="1"/>
        <v>13</v>
      </c>
      <c r="C43" s="262" t="str">
        <f>C45&amp;"_HighC"</f>
        <v>NOX_bbl_HighC</v>
      </c>
      <c r="D43" s="39"/>
      <c r="E43" s="68">
        <f>HLOOKUP(LEFT(C43,LEN(C43)-6),'Emission Rates'!$R$146:$AJ$162,6,FALSE)</f>
        <v>7.6387703650074162E-3</v>
      </c>
      <c r="F43" s="68">
        <f>HLOOKUP(LEFT($C43,LEN($C43)-6),'Emission Rates'!$R$146:$AJ$162,12,FALSE)</f>
        <v>2.6424951777271904E-6</v>
      </c>
      <c r="G43" s="68">
        <f>HLOOKUP(LEFT($C43,LEN($C43)-6),'Emission Rates'!$R$146:$AJ$165,18,FALSE)</f>
        <v>2.7164552487062402E-2</v>
      </c>
      <c r="H43" s="264" t="s">
        <v>1085</v>
      </c>
      <c r="I43" s="328">
        <v>2</v>
      </c>
      <c r="J43" s="425" t="str">
        <f>"[kg/bbl] Kg of "&amp; LEFT(C43,LEN(C43)-10)&amp;" emitted to air per bbl of crude throughput - High Complexity Coking"</f>
        <v>[kg/bbl] Kg of NOX emitted to air per bbl of crude throughput - High Complexity Coking</v>
      </c>
      <c r="K43" s="426"/>
      <c r="L43" s="426"/>
      <c r="M43" s="426"/>
      <c r="N43" s="426"/>
      <c r="O43" s="426"/>
      <c r="P43" s="427"/>
      <c r="Q43" s="2"/>
      <c r="R43" s="2"/>
      <c r="S43" s="2"/>
      <c r="T43" s="2"/>
      <c r="U43" s="2"/>
      <c r="V43" s="2"/>
      <c r="W43" s="2"/>
      <c r="X43" s="2"/>
      <c r="Y43" s="2"/>
    </row>
    <row r="44" spans="1:25" s="195" customFormat="1" x14ac:dyDescent="0.25">
      <c r="A44" s="2"/>
      <c r="B44" s="17">
        <f t="shared" si="1"/>
        <v>13</v>
      </c>
      <c r="C44" s="262" t="str">
        <f>C45&amp;"_HighB"</f>
        <v>NOX_bbl_HighB</v>
      </c>
      <c r="D44" s="39"/>
      <c r="E44" s="68">
        <f>HLOOKUP(LEFT(C44,LEN(C44)-6),'Emission Rates'!$R$146:$AJ$162,7,FALSE)</f>
        <v>9.3539121077585042E-3</v>
      </c>
      <c r="F44" s="68">
        <f>HLOOKUP(LEFT($C44,LEN($C44)-6),'Emission Rates'!$R$146:$AJ$162,13,FALSE)</f>
        <v>2.4730711280098041E-4</v>
      </c>
      <c r="G44" s="68">
        <f>HLOOKUP(LEFT($C44,LEN($C44)-6),'Emission Rates'!$R$146:$AJ$165,19,FALSE)</f>
        <v>5.6829718909450884E-2</v>
      </c>
      <c r="H44" s="264" t="s">
        <v>1085</v>
      </c>
      <c r="I44" s="328">
        <v>2</v>
      </c>
      <c r="J44" s="425" t="str">
        <f>"[kg/bbl] Kg of "&amp; LEFT(C44,LEN(C44)-10)&amp;" emitted to air per bbl of crude throughput - High Complexity Hydro Cracking and Coking"</f>
        <v>[kg/bbl] Kg of NOX emitted to air per bbl of crude throughput - High Complexity Hydro Cracking and Coking</v>
      </c>
      <c r="K44" s="426"/>
      <c r="L44" s="426"/>
      <c r="M44" s="426"/>
      <c r="N44" s="426"/>
      <c r="O44" s="426"/>
      <c r="P44" s="427"/>
      <c r="Q44" s="2"/>
      <c r="R44" s="2"/>
      <c r="S44" s="2"/>
      <c r="T44" s="2"/>
      <c r="U44" s="2"/>
      <c r="V44" s="2"/>
      <c r="W44" s="2"/>
      <c r="X44" s="2"/>
      <c r="Y44" s="2"/>
    </row>
    <row r="45" spans="1:25" s="195" customFormat="1" ht="26.25" x14ac:dyDescent="0.25">
      <c r="A45" s="2"/>
      <c r="B45" s="17">
        <f t="shared" si="1"/>
        <v>7</v>
      </c>
      <c r="C45" s="262" t="s">
        <v>1079</v>
      </c>
      <c r="D45" s="39" t="str">
        <f>"IF(NC=0;"&amp;C40&amp;";IF(NC=1;"&amp;C41&amp;";IF(NC=2;"&amp;C42&amp;";IF(NC=3;"&amp;C43&amp;";"&amp;C44&amp;"))))"</f>
        <v>IF(NC=0;NOX_bbl_Low;IF(NC=1;NOX_bbl_Med;IF(NC=2;NOX_bbl_HighH;IF(NC=3;NOX_bbl_HighC;NOX_bbl_HighB))))</v>
      </c>
      <c r="E45" s="68">
        <f>IF($E$24=0,E40,IF($E$24=1,E41,IF($E$24=2,E42,IF($E$24=3,E43,E44))))</f>
        <v>9.3539121077585042E-3</v>
      </c>
      <c r="F45" s="68"/>
      <c r="G45" s="68"/>
      <c r="H45" s="264" t="s">
        <v>1085</v>
      </c>
      <c r="I45" s="328">
        <v>2</v>
      </c>
      <c r="J45" s="425" t="s">
        <v>1088</v>
      </c>
      <c r="K45" s="426"/>
      <c r="L45" s="426"/>
      <c r="M45" s="426"/>
      <c r="N45" s="426"/>
      <c r="O45" s="426"/>
      <c r="P45" s="427"/>
      <c r="Q45" s="2"/>
      <c r="R45" s="2"/>
      <c r="S45" s="2"/>
      <c r="T45" s="2"/>
      <c r="U45" s="2"/>
      <c r="V45" s="2"/>
      <c r="W45" s="2"/>
      <c r="X45" s="2"/>
      <c r="Y45" s="2"/>
    </row>
    <row r="46" spans="1:25" s="195" customFormat="1" x14ac:dyDescent="0.25">
      <c r="A46" s="2"/>
      <c r="B46" s="17">
        <f t="shared" ref="B46:B50" si="5">LEN(C46)</f>
        <v>11</v>
      </c>
      <c r="C46" s="262" t="str">
        <f>C51&amp;"_Low"</f>
        <v>SO2_bbl_Low</v>
      </c>
      <c r="D46" s="39"/>
      <c r="E46" s="68">
        <f>HLOOKUP(LEFT($C46,LEN($C46)-4),'Emission Rates'!$R$146:$AJ$162,3,FALSE)</f>
        <v>1.5220190084868726E-2</v>
      </c>
      <c r="F46" s="68">
        <f>HLOOKUP(LEFT($C46,LEN($C46)-4),'Emission Rates'!$R$146:$AJ$162,9,FALSE)</f>
        <v>4.4047058015201611E-5</v>
      </c>
      <c r="G46" s="68">
        <f>HLOOKUP(LEFT($C46,LEN($C46)-4),'Emission Rates'!$R$146:$AJ$162,15,FALSE)</f>
        <v>7.3529208328767123E-2</v>
      </c>
      <c r="H46" s="264" t="s">
        <v>1085</v>
      </c>
      <c r="I46" s="328">
        <v>2</v>
      </c>
      <c r="J46" s="425" t="str">
        <f>"[kg/bbl] Kg of "&amp; LEFT(C46,LEN(C46)-8)&amp;" emitted to air per bbl of crude throughput - Low Complexity"</f>
        <v>[kg/bbl] Kg of SO2 emitted to air per bbl of crude throughput - Low Complexity</v>
      </c>
      <c r="K46" s="426"/>
      <c r="L46" s="426"/>
      <c r="M46" s="426"/>
      <c r="N46" s="426"/>
      <c r="O46" s="426"/>
      <c r="P46" s="427"/>
      <c r="Q46" s="2"/>
      <c r="R46" s="2"/>
      <c r="S46" s="2"/>
      <c r="T46" s="2"/>
      <c r="U46" s="2"/>
      <c r="V46" s="2"/>
      <c r="W46" s="2"/>
      <c r="X46" s="2"/>
      <c r="Y46" s="2"/>
    </row>
    <row r="47" spans="1:25" s="195" customFormat="1" x14ac:dyDescent="0.25">
      <c r="A47" s="2"/>
      <c r="B47" s="17">
        <f t="shared" si="5"/>
        <v>11</v>
      </c>
      <c r="C47" s="262" t="str">
        <f>C51&amp;"_Med"</f>
        <v>SO2_bbl_Med</v>
      </c>
      <c r="D47" s="39"/>
      <c r="E47" s="68">
        <f>HLOOKUP(LEFT(C47,LEN(C47)-4),'Emission Rates'!$R$146:$AJ$162,4,FALSE)</f>
        <v>1.431974341517373E-2</v>
      </c>
      <c r="F47" s="68">
        <f>HLOOKUP(LEFT($C47,LEN($C47)-4),'Emission Rates'!$R$146:$AJ$162,10,FALSE)</f>
        <v>1.5679482675891876E-4</v>
      </c>
      <c r="G47" s="68">
        <f>HLOOKUP(LEFT($C47,LEN($C47)-4),'Emission Rates'!$R$146:$AJ$162,16,FALSE)</f>
        <v>4.4123071449170881E-2</v>
      </c>
      <c r="H47" s="264" t="s">
        <v>1085</v>
      </c>
      <c r="I47" s="328">
        <v>2</v>
      </c>
      <c r="J47" s="425" t="str">
        <f>"[kg/bbl] Kg of "&amp; LEFT(C47,LEN(C47)-8)&amp;" emitted to air per bbl of crude throughput - Med Complexity"</f>
        <v>[kg/bbl] Kg of SO2 emitted to air per bbl of crude throughput - Med Complexity</v>
      </c>
      <c r="K47" s="426"/>
      <c r="L47" s="426"/>
      <c r="M47" s="426"/>
      <c r="N47" s="426"/>
      <c r="O47" s="426"/>
      <c r="P47" s="427"/>
      <c r="Q47" s="2"/>
      <c r="R47" s="2"/>
      <c r="S47" s="2"/>
      <c r="T47" s="2"/>
      <c r="U47" s="2"/>
      <c r="V47" s="2"/>
      <c r="W47" s="2"/>
      <c r="X47" s="2"/>
      <c r="Y47" s="2"/>
    </row>
    <row r="48" spans="1:25" s="195" customFormat="1" x14ac:dyDescent="0.25">
      <c r="A48" s="2"/>
      <c r="B48" s="17">
        <f t="shared" si="5"/>
        <v>13</v>
      </c>
      <c r="C48" s="262" t="str">
        <f>C51&amp;"_HighH"</f>
        <v>SO2_bbl_HighH</v>
      </c>
      <c r="D48" s="39"/>
      <c r="E48" s="68">
        <f>HLOOKUP(LEFT(C48,LEN(C48)-6),'Emission Rates'!$R$146:$AJ$162,5,FALSE)</f>
        <v>1.2683198691882903E-2</v>
      </c>
      <c r="F48" s="68">
        <f>HLOOKUP(LEFT($C48,LEN($C48)-6),'Emission Rates'!$R$146:$AJ$162,11,FALSE)</f>
        <v>1.3208365207666509E-3</v>
      </c>
      <c r="G48" s="68">
        <f>HLOOKUP(LEFT($C48,LEN($C48)-6),'Emission Rates'!$R$146:$AJ$162,17,FALSE)</f>
        <v>2.8100539148264027E-2</v>
      </c>
      <c r="H48" s="264" t="s">
        <v>1085</v>
      </c>
      <c r="I48" s="328">
        <v>2</v>
      </c>
      <c r="J48" s="425" t="str">
        <f>"[kg/bbl] Kg of "&amp; LEFT(C48,LEN(C48)-10)&amp;" emitted to air per bbl of crude throughput - High Complexity Hydro Cracking"</f>
        <v>[kg/bbl] Kg of SO2 emitted to air per bbl of crude throughput - High Complexity Hydro Cracking</v>
      </c>
      <c r="K48" s="426"/>
      <c r="L48" s="426"/>
      <c r="M48" s="426"/>
      <c r="N48" s="426"/>
      <c r="O48" s="426"/>
      <c r="P48" s="427"/>
      <c r="Q48" s="2"/>
      <c r="R48" s="2"/>
      <c r="S48" s="2"/>
      <c r="T48" s="2"/>
      <c r="U48" s="2"/>
      <c r="V48" s="2"/>
      <c r="W48" s="2"/>
      <c r="X48" s="2"/>
      <c r="Y48" s="2"/>
    </row>
    <row r="49" spans="1:25" s="195" customFormat="1" x14ac:dyDescent="0.25">
      <c r="A49" s="2"/>
      <c r="B49" s="17">
        <f t="shared" si="5"/>
        <v>13</v>
      </c>
      <c r="C49" s="262" t="str">
        <f>C51&amp;"_HighC"</f>
        <v>SO2_bbl_HighC</v>
      </c>
      <c r="D49" s="39"/>
      <c r="E49" s="68">
        <f>HLOOKUP(LEFT(C49,LEN(C49)-6),'Emission Rates'!$R$146:$AJ$162,6,FALSE)</f>
        <v>1.4510123645953131E-2</v>
      </c>
      <c r="F49" s="68">
        <f>HLOOKUP(LEFT($C49,LEN($C49)-6),'Emission Rates'!$R$146:$AJ$162,12,FALSE)</f>
        <v>8.4207512996906472E-5</v>
      </c>
      <c r="G49" s="68">
        <f>HLOOKUP(LEFT($C49,LEN($C49)-6),'Emission Rates'!$R$146:$AJ$165,18,FALSE)</f>
        <v>5.2188489613917553E-2</v>
      </c>
      <c r="H49" s="264" t="s">
        <v>1085</v>
      </c>
      <c r="I49" s="328">
        <v>2</v>
      </c>
      <c r="J49" s="425" t="str">
        <f>"[kg/bbl] Kg of "&amp; LEFT(C49,LEN(C49)-10)&amp;" emitted to air per bbl of crude throughput - High Complexity Coking"</f>
        <v>[kg/bbl] Kg of SO2 emitted to air per bbl of crude throughput - High Complexity Coking</v>
      </c>
      <c r="K49" s="426"/>
      <c r="L49" s="426"/>
      <c r="M49" s="426"/>
      <c r="N49" s="426"/>
      <c r="O49" s="426"/>
      <c r="P49" s="427"/>
      <c r="Q49" s="2"/>
      <c r="R49" s="2"/>
      <c r="S49" s="2"/>
      <c r="T49" s="2"/>
      <c r="U49" s="2"/>
      <c r="V49" s="2"/>
      <c r="W49" s="2"/>
      <c r="X49" s="2"/>
      <c r="Y49" s="2"/>
    </row>
    <row r="50" spans="1:25" s="195" customFormat="1" x14ac:dyDescent="0.25">
      <c r="A50" s="2"/>
      <c r="B50" s="17">
        <f t="shared" si="5"/>
        <v>13</v>
      </c>
      <c r="C50" s="262" t="str">
        <f>C51&amp;"_HighB"</f>
        <v>SO2_bbl_HighB</v>
      </c>
      <c r="D50" s="39"/>
      <c r="E50" s="68">
        <f>HLOOKUP(LEFT(C50,LEN(C50)-6),'Emission Rates'!$R$146:$AJ$162,7,FALSE)</f>
        <v>1.3712179199683247E-2</v>
      </c>
      <c r="F50" s="68">
        <f>HLOOKUP(LEFT($C50,LEN($C50)-6),'Emission Rates'!$R$146:$AJ$162,13,FALSE)</f>
        <v>1.1511117851695954E-3</v>
      </c>
      <c r="G50" s="68">
        <f>HLOOKUP(LEFT($C50,LEN($C50)-6),'Emission Rates'!$R$146:$AJ$165,19,FALSE)</f>
        <v>3.3617131584701261E-2</v>
      </c>
      <c r="H50" s="264" t="s">
        <v>1085</v>
      </c>
      <c r="I50" s="328">
        <v>2</v>
      </c>
      <c r="J50" s="425" t="str">
        <f>"[kg/bbl] Kg of "&amp; LEFT(C50,LEN(C50)-10)&amp;" emitted to air per bbl of crude throughput - High Complexity Hydro Cracking and Coking"</f>
        <v>[kg/bbl] Kg of SO2 emitted to air per bbl of crude throughput - High Complexity Hydro Cracking and Coking</v>
      </c>
      <c r="K50" s="426"/>
      <c r="L50" s="426"/>
      <c r="M50" s="426"/>
      <c r="N50" s="426"/>
      <c r="O50" s="426"/>
      <c r="P50" s="427"/>
      <c r="Q50" s="2"/>
      <c r="R50" s="2"/>
      <c r="S50" s="2"/>
      <c r="T50" s="2"/>
      <c r="U50" s="2"/>
      <c r="V50" s="2"/>
      <c r="W50" s="2"/>
      <c r="X50" s="2"/>
      <c r="Y50" s="2"/>
    </row>
    <row r="51" spans="1:25" s="195" customFormat="1" ht="26.25" x14ac:dyDescent="0.25">
      <c r="A51" s="2"/>
      <c r="B51" s="17">
        <f t="shared" si="1"/>
        <v>7</v>
      </c>
      <c r="C51" s="262" t="s">
        <v>1080</v>
      </c>
      <c r="D51" s="39" t="str">
        <f>"IF(NC=0;"&amp;C46&amp;";IF(NC=1;"&amp;C47&amp;";IF(NC=2;"&amp;C48&amp;";IF(NC=3;"&amp;C49&amp;";"&amp;C50&amp;"))))"</f>
        <v>IF(NC=0;SO2_bbl_Low;IF(NC=1;SO2_bbl_Med;IF(NC=2;SO2_bbl_HighH;IF(NC=3;SO2_bbl_HighC;SO2_bbl_HighB))))</v>
      </c>
      <c r="E51" s="68">
        <f>IF($E$24=0,E46,IF($E$24=1,E47,IF($E$24=2,E48,IF($E$24=3,E49,E50))))</f>
        <v>1.3712179199683247E-2</v>
      </c>
      <c r="F51" s="68"/>
      <c r="G51" s="68"/>
      <c r="H51" s="264" t="s">
        <v>1085</v>
      </c>
      <c r="I51" s="328">
        <v>2</v>
      </c>
      <c r="J51" s="425" t="s">
        <v>1089</v>
      </c>
      <c r="K51" s="426"/>
      <c r="L51" s="426"/>
      <c r="M51" s="426"/>
      <c r="N51" s="426"/>
      <c r="O51" s="426"/>
      <c r="P51" s="427"/>
      <c r="Q51" s="2"/>
      <c r="R51" s="2"/>
      <c r="S51" s="2"/>
      <c r="T51" s="2"/>
      <c r="U51" s="2"/>
      <c r="V51" s="2"/>
      <c r="W51" s="2"/>
      <c r="X51" s="2"/>
      <c r="Y51" s="2"/>
    </row>
    <row r="52" spans="1:25" s="195" customFormat="1" x14ac:dyDescent="0.25">
      <c r="A52" s="2"/>
      <c r="B52" s="17">
        <f t="shared" si="1"/>
        <v>13</v>
      </c>
      <c r="C52" s="262" t="str">
        <f>C57&amp;"_Low"</f>
        <v>PM2.5_bbl_Low</v>
      </c>
      <c r="D52" s="39"/>
      <c r="E52" s="68">
        <f>HLOOKUP(LEFT($C52,LEN($C52)-4),'Emission Rates'!$R$146:$AJ$162,3,FALSE)</f>
        <v>2.7902854044631561E-3</v>
      </c>
      <c r="F52" s="68">
        <f>HLOOKUP(LEFT($C52,LEN($C52)-4),'Emission Rates'!$R$146:$AJ$162,9,FALSE)</f>
        <v>8.7653645450251209E-6</v>
      </c>
      <c r="G52" s="68">
        <f>HLOOKUP(LEFT($C52,LEN($C52)-4),'Emission Rates'!$R$146:$AJ$162,15,FALSE)</f>
        <v>9.056851665092111E-3</v>
      </c>
      <c r="H52" s="264" t="s">
        <v>1085</v>
      </c>
      <c r="I52" s="328">
        <v>2</v>
      </c>
      <c r="J52" s="425" t="str">
        <f>"[kg/bbl] Kg of "&amp; LEFT(C52,LEN(C52)-8)&amp;" emitted to air per bbl of crude throughput - Low Complexity"</f>
        <v>[kg/bbl] Kg of PM2.5 emitted to air per bbl of crude throughput - Low Complexity</v>
      </c>
      <c r="K52" s="426"/>
      <c r="L52" s="426"/>
      <c r="M52" s="426"/>
      <c r="N52" s="426"/>
      <c r="O52" s="426"/>
      <c r="P52" s="427"/>
      <c r="Q52" s="2"/>
      <c r="R52" s="2"/>
      <c r="S52" s="2"/>
      <c r="T52" s="2"/>
      <c r="U52" s="2"/>
      <c r="V52" s="2"/>
      <c r="W52" s="2"/>
      <c r="X52" s="2"/>
      <c r="Y52" s="2"/>
    </row>
    <row r="53" spans="1:25" s="195" customFormat="1" x14ac:dyDescent="0.25">
      <c r="A53" s="2"/>
      <c r="B53" s="17">
        <f t="shared" si="1"/>
        <v>13</v>
      </c>
      <c r="C53" s="262" t="str">
        <f>C57&amp;"_Med"</f>
        <v>PM2.5_bbl_Med</v>
      </c>
      <c r="D53" s="39"/>
      <c r="E53" s="68">
        <f>HLOOKUP(LEFT(C53,LEN(C53)-4),'Emission Rates'!$R$146:$AJ$162,4,FALSE)</f>
        <v>4.3148204823811407E-3</v>
      </c>
      <c r="F53" s="68">
        <f>HLOOKUP(LEFT($C53,LEN($C53)-4),'Emission Rates'!$R$146:$AJ$162,10,FALSE)</f>
        <v>4.2507832636908002E-6</v>
      </c>
      <c r="G53" s="68">
        <f>HLOOKUP(LEFT($C53,LEN($C53)-4),'Emission Rates'!$R$146:$AJ$162,16,FALSE)</f>
        <v>1.6838134096475964E-2</v>
      </c>
      <c r="H53" s="264" t="s">
        <v>1085</v>
      </c>
      <c r="I53" s="328">
        <v>2</v>
      </c>
      <c r="J53" s="425" t="str">
        <f>"[kg/bbl] Kg of "&amp; LEFT(C53,LEN(C53)-8)&amp;" emitted to air per bbl of crude throughput - Med Complexity"</f>
        <v>[kg/bbl] Kg of PM2.5 emitted to air per bbl of crude throughput - Med Complexity</v>
      </c>
      <c r="K53" s="426"/>
      <c r="L53" s="426"/>
      <c r="M53" s="426"/>
      <c r="N53" s="426"/>
      <c r="O53" s="426"/>
      <c r="P53" s="427"/>
      <c r="Q53" s="2"/>
      <c r="R53" s="2"/>
      <c r="S53" s="2"/>
      <c r="T53" s="2"/>
      <c r="U53" s="2"/>
      <c r="V53" s="2"/>
      <c r="W53" s="2"/>
      <c r="X53" s="2"/>
      <c r="Y53" s="2"/>
    </row>
    <row r="54" spans="1:25" s="195" customFormat="1" x14ac:dyDescent="0.25">
      <c r="A54" s="2"/>
      <c r="B54" s="17">
        <f t="shared" si="1"/>
        <v>15</v>
      </c>
      <c r="C54" s="262" t="str">
        <f>C57&amp;"_HighH"</f>
        <v>PM2.5_bbl_HighH</v>
      </c>
      <c r="D54" s="39"/>
      <c r="E54" s="68">
        <f>HLOOKUP(LEFT(C54,LEN(C54)-6),'Emission Rates'!$R$146:$AJ$162,5,FALSE)</f>
        <v>3.1222541131806694E-3</v>
      </c>
      <c r="F54" s="68">
        <f>HLOOKUP(LEFT($C54,LEN($C54)-6),'Emission Rates'!$R$146:$AJ$162,11,FALSE)</f>
        <v>7.0345577189358528E-5</v>
      </c>
      <c r="G54" s="68">
        <f>HLOOKUP(LEFT($C54,LEN($C54)-6),'Emission Rates'!$R$146:$AJ$162,17,FALSE)</f>
        <v>8.947584672783641E-3</v>
      </c>
      <c r="H54" s="264" t="s">
        <v>1085</v>
      </c>
      <c r="I54" s="328">
        <v>2</v>
      </c>
      <c r="J54" s="425" t="str">
        <f>"[kg/bbl] Kg of "&amp; LEFT(C54,LEN(C54)-10)&amp;" emitted to air per bbl of crude throughput - High Complexity Hydro Cracking"</f>
        <v>[kg/bbl] Kg of PM2.5 emitted to air per bbl of crude throughput - High Complexity Hydro Cracking</v>
      </c>
      <c r="K54" s="426"/>
      <c r="L54" s="426"/>
      <c r="M54" s="426"/>
      <c r="N54" s="426"/>
      <c r="O54" s="426"/>
      <c r="P54" s="427"/>
      <c r="Q54" s="2"/>
      <c r="R54" s="2"/>
      <c r="S54" s="2"/>
      <c r="T54" s="2"/>
      <c r="U54" s="2"/>
      <c r="V54" s="2"/>
      <c r="W54" s="2"/>
      <c r="X54" s="2"/>
      <c r="Y54" s="2"/>
    </row>
    <row r="55" spans="1:25" s="195" customFormat="1" x14ac:dyDescent="0.25">
      <c r="A55" s="2"/>
      <c r="B55" s="17">
        <f t="shared" si="1"/>
        <v>15</v>
      </c>
      <c r="C55" s="262" t="str">
        <f>C57&amp;"_HighC"</f>
        <v>PM2.5_bbl_HighC</v>
      </c>
      <c r="D55" s="39"/>
      <c r="E55" s="68">
        <f>HLOOKUP(LEFT(C55,LEN(C55)-6),'Emission Rates'!$R$146:$AJ$162,6,FALSE)</f>
        <v>3.6267221248770889E-3</v>
      </c>
      <c r="F55" s="68">
        <f>HLOOKUP(LEFT($C55,LEN($C55)-6),'Emission Rates'!$R$146:$AJ$162,12,FALSE)</f>
        <v>1.0746147056090573E-5</v>
      </c>
      <c r="G55" s="68">
        <f>HLOOKUP(LEFT($C55,LEN($C55)-6),'Emission Rates'!$R$146:$AJ$165,18,FALSE)</f>
        <v>1.6906858270890508E-2</v>
      </c>
      <c r="H55" s="264" t="s">
        <v>1085</v>
      </c>
      <c r="I55" s="328">
        <v>2</v>
      </c>
      <c r="J55" s="425" t="str">
        <f>"[kg/bbl] Kg of "&amp; LEFT(C55,LEN(C55)-10)&amp;" emitted to air per bbl of crude throughput - High Complexity Coking"</f>
        <v>[kg/bbl] Kg of PM2.5 emitted to air per bbl of crude throughput - High Complexity Coking</v>
      </c>
      <c r="K55" s="426"/>
      <c r="L55" s="426"/>
      <c r="M55" s="426"/>
      <c r="N55" s="426"/>
      <c r="O55" s="426"/>
      <c r="P55" s="427"/>
      <c r="Q55" s="2"/>
      <c r="R55" s="2"/>
      <c r="S55" s="2"/>
      <c r="T55" s="2"/>
      <c r="U55" s="2"/>
      <c r="V55" s="2"/>
      <c r="W55" s="2"/>
      <c r="X55" s="2"/>
      <c r="Y55" s="2"/>
    </row>
    <row r="56" spans="1:25" s="195" customFormat="1" x14ac:dyDescent="0.25">
      <c r="A56" s="2"/>
      <c r="B56" s="17">
        <f t="shared" si="1"/>
        <v>15</v>
      </c>
      <c r="C56" s="262" t="str">
        <f>C57&amp;"_HighB"</f>
        <v>PM2.5_bbl_HighB</v>
      </c>
      <c r="D56" s="39"/>
      <c r="E56" s="68">
        <f>HLOOKUP(LEFT(C56,LEN(C56)-6),'Emission Rates'!$R$146:$AJ$162,7,FALSE)</f>
        <v>3.6676937985201429E-3</v>
      </c>
      <c r="F56" s="68">
        <f>HLOOKUP(LEFT($C56,LEN($C56)-6),'Emission Rates'!$R$146:$AJ$162,13,FALSE)</f>
        <v>7.1567005299280736E-4</v>
      </c>
      <c r="G56" s="68">
        <f>HLOOKUP(LEFT($C56,LEN($C56)-6),'Emission Rates'!$R$146:$AJ$165,19,FALSE)</f>
        <v>1.3645717529050496E-2</v>
      </c>
      <c r="H56" s="264" t="s">
        <v>1085</v>
      </c>
      <c r="I56" s="328">
        <v>2</v>
      </c>
      <c r="J56" s="425" t="str">
        <f>"[kg/bbl] Kg of "&amp; LEFT(C56,LEN(C56)-10)&amp;" emitted to air per bbl of crude throughput - High Complexity Hydro Cracking and Coking"</f>
        <v>[kg/bbl] Kg of PM2.5 emitted to air per bbl of crude throughput - High Complexity Hydro Cracking and Coking</v>
      </c>
      <c r="K56" s="426"/>
      <c r="L56" s="426"/>
      <c r="M56" s="426"/>
      <c r="N56" s="426"/>
      <c r="O56" s="426"/>
      <c r="P56" s="427"/>
      <c r="Q56" s="2"/>
      <c r="R56" s="2"/>
      <c r="S56" s="2"/>
      <c r="T56" s="2"/>
      <c r="U56" s="2"/>
      <c r="V56" s="2"/>
      <c r="W56" s="2"/>
      <c r="X56" s="2"/>
      <c r="Y56" s="2"/>
    </row>
    <row r="57" spans="1:25" s="195" customFormat="1" ht="26.25" x14ac:dyDescent="0.25">
      <c r="A57" s="2"/>
      <c r="B57" s="17">
        <f t="shared" si="1"/>
        <v>9</v>
      </c>
      <c r="C57" s="262" t="s">
        <v>1081</v>
      </c>
      <c r="D57" s="39" t="str">
        <f>"IF(NC=0;"&amp;C52&amp;";IF(NC=1;"&amp;C53&amp;";IF(NC=2;"&amp;C54&amp;";IF(NC=3;"&amp;C55&amp;";"&amp;C56&amp;"))))"</f>
        <v>IF(NC=0;PM2.5_bbl_Low;IF(NC=1;PM2.5_bbl_Med;IF(NC=2;PM2.5_bbl_HighH;IF(NC=3;PM2.5_bbl_HighC;PM2.5_bbl_HighB))))</v>
      </c>
      <c r="E57" s="68">
        <f>IF($E$24=0,E52,IF($E$24=1,E53,IF($E$24=2,E54,IF($E$24=3,E55,E56))))</f>
        <v>3.6676937985201429E-3</v>
      </c>
      <c r="F57" s="68"/>
      <c r="G57" s="68"/>
      <c r="H57" s="264" t="s">
        <v>1085</v>
      </c>
      <c r="I57" s="328">
        <v>2</v>
      </c>
      <c r="J57" s="425" t="s">
        <v>1090</v>
      </c>
      <c r="K57" s="426"/>
      <c r="L57" s="426"/>
      <c r="M57" s="426"/>
      <c r="N57" s="426"/>
      <c r="O57" s="426"/>
      <c r="P57" s="427"/>
      <c r="Q57" s="2"/>
      <c r="R57" s="2"/>
      <c r="S57" s="2"/>
      <c r="T57" s="2"/>
      <c r="U57" s="2"/>
      <c r="V57" s="2"/>
      <c r="W57" s="2"/>
      <c r="X57" s="2"/>
      <c r="Y57" s="2"/>
    </row>
    <row r="58" spans="1:25" s="195" customFormat="1" x14ac:dyDescent="0.25">
      <c r="A58" s="2"/>
      <c r="B58" s="17">
        <f t="shared" si="1"/>
        <v>12</v>
      </c>
      <c r="C58" s="262" t="str">
        <f>C63&amp;"_Low"</f>
        <v>PM10_bbl_Low</v>
      </c>
      <c r="D58" s="39"/>
      <c r="E58" s="68">
        <f>HLOOKUP(LEFT($C58,LEN($C58)-4),'Emission Rates'!$R$146:$AJ$162,3,FALSE)</f>
        <v>3.593051869608553E-3</v>
      </c>
      <c r="F58" s="68">
        <f>HLOOKUP(LEFT($C58,LEN($C58)-4),'Emission Rates'!$R$146:$AJ$162,9,FALSE)</f>
        <v>8.7653645450251209E-6</v>
      </c>
      <c r="G58" s="68">
        <f>HLOOKUP(LEFT($C58,LEN($C58)-4),'Emission Rates'!$R$146:$AJ$162,15,FALSE)</f>
        <v>1.092950090930562E-2</v>
      </c>
      <c r="H58" s="264" t="s">
        <v>1085</v>
      </c>
      <c r="I58" s="328">
        <v>2</v>
      </c>
      <c r="J58" s="425" t="str">
        <f>"[kg/bbl] Kg of "&amp; LEFT(C58,LEN(C58)-8)&amp;" emitted to air per bbl of crude throughput - Low Complexity"</f>
        <v>[kg/bbl] Kg of PM10 emitted to air per bbl of crude throughput - Low Complexity</v>
      </c>
      <c r="K58" s="426"/>
      <c r="L58" s="426"/>
      <c r="M58" s="426"/>
      <c r="N58" s="426"/>
      <c r="O58" s="426"/>
      <c r="P58" s="427"/>
      <c r="Q58" s="2"/>
      <c r="R58" s="2"/>
      <c r="S58" s="2"/>
      <c r="T58" s="2"/>
      <c r="U58" s="2"/>
      <c r="V58" s="2"/>
      <c r="W58" s="2"/>
      <c r="X58" s="2"/>
      <c r="Y58" s="2"/>
    </row>
    <row r="59" spans="1:25" s="195" customFormat="1" x14ac:dyDescent="0.25">
      <c r="A59" s="2"/>
      <c r="B59" s="17">
        <f t="shared" si="1"/>
        <v>12</v>
      </c>
      <c r="C59" s="262" t="str">
        <f>C63&amp;"_Med"</f>
        <v>PM10_bbl_Med</v>
      </c>
      <c r="D59" s="39"/>
      <c r="E59" s="68">
        <f>HLOOKUP(LEFT(C59,LEN(C59)-4),'Emission Rates'!$R$146:$AJ$162,4,FALSE)</f>
        <v>4.8795987474670186E-3</v>
      </c>
      <c r="F59" s="68">
        <f>HLOOKUP(LEFT($C59,LEN($C59)-4),'Emission Rates'!$R$146:$AJ$162,10,FALSE)</f>
        <v>1.5546229282045769E-5</v>
      </c>
      <c r="G59" s="68">
        <f>HLOOKUP(LEFT($C59,LEN($C59)-4),'Emission Rates'!$R$146:$AJ$162,16,FALSE)</f>
        <v>1.8931229323810542E-2</v>
      </c>
      <c r="H59" s="264" t="s">
        <v>1085</v>
      </c>
      <c r="I59" s="328">
        <v>2</v>
      </c>
      <c r="J59" s="425" t="str">
        <f>"[kg/bbl] Kg of "&amp; LEFT(C59,LEN(C59)-8)&amp;" emitted to air per bbl of crude throughput - Med Complexity"</f>
        <v>[kg/bbl] Kg of PM10 emitted to air per bbl of crude throughput - Med Complexity</v>
      </c>
      <c r="K59" s="426"/>
      <c r="L59" s="426"/>
      <c r="M59" s="426"/>
      <c r="N59" s="426"/>
      <c r="O59" s="426"/>
      <c r="P59" s="427"/>
      <c r="Q59" s="2"/>
      <c r="R59" s="2"/>
      <c r="S59" s="2"/>
      <c r="T59" s="2"/>
      <c r="U59" s="2"/>
      <c r="V59" s="2"/>
      <c r="W59" s="2"/>
      <c r="X59" s="2"/>
      <c r="Y59" s="2"/>
    </row>
    <row r="60" spans="1:25" s="195" customFormat="1" x14ac:dyDescent="0.25">
      <c r="A60" s="2"/>
      <c r="B60" s="17">
        <f t="shared" ref="B60:B62" si="6">LEN(C60)</f>
        <v>14</v>
      </c>
      <c r="C60" s="262" t="str">
        <f>C63&amp;"_HighH"</f>
        <v>PM10_bbl_HighH</v>
      </c>
      <c r="D60" s="39"/>
      <c r="E60" s="68">
        <f>HLOOKUP(LEFT(C60,LEN(C60)-6),'Emission Rates'!$R$146:$AJ$162,5,FALSE)</f>
        <v>3.5771106664869356E-3</v>
      </c>
      <c r="F60" s="68">
        <f>HLOOKUP(LEFT($C60,LEN($C60)-6),'Emission Rates'!$R$146:$AJ$162,11,FALSE)</f>
        <v>7.0345577189358528E-5</v>
      </c>
      <c r="G60" s="68">
        <f>HLOOKUP(LEFT($C60,LEN($C60)-6),'Emission Rates'!$R$146:$AJ$162,17,FALSE)</f>
        <v>9.3712670112171895E-3</v>
      </c>
      <c r="H60" s="264" t="s">
        <v>1085</v>
      </c>
      <c r="I60" s="328">
        <v>2</v>
      </c>
      <c r="J60" s="425" t="str">
        <f>"[kg/bbl] Kg of "&amp; LEFT(C60,LEN(C60)-10)&amp;" emitted to air per bbl of crude throughput - High Complexity Hydro Cracking"</f>
        <v>[kg/bbl] Kg of PM10 emitted to air per bbl of crude throughput - High Complexity Hydro Cracking</v>
      </c>
      <c r="K60" s="426"/>
      <c r="L60" s="426"/>
      <c r="M60" s="426"/>
      <c r="N60" s="426"/>
      <c r="O60" s="426"/>
      <c r="P60" s="427"/>
      <c r="Q60" s="2"/>
      <c r="R60" s="2"/>
      <c r="S60" s="2"/>
      <c r="T60" s="2"/>
      <c r="U60" s="2"/>
      <c r="V60" s="2"/>
      <c r="W60" s="2"/>
      <c r="X60" s="2"/>
      <c r="Y60" s="2"/>
    </row>
    <row r="61" spans="1:25" s="195" customFormat="1" x14ac:dyDescent="0.25">
      <c r="A61" s="2"/>
      <c r="B61" s="17">
        <f t="shared" si="6"/>
        <v>14</v>
      </c>
      <c r="C61" s="262" t="str">
        <f>C63&amp;"_HighC"</f>
        <v>PM10_bbl_HighC</v>
      </c>
      <c r="D61" s="39"/>
      <c r="E61" s="68">
        <f>HLOOKUP(LEFT(C61,LEN(C61)-6),'Emission Rates'!$R$146:$AJ$162,6,FALSE)</f>
        <v>4.1012938419196969E-3</v>
      </c>
      <c r="F61" s="68">
        <f>HLOOKUP(LEFT($C61,LEN($C61)-6),'Emission Rates'!$R$146:$AJ$162,12,FALSE)</f>
        <v>1.0746147056090573E-5</v>
      </c>
      <c r="G61" s="68">
        <f>HLOOKUP(LEFT($C61,LEN($C61)-6),'Emission Rates'!$R$146:$AJ$165,18,FALSE)</f>
        <v>1.786772078640636E-2</v>
      </c>
      <c r="H61" s="264" t="s">
        <v>1085</v>
      </c>
      <c r="I61" s="328">
        <v>2</v>
      </c>
      <c r="J61" s="425" t="str">
        <f>"[kg/bbl] Kg of "&amp; LEFT(C61,LEN(C61)-10)&amp;" emitted to air per bbl of crude throughput - High Complexity Coking"</f>
        <v>[kg/bbl] Kg of PM10 emitted to air per bbl of crude throughput - High Complexity Coking</v>
      </c>
      <c r="K61" s="426"/>
      <c r="L61" s="426"/>
      <c r="M61" s="426"/>
      <c r="N61" s="426"/>
      <c r="O61" s="426"/>
      <c r="P61" s="427"/>
      <c r="Q61" s="2"/>
      <c r="R61" s="2"/>
      <c r="S61" s="2"/>
      <c r="T61" s="2"/>
      <c r="U61" s="2"/>
      <c r="V61" s="2"/>
      <c r="W61" s="2"/>
      <c r="X61" s="2"/>
      <c r="Y61" s="2"/>
    </row>
    <row r="62" spans="1:25" s="195" customFormat="1" x14ac:dyDescent="0.25">
      <c r="A62" s="2"/>
      <c r="B62" s="17">
        <f t="shared" si="6"/>
        <v>14</v>
      </c>
      <c r="C62" s="262" t="str">
        <f>C63&amp;"_HighB"</f>
        <v>PM10_bbl_HighB</v>
      </c>
      <c r="D62" s="39"/>
      <c r="E62" s="68">
        <f>HLOOKUP(LEFT(C62,LEN(C62)-6),'Emission Rates'!$R$146:$AJ$162,7,FALSE)</f>
        <v>4.0027322508515385E-3</v>
      </c>
      <c r="F62" s="68">
        <f>HLOOKUP(LEFT($C62,LEN($C62)-6),'Emission Rates'!$R$146:$AJ$162,13,FALSE)</f>
        <v>9.204208963285444E-4</v>
      </c>
      <c r="G62" s="68">
        <f>HLOOKUP(LEFT($C62,LEN($C62)-6),'Emission Rates'!$R$146:$AJ$165,19,FALSE)</f>
        <v>1.4492372983994287E-2</v>
      </c>
      <c r="H62" s="264" t="s">
        <v>1085</v>
      </c>
      <c r="I62" s="328">
        <v>2</v>
      </c>
      <c r="J62" s="425" t="str">
        <f>"[kg/bbl] Kg of "&amp; LEFT(C62,LEN(C62)-10)&amp;" emitted to air per bbl of crude throughput - High Complexity Hydro Cracking and Coking"</f>
        <v>[kg/bbl] Kg of PM10 emitted to air per bbl of crude throughput - High Complexity Hydro Cracking and Coking</v>
      </c>
      <c r="K62" s="426"/>
      <c r="L62" s="426"/>
      <c r="M62" s="426"/>
      <c r="N62" s="426"/>
      <c r="O62" s="426"/>
      <c r="P62" s="427"/>
      <c r="Q62" s="2"/>
      <c r="R62" s="2"/>
      <c r="S62" s="2"/>
      <c r="T62" s="2"/>
      <c r="U62" s="2"/>
      <c r="V62" s="2"/>
      <c r="W62" s="2"/>
      <c r="X62" s="2"/>
      <c r="Y62" s="2"/>
    </row>
    <row r="63" spans="1:25" s="195" customFormat="1" ht="29.25" customHeight="1" x14ac:dyDescent="0.25">
      <c r="A63" s="2"/>
      <c r="B63" s="17">
        <f t="shared" si="1"/>
        <v>8</v>
      </c>
      <c r="C63" s="262" t="s">
        <v>1082</v>
      </c>
      <c r="D63" s="39" t="str">
        <f>"IF(NC=0;"&amp;C58&amp;";IF(NC=1;"&amp;C59&amp;";IF(NC=2;"&amp;C60&amp;";IF(NC=3;"&amp;C61&amp;";"&amp;C62&amp;"))))"</f>
        <v>IF(NC=0;PM10_bbl_Low;IF(NC=1;PM10_bbl_Med;IF(NC=2;PM10_bbl_HighH;IF(NC=3;PM10_bbl_HighC;PM10_bbl_HighB))))</v>
      </c>
      <c r="E63" s="68">
        <f>IF($E$24=0,E58,IF($E$24=1,E59,IF($E$24=2,E60,IF($E$24=3,E61,E62))))</f>
        <v>4.0027322508515385E-3</v>
      </c>
      <c r="F63" s="68"/>
      <c r="G63" s="68"/>
      <c r="H63" s="264" t="s">
        <v>1085</v>
      </c>
      <c r="I63" s="328">
        <v>2</v>
      </c>
      <c r="J63" s="425" t="s">
        <v>1091</v>
      </c>
      <c r="K63" s="426"/>
      <c r="L63" s="426"/>
      <c r="M63" s="426"/>
      <c r="N63" s="426"/>
      <c r="O63" s="426"/>
      <c r="P63" s="427"/>
      <c r="Q63" s="2"/>
      <c r="R63" s="2"/>
      <c r="S63" s="2"/>
      <c r="T63" s="2"/>
      <c r="U63" s="2"/>
      <c r="V63" s="2"/>
      <c r="W63" s="2"/>
      <c r="X63" s="2"/>
      <c r="Y63" s="2"/>
    </row>
    <row r="64" spans="1:25" s="195" customFormat="1" x14ac:dyDescent="0.25">
      <c r="A64" s="2"/>
      <c r="B64" s="17">
        <f t="shared" ref="B64:B68" si="7">LEN(C64)</f>
        <v>11</v>
      </c>
      <c r="C64" s="262" t="str">
        <f>C69&amp;"_Low"</f>
        <v>NH3_bbl_Low</v>
      </c>
      <c r="D64" s="39"/>
      <c r="E64" s="68">
        <f>HLOOKUP(LEFT($C64,LEN($C64)-4),'Emission Rates'!$R$146:$AJ$162,3,FALSE)</f>
        <v>4.9507817197873435E-4</v>
      </c>
      <c r="F64" s="68">
        <f>HLOOKUP(LEFT($C64,LEN($C64)-4),'Emission Rates'!$R$146:$AJ$162,9,FALSE)</f>
        <v>3.9173420216667228E-7</v>
      </c>
      <c r="G64" s="68">
        <f>HLOOKUP(LEFT($C64,LEN($C64)-4),'Emission Rates'!$R$146:$AJ$162,15,FALSE)</f>
        <v>1.4988585808312211E-3</v>
      </c>
      <c r="H64" s="264" t="s">
        <v>1085</v>
      </c>
      <c r="I64" s="328">
        <v>2</v>
      </c>
      <c r="J64" s="425" t="str">
        <f>"[kg/bbl] Kg of "&amp; LEFT(C64,LEN(C64)-8)&amp;" emitted to air per bbl of crude throughput - Low Complexity"</f>
        <v>[kg/bbl] Kg of NH3 emitted to air per bbl of crude throughput - Low Complexity</v>
      </c>
      <c r="K64" s="426"/>
      <c r="L64" s="426"/>
      <c r="M64" s="426"/>
      <c r="N64" s="426"/>
      <c r="O64" s="426"/>
      <c r="P64" s="427"/>
      <c r="Q64" s="2"/>
      <c r="R64" s="2"/>
      <c r="S64" s="2"/>
      <c r="T64" s="2"/>
      <c r="U64" s="2"/>
      <c r="V64" s="2"/>
      <c r="W64" s="2"/>
      <c r="X64" s="2"/>
      <c r="Y64" s="2"/>
    </row>
    <row r="65" spans="1:25" s="195" customFormat="1" x14ac:dyDescent="0.25">
      <c r="A65" s="2"/>
      <c r="B65" s="17">
        <f t="shared" si="7"/>
        <v>11</v>
      </c>
      <c r="C65" s="262" t="str">
        <f>C69&amp;"_Med"</f>
        <v>NH3_bbl_Med</v>
      </c>
      <c r="D65" s="39"/>
      <c r="E65" s="68">
        <f>HLOOKUP(LEFT(C65,LEN(C65)-4),'Emission Rates'!$R$146:$AJ$162,4,FALSE)</f>
        <v>6.5497127771440493E-4</v>
      </c>
      <c r="F65" s="68">
        <f>HLOOKUP(LEFT($C65,LEN($C65)-4),'Emission Rates'!$R$146:$AJ$162,10,FALSE)</f>
        <v>3.9976018153831976E-11</v>
      </c>
      <c r="G65" s="68">
        <f>HLOOKUP(LEFT($C65,LEN($C65)-4),'Emission Rates'!$R$146:$AJ$162,16,FALSE)</f>
        <v>8.2317718356164377E-3</v>
      </c>
      <c r="H65" s="264" t="s">
        <v>1085</v>
      </c>
      <c r="I65" s="328">
        <v>2</v>
      </c>
      <c r="J65" s="425" t="str">
        <f>"[kg/bbl] Kg of "&amp; LEFT(C65,LEN(C65)-8)&amp;" emitted to air per bbl of crude throughput - Med Complexity"</f>
        <v>[kg/bbl] Kg of NH3 emitted to air per bbl of crude throughput - Med Complexity</v>
      </c>
      <c r="K65" s="426"/>
      <c r="L65" s="426"/>
      <c r="M65" s="426"/>
      <c r="N65" s="426"/>
      <c r="O65" s="426"/>
      <c r="P65" s="427"/>
      <c r="Q65" s="2"/>
      <c r="R65" s="2"/>
      <c r="S65" s="2"/>
      <c r="T65" s="2"/>
      <c r="U65" s="2"/>
      <c r="V65" s="2"/>
      <c r="W65" s="2"/>
      <c r="X65" s="2"/>
      <c r="Y65" s="2"/>
    </row>
    <row r="66" spans="1:25" s="195" customFormat="1" x14ac:dyDescent="0.25">
      <c r="A66" s="2"/>
      <c r="B66" s="17">
        <f t="shared" si="7"/>
        <v>13</v>
      </c>
      <c r="C66" s="262" t="str">
        <f>C69&amp;"_HighH"</f>
        <v>NH3_bbl_HighH</v>
      </c>
      <c r="D66" s="39"/>
      <c r="E66" s="68">
        <f>HLOOKUP(LEFT(C66,LEN(C66)-6),'Emission Rates'!$R$146:$AJ$162,5,FALSE)</f>
        <v>3.7364492902582151E-4</v>
      </c>
      <c r="F66" s="68">
        <f>HLOOKUP(LEFT($C66,LEN($C66)-6),'Emission Rates'!$R$146:$AJ$162,11,FALSE)</f>
        <v>1.1562662823678946E-7</v>
      </c>
      <c r="G66" s="68">
        <f>HLOOKUP(LEFT($C66,LEN($C66)-6),'Emission Rates'!$R$146:$AJ$162,17,FALSE)</f>
        <v>1.2521512334756177E-3</v>
      </c>
      <c r="H66" s="264" t="s">
        <v>1085</v>
      </c>
      <c r="I66" s="328">
        <v>2</v>
      </c>
      <c r="J66" s="425" t="str">
        <f>"[kg/bbl] Kg of "&amp; LEFT(C66,LEN(C66)-10)&amp;" emitted to air per bbl of crude throughput - High Complexity Hydro Cracking"</f>
        <v>[kg/bbl] Kg of NH3 emitted to air per bbl of crude throughput - High Complexity Hydro Cracking</v>
      </c>
      <c r="K66" s="426"/>
      <c r="L66" s="426"/>
      <c r="M66" s="426"/>
      <c r="N66" s="426"/>
      <c r="O66" s="426"/>
      <c r="P66" s="427"/>
      <c r="Q66" s="2"/>
      <c r="R66" s="2"/>
      <c r="S66" s="2"/>
      <c r="T66" s="2"/>
      <c r="U66" s="2"/>
      <c r="V66" s="2"/>
      <c r="W66" s="2"/>
      <c r="X66" s="2"/>
      <c r="Y66" s="2"/>
    </row>
    <row r="67" spans="1:25" s="195" customFormat="1" x14ac:dyDescent="0.25">
      <c r="A67" s="2"/>
      <c r="B67" s="17">
        <f t="shared" si="7"/>
        <v>13</v>
      </c>
      <c r="C67" s="262" t="str">
        <f>C69&amp;"_HighC"</f>
        <v>NH3_bbl_HighC</v>
      </c>
      <c r="D67" s="39"/>
      <c r="E67" s="68">
        <f>HLOOKUP(LEFT(C67,LEN(C67)-6),'Emission Rates'!$R$146:$AJ$162,6,FALSE)</f>
        <v>4.6558768625554366E-4</v>
      </c>
      <c r="F67" s="68">
        <f>HLOOKUP(LEFT($C67,LEN($C67)-6),'Emission Rates'!$R$146:$AJ$162,12,FALSE)</f>
        <v>6.1548564584819634E-7</v>
      </c>
      <c r="G67" s="68">
        <f>HLOOKUP(LEFT($C67,LEN($C67)-6),'Emission Rates'!$R$146:$AJ$165,18,FALSE)</f>
        <v>3.4246123009497808E-3</v>
      </c>
      <c r="H67" s="264" t="s">
        <v>1085</v>
      </c>
      <c r="I67" s="328">
        <v>2</v>
      </c>
      <c r="J67" s="425" t="str">
        <f>"[kg/bbl] Kg of "&amp; LEFT(C67,LEN(C67)-10)&amp;" emitted to air per bbl of crude throughput - High Complexity Coking"</f>
        <v>[kg/bbl] Kg of NH3 emitted to air per bbl of crude throughput - High Complexity Coking</v>
      </c>
      <c r="K67" s="426"/>
      <c r="L67" s="426"/>
      <c r="M67" s="426"/>
      <c r="N67" s="426"/>
      <c r="O67" s="426"/>
      <c r="P67" s="427"/>
      <c r="Q67" s="2"/>
      <c r="R67" s="2"/>
      <c r="S67" s="2"/>
      <c r="T67" s="2"/>
      <c r="U67" s="2"/>
      <c r="V67" s="2"/>
      <c r="W67" s="2"/>
      <c r="X67" s="2"/>
      <c r="Y67" s="2"/>
    </row>
    <row r="68" spans="1:25" s="195" customFormat="1" x14ac:dyDescent="0.25">
      <c r="A68" s="2"/>
      <c r="B68" s="17">
        <f t="shared" si="7"/>
        <v>13</v>
      </c>
      <c r="C68" s="262" t="str">
        <f>C69&amp;"_HighB"</f>
        <v>NH3_bbl_HighB</v>
      </c>
      <c r="D68" s="39"/>
      <c r="E68" s="68">
        <f>HLOOKUP(LEFT(C68,LEN(C68)-6),'Emission Rates'!$R$146:$AJ$162,7,FALSE)</f>
        <v>3.1368074485307082E-4</v>
      </c>
      <c r="F68" s="68">
        <f>HLOOKUP(LEFT($C68,LEN($C68)-6),'Emission Rates'!$R$146:$AJ$162,13,FALSE)</f>
        <v>1.3013776109378927E-6</v>
      </c>
      <c r="G68" s="68">
        <f>HLOOKUP(LEFT($C68,LEN($C68)-6),'Emission Rates'!$R$146:$AJ$165,19,FALSE)</f>
        <v>1.5506038661639283E-3</v>
      </c>
      <c r="H68" s="264" t="s">
        <v>1085</v>
      </c>
      <c r="I68" s="328">
        <v>2</v>
      </c>
      <c r="J68" s="425" t="str">
        <f>"[kg/bbl] Kg of "&amp; LEFT(C68,LEN(C68)-10)&amp;" emitted to air per bbl of crude throughput - High Complexity Hydro Cracking and Coking"</f>
        <v>[kg/bbl] Kg of NH3 emitted to air per bbl of crude throughput - High Complexity Hydro Cracking and Coking</v>
      </c>
      <c r="K68" s="426"/>
      <c r="L68" s="426"/>
      <c r="M68" s="426"/>
      <c r="N68" s="426"/>
      <c r="O68" s="426"/>
      <c r="P68" s="427"/>
      <c r="Q68" s="2"/>
      <c r="R68" s="2"/>
      <c r="S68" s="2"/>
      <c r="T68" s="2"/>
      <c r="U68" s="2"/>
      <c r="V68" s="2"/>
      <c r="W68" s="2"/>
      <c r="X68" s="2"/>
      <c r="Y68" s="2"/>
    </row>
    <row r="69" spans="1:25" s="195" customFormat="1" ht="26.25" x14ac:dyDescent="0.25">
      <c r="A69" s="2"/>
      <c r="B69" s="17">
        <f t="shared" si="1"/>
        <v>7</v>
      </c>
      <c r="C69" s="262" t="s">
        <v>1083</v>
      </c>
      <c r="D69" s="39" t="str">
        <f>"IF(NC=0;"&amp;C64&amp;";IF(NC=1;"&amp;C65&amp;";IF(NC=2;"&amp;C66&amp;";IF(NC=3;"&amp;C67&amp;";"&amp;C68&amp;"))))"</f>
        <v>IF(NC=0;NH3_bbl_Low;IF(NC=1;NH3_bbl_Med;IF(NC=2;NH3_bbl_HighH;IF(NC=3;NH3_bbl_HighC;NH3_bbl_HighB))))</v>
      </c>
      <c r="E69" s="68">
        <f>IF($E$24=0,E64,IF($E$24=1,E65,IF($E$24=2,E66,IF($E$24=3,E67,E68))))</f>
        <v>3.1368074485307082E-4</v>
      </c>
      <c r="F69" s="68"/>
      <c r="G69" s="68"/>
      <c r="H69" s="264" t="s">
        <v>1085</v>
      </c>
      <c r="I69" s="328">
        <v>2</v>
      </c>
      <c r="J69" s="425" t="s">
        <v>1092</v>
      </c>
      <c r="K69" s="426"/>
      <c r="L69" s="426"/>
      <c r="M69" s="426"/>
      <c r="N69" s="426"/>
      <c r="O69" s="426"/>
      <c r="P69" s="427"/>
      <c r="Q69" s="2"/>
      <c r="R69" s="2"/>
      <c r="S69" s="453"/>
      <c r="T69" s="453"/>
      <c r="U69" s="453"/>
      <c r="V69" s="453"/>
      <c r="W69" s="453"/>
      <c r="X69" s="453"/>
      <c r="Y69" s="453"/>
    </row>
    <row r="70" spans="1:25" s="195" customFormat="1" x14ac:dyDescent="0.25">
      <c r="A70" s="2"/>
      <c r="B70" s="17">
        <f t="shared" si="1"/>
        <v>12</v>
      </c>
      <c r="C70" s="262" t="str">
        <f>C75&amp;"_Low"</f>
        <v>Lead_bbl_Low</v>
      </c>
      <c r="D70" s="39"/>
      <c r="E70" s="68">
        <f>HLOOKUP(LEFT($C70,LEN($C70)-4),'Emission Rates'!$R$146:$AJ$162,3,FALSE)</f>
        <v>3.5091444294900039E-7</v>
      </c>
      <c r="F70" s="68">
        <f>HLOOKUP(LEFT($C70,LEN($C70)-4),'Emission Rates'!$R$146:$AJ$162,9,FALSE)</f>
        <v>2.2023529007600801E-10</v>
      </c>
      <c r="G70" s="68">
        <f>HLOOKUP(LEFT($C70,LEN($C70)-4),'Emission Rates'!$R$146:$AJ$162,15,FALSE)</f>
        <v>1.5832242328767121E-6</v>
      </c>
      <c r="H70" s="264" t="s">
        <v>1085</v>
      </c>
      <c r="I70" s="328">
        <v>2</v>
      </c>
      <c r="J70" s="425" t="str">
        <f>"[kg/bbl] Kg of "&amp; LEFT(C70,LEN(C70)-8)&amp;" emitted to air per bbl of crude throughput - Low Complexity"</f>
        <v>[kg/bbl] Kg of Lead emitted to air per bbl of crude throughput - Low Complexity</v>
      </c>
      <c r="K70" s="426"/>
      <c r="L70" s="426"/>
      <c r="M70" s="426"/>
      <c r="N70" s="426"/>
      <c r="O70" s="426"/>
      <c r="P70" s="427"/>
      <c r="Q70" s="2"/>
      <c r="R70" s="2"/>
      <c r="S70" s="2"/>
      <c r="T70" s="2"/>
      <c r="U70" s="2"/>
      <c r="V70" s="2"/>
      <c r="W70" s="2"/>
      <c r="X70" s="2"/>
      <c r="Y70" s="2"/>
    </row>
    <row r="71" spans="1:25" s="195" customFormat="1" x14ac:dyDescent="0.25">
      <c r="A71" s="2"/>
      <c r="B71" s="17">
        <f t="shared" si="1"/>
        <v>12</v>
      </c>
      <c r="C71" s="262" t="str">
        <f>C75&amp;"_Med"</f>
        <v>Lead_bbl_Med</v>
      </c>
      <c r="D71" s="39"/>
      <c r="E71" s="68">
        <f>HLOOKUP(LEFT(C71,LEN(C71)-4),'Emission Rates'!$R$146:$AJ$162,4,FALSE)</f>
        <v>5.1689938851590541E-7</v>
      </c>
      <c r="F71" s="68">
        <f>HLOOKUP(LEFT($C71,LEN($C71)-4),'Emission Rates'!$R$146:$AJ$162,10,FALSE)</f>
        <v>1.6038111656758853E-10</v>
      </c>
      <c r="G71" s="68">
        <f>HLOOKUP(LEFT($C71,LEN($C71)-4),'Emission Rates'!$R$146:$AJ$162,16,FALSE)</f>
        <v>9.6655936073059352E-6</v>
      </c>
      <c r="H71" s="264" t="s">
        <v>1085</v>
      </c>
      <c r="I71" s="328">
        <v>2</v>
      </c>
      <c r="J71" s="425" t="str">
        <f>"[kg/bbl] Kg of "&amp; LEFT(C71,LEN(C71)-8)&amp;" emitted to air per bbl of crude throughput - Med Complexity"</f>
        <v>[kg/bbl] Kg of Lead emitted to air per bbl of crude throughput - Med Complexity</v>
      </c>
      <c r="K71" s="426"/>
      <c r="L71" s="426"/>
      <c r="M71" s="426"/>
      <c r="N71" s="426"/>
      <c r="O71" s="426"/>
      <c r="P71" s="427"/>
      <c r="Q71" s="2"/>
      <c r="R71" s="2"/>
      <c r="S71" s="2"/>
      <c r="T71" s="2"/>
      <c r="U71" s="2"/>
      <c r="V71" s="2"/>
      <c r="W71" s="2"/>
      <c r="X71" s="2"/>
      <c r="Y71" s="2"/>
    </row>
    <row r="72" spans="1:25" s="195" customFormat="1" x14ac:dyDescent="0.25">
      <c r="A72" s="2"/>
      <c r="B72" s="17">
        <f t="shared" si="1"/>
        <v>14</v>
      </c>
      <c r="C72" s="262" t="str">
        <f>C75&amp;"_HighH"</f>
        <v>Lead_bbl_HighH</v>
      </c>
      <c r="D72" s="39"/>
      <c r="E72" s="68">
        <f>HLOOKUP(LEFT(C72,LEN(C72)-6),'Emission Rates'!$R$146:$AJ$162,5,FALSE)</f>
        <v>4.1892739548079123E-7</v>
      </c>
      <c r="F72" s="68">
        <f>HLOOKUP(LEFT($C72,LEN($C72)-6),'Emission Rates'!$R$146:$AJ$162,11,FALSE)</f>
        <v>3.7575898374439963E-10</v>
      </c>
      <c r="G72" s="68">
        <f>HLOOKUP(LEFT($C72,LEN($C72)-6),'Emission Rates'!$R$146:$AJ$162,17,FALSE)</f>
        <v>1.3364017032537227E-6</v>
      </c>
      <c r="H72" s="264" t="s">
        <v>1085</v>
      </c>
      <c r="I72" s="328">
        <v>2</v>
      </c>
      <c r="J72" s="425" t="str">
        <f>"[kg/bbl] Kg of "&amp; LEFT(C72,LEN(C72)-10)&amp;" emitted to air per bbl of crude throughput - High Complexity Hydro Cracking"</f>
        <v>[kg/bbl] Kg of Lead emitted to air per bbl of crude throughput - High Complexity Hydro Cracking</v>
      </c>
      <c r="K72" s="426"/>
      <c r="L72" s="426"/>
      <c r="M72" s="426"/>
      <c r="N72" s="426"/>
      <c r="O72" s="426"/>
      <c r="P72" s="427"/>
      <c r="Q72" s="2"/>
      <c r="R72" s="2"/>
      <c r="S72" s="2"/>
      <c r="T72" s="2"/>
      <c r="U72" s="2"/>
      <c r="V72" s="2"/>
      <c r="W72" s="2"/>
      <c r="X72" s="2"/>
      <c r="Y72" s="2"/>
    </row>
    <row r="73" spans="1:25" s="195" customFormat="1" x14ac:dyDescent="0.25">
      <c r="A73" s="2"/>
      <c r="B73" s="17">
        <f t="shared" si="1"/>
        <v>14</v>
      </c>
      <c r="C73" s="262" t="str">
        <f>C75&amp;"_HighC"</f>
        <v>Lead_bbl_HighC</v>
      </c>
      <c r="D73" s="39"/>
      <c r="E73" s="68">
        <f>HLOOKUP(LEFT(C73,LEN(C73)-6),'Emission Rates'!$R$146:$AJ$162,6,FALSE)</f>
        <v>4.7206657517783534E-7</v>
      </c>
      <c r="F73" s="68">
        <f>HLOOKUP(LEFT($C73,LEN($C73)-6),'Emission Rates'!$R$146:$AJ$162,12,FALSE)</f>
        <v>6.5181547717270696E-10</v>
      </c>
      <c r="G73" s="68">
        <f>HLOOKUP(LEFT($C73,LEN($C73)-6),'Emission Rates'!$R$146:$AJ$165,18,FALSE)</f>
        <v>1.6047312255951382E-6</v>
      </c>
      <c r="H73" s="264" t="s">
        <v>1085</v>
      </c>
      <c r="I73" s="328">
        <v>2</v>
      </c>
      <c r="J73" s="425" t="str">
        <f>"[kg/bbl] Kg of "&amp; LEFT(C73,LEN(C73)-10)&amp;" emitted to air per bbl of crude throughput - High Complexity Coking"</f>
        <v>[kg/bbl] Kg of Lead emitted to air per bbl of crude throughput - High Complexity Coking</v>
      </c>
      <c r="K73" s="426"/>
      <c r="L73" s="426"/>
      <c r="M73" s="426"/>
      <c r="N73" s="426"/>
      <c r="O73" s="426"/>
      <c r="P73" s="427"/>
      <c r="Q73" s="2"/>
      <c r="R73" s="2"/>
      <c r="S73" s="2"/>
      <c r="T73" s="2"/>
      <c r="U73" s="2"/>
      <c r="V73" s="2"/>
      <c r="W73" s="2"/>
      <c r="X73" s="2"/>
      <c r="Y73" s="2"/>
    </row>
    <row r="74" spans="1:25" s="195" customFormat="1" x14ac:dyDescent="0.25">
      <c r="A74" s="2"/>
      <c r="B74" s="17">
        <f t="shared" si="1"/>
        <v>14</v>
      </c>
      <c r="C74" s="262" t="str">
        <f>C75&amp;"_HighB"</f>
        <v>Lead_bbl_HighB</v>
      </c>
      <c r="D74" s="39"/>
      <c r="E74" s="68">
        <f>HLOOKUP(LEFT(C74,LEN(C74)-6),'Emission Rates'!$R$146:$AJ$162,7,FALSE)</f>
        <v>3.3034856419536261E-7</v>
      </c>
      <c r="F74" s="68">
        <f>HLOOKUP(LEFT($C74,LEN($C74)-6),'Emission Rates'!$R$146:$AJ$162,13,FALSE)</f>
        <v>7.5064690315693091E-10</v>
      </c>
      <c r="G74" s="68">
        <f>HLOOKUP(LEFT($C74,LEN($C74)-6),'Emission Rates'!$R$146:$AJ$165,19,FALSE)</f>
        <v>1.4962822304727559E-6</v>
      </c>
      <c r="H74" s="264" t="s">
        <v>1085</v>
      </c>
      <c r="I74" s="328">
        <v>2</v>
      </c>
      <c r="J74" s="425" t="str">
        <f>"[kg/bbl] Kg of "&amp; LEFT(C74,LEN(C74)-10)&amp;" emitted to air per bbl of crude throughput - High Complexity Hydro Cracking and Coking"</f>
        <v>[kg/bbl] Kg of Lead emitted to air per bbl of crude throughput - High Complexity Hydro Cracking and Coking</v>
      </c>
      <c r="K74" s="426"/>
      <c r="L74" s="426"/>
      <c r="M74" s="426"/>
      <c r="N74" s="426"/>
      <c r="O74" s="426"/>
      <c r="P74" s="427"/>
      <c r="Q74" s="2"/>
      <c r="R74" s="2"/>
      <c r="S74" s="2"/>
      <c r="T74" s="2"/>
      <c r="U74" s="2"/>
      <c r="V74" s="2"/>
      <c r="W74" s="2"/>
      <c r="X74" s="2"/>
      <c r="Y74" s="2"/>
    </row>
    <row r="75" spans="1:25" s="195" customFormat="1" ht="26.25" x14ac:dyDescent="0.25">
      <c r="A75" s="2"/>
      <c r="B75" s="17">
        <f t="shared" si="1"/>
        <v>8</v>
      </c>
      <c r="C75" s="262" t="s">
        <v>1084</v>
      </c>
      <c r="D75" s="39" t="str">
        <f>"IF(NC=0;"&amp;C70&amp;";IF(NC=1;"&amp;C71&amp;";IF(NC=2;"&amp;C72&amp;";IF(NC=3;"&amp;C73&amp;";"&amp;C74&amp;"))))"</f>
        <v>IF(NC=0;Lead_bbl_Low;IF(NC=1;Lead_bbl_Med;IF(NC=2;Lead_bbl_HighH;IF(NC=3;Lead_bbl_HighC;Lead_bbl_HighB))))</v>
      </c>
      <c r="E75" s="68">
        <f>IF($E$24=0,E70,IF($E$24=1,E71,IF($E$24=2,E72,IF($E$24=3,E73,E74))))</f>
        <v>3.3034856419536261E-7</v>
      </c>
      <c r="F75" s="68"/>
      <c r="G75" s="68"/>
      <c r="H75" s="264" t="s">
        <v>1085</v>
      </c>
      <c r="I75" s="328">
        <v>2</v>
      </c>
      <c r="J75" s="425" t="s">
        <v>1093</v>
      </c>
      <c r="K75" s="426"/>
      <c r="L75" s="426"/>
      <c r="M75" s="426"/>
      <c r="N75" s="426"/>
      <c r="O75" s="426"/>
      <c r="P75" s="427"/>
      <c r="Q75" s="2"/>
      <c r="R75" s="2"/>
      <c r="S75" s="452"/>
      <c r="T75" s="452"/>
      <c r="U75" s="452"/>
      <c r="V75" s="452"/>
      <c r="W75" s="452"/>
      <c r="X75" s="452"/>
      <c r="Y75" s="452"/>
    </row>
    <row r="76" spans="1:25" s="195" customFormat="1" x14ac:dyDescent="0.25">
      <c r="A76" s="2"/>
      <c r="B76" s="17">
        <f t="shared" ref="B76:B80" si="8">LEN(C76)</f>
        <v>13</v>
      </c>
      <c r="C76" s="262" t="str">
        <f>C81&amp;"_Low"</f>
        <v>PM_EC_bbl_Low</v>
      </c>
      <c r="D76" s="39"/>
      <c r="E76" s="68">
        <f>HLOOKUP(LEFT($C76,LEN($C76)-4),'Emission Rates'!$R$146:$AJ$162,3,FALSE)</f>
        <v>4.9879068705353238E-4</v>
      </c>
      <c r="F76" s="68">
        <f>HLOOKUP(LEFT($C76,LEN($C76)-4),'Emission Rates'!$R$146:$AJ$162,9,FALSE)</f>
        <v>3.3695999381629229E-6</v>
      </c>
      <c r="G76" s="68">
        <f>HLOOKUP(LEFT($C76,LEN($C76)-4),'Emission Rates'!$R$146:$AJ$162,15,FALSE)</f>
        <v>1.7230944189891356E-3</v>
      </c>
      <c r="H76" s="264" t="s">
        <v>1085</v>
      </c>
      <c r="I76" s="328">
        <v>2</v>
      </c>
      <c r="J76" s="425" t="str">
        <f>"[kg/bbl] Kg of "&amp; LEFT(C76,LEN(C76)-8)&amp;" emitted to air per bbl of crude throughput - Low Complexity"</f>
        <v>[kg/bbl] Kg of PM_EC emitted to air per bbl of crude throughput - Low Complexity</v>
      </c>
      <c r="K76" s="426"/>
      <c r="L76" s="426"/>
      <c r="M76" s="426"/>
      <c r="N76" s="426"/>
      <c r="O76" s="426"/>
      <c r="P76" s="427"/>
      <c r="Q76" s="2"/>
      <c r="R76" s="2"/>
      <c r="S76" s="2"/>
      <c r="T76" s="2"/>
      <c r="U76" s="2"/>
      <c r="V76" s="2"/>
      <c r="W76" s="2"/>
      <c r="X76" s="2"/>
      <c r="Y76" s="2"/>
    </row>
    <row r="77" spans="1:25" s="195" customFormat="1" x14ac:dyDescent="0.25">
      <c r="A77" s="2"/>
      <c r="B77" s="17">
        <f t="shared" si="8"/>
        <v>13</v>
      </c>
      <c r="C77" s="262" t="str">
        <f>C81&amp;"_Med"</f>
        <v>PM_EC_bbl_Med</v>
      </c>
      <c r="D77" s="39"/>
      <c r="E77" s="68">
        <f>HLOOKUP(LEFT(C77,LEN(C77)-4),'Emission Rates'!$R$146:$AJ$162,4,FALSE)</f>
        <v>4.2088137986468881E-4</v>
      </c>
      <c r="F77" s="68">
        <f>HLOOKUP(LEFT($C77,LEN($C77)-4),'Emission Rates'!$R$146:$AJ$162,10,FALSE)</f>
        <v>2.4163282084093997E-8</v>
      </c>
      <c r="G77" s="68">
        <f>HLOOKUP(LEFT($C77,LEN($C77)-4),'Emission Rates'!$R$146:$AJ$162,16,FALSE)</f>
        <v>1.5873666301369864E-3</v>
      </c>
      <c r="H77" s="264" t="s">
        <v>1085</v>
      </c>
      <c r="I77" s="328">
        <v>2</v>
      </c>
      <c r="J77" s="425" t="str">
        <f>"[kg/bbl] Kg of "&amp; LEFT(C77,LEN(C77)-8)&amp;" emitted to air per bbl of crude throughput - Med Complexity"</f>
        <v>[kg/bbl] Kg of PM_EC emitted to air per bbl of crude throughput - Med Complexity</v>
      </c>
      <c r="K77" s="426"/>
      <c r="L77" s="426"/>
      <c r="M77" s="426"/>
      <c r="N77" s="426"/>
      <c r="O77" s="426"/>
      <c r="P77" s="427"/>
      <c r="Q77" s="2"/>
      <c r="R77" s="2"/>
      <c r="S77" s="2"/>
      <c r="T77" s="2"/>
      <c r="U77" s="2"/>
      <c r="V77" s="2"/>
      <c r="W77" s="2"/>
      <c r="X77" s="2"/>
      <c r="Y77" s="2"/>
    </row>
    <row r="78" spans="1:25" s="195" customFormat="1" x14ac:dyDescent="0.25">
      <c r="A78" s="2"/>
      <c r="B78" s="17">
        <f t="shared" si="8"/>
        <v>15</v>
      </c>
      <c r="C78" s="262" t="str">
        <f>C81&amp;"_HighH"</f>
        <v>PM_EC_bbl_HighH</v>
      </c>
      <c r="D78" s="39"/>
      <c r="E78" s="68">
        <f>HLOOKUP(LEFT(C78,LEN(C78)-6),'Emission Rates'!$R$146:$AJ$162,5,FALSE)</f>
        <v>3.9859431322696005E-4</v>
      </c>
      <c r="F78" s="68">
        <f>HLOOKUP(LEFT($C78,LEN($C78)-6),'Emission Rates'!$R$146:$AJ$162,11,FALSE)</f>
        <v>1.2146627614063149E-5</v>
      </c>
      <c r="G78" s="68">
        <f>HLOOKUP(LEFT($C78,LEN($C78)-6),'Emission Rates'!$R$146:$AJ$162,17,FALSE)</f>
        <v>1.4315856278866721E-3</v>
      </c>
      <c r="H78" s="264" t="s">
        <v>1085</v>
      </c>
      <c r="I78" s="328">
        <v>2</v>
      </c>
      <c r="J78" s="425" t="str">
        <f>"[kg/bbl] Kg of "&amp; LEFT(C78,LEN(C78)-10)&amp;" emitted to air per bbl of crude throughput - High Complexity Hydro Cracking"</f>
        <v>[kg/bbl] Kg of PM_EC emitted to air per bbl of crude throughput - High Complexity Hydro Cracking</v>
      </c>
      <c r="K78" s="426"/>
      <c r="L78" s="426"/>
      <c r="M78" s="426"/>
      <c r="N78" s="426"/>
      <c r="O78" s="426"/>
      <c r="P78" s="427"/>
      <c r="Q78" s="2"/>
      <c r="R78" s="2"/>
      <c r="S78" s="2"/>
      <c r="T78" s="2"/>
      <c r="U78" s="2"/>
      <c r="V78" s="2"/>
      <c r="W78" s="2"/>
      <c r="X78" s="2"/>
      <c r="Y78" s="2"/>
    </row>
    <row r="79" spans="1:25" s="195" customFormat="1" x14ac:dyDescent="0.25">
      <c r="A79" s="2"/>
      <c r="B79" s="17">
        <f t="shared" si="8"/>
        <v>15</v>
      </c>
      <c r="C79" s="262" t="str">
        <f>C81&amp;"_HighC"</f>
        <v>PM_EC_bbl_HighC</v>
      </c>
      <c r="D79" s="39"/>
      <c r="E79" s="68">
        <f>HLOOKUP(LEFT(C79,LEN(C79)-6),'Emission Rates'!$R$146:$AJ$162,6,FALSE)</f>
        <v>3.7349460921203074E-4</v>
      </c>
      <c r="F79" s="68">
        <f>HLOOKUP(LEFT($C79,LEN($C79)-6),'Emission Rates'!$R$146:$AJ$162,12,FALSE)</f>
        <v>2.6424951777271904E-6</v>
      </c>
      <c r="G79" s="68">
        <f>HLOOKUP(LEFT($C79,LEN($C79)-6),'Emission Rates'!$R$146:$AJ$165,18,FALSE)</f>
        <v>2.2942628283609363E-3</v>
      </c>
      <c r="H79" s="264" t="s">
        <v>1085</v>
      </c>
      <c r="I79" s="328">
        <v>2</v>
      </c>
      <c r="J79" s="425" t="str">
        <f>"[kg/bbl] Kg of "&amp; LEFT(C79,LEN(C79)-10)&amp;" emitted to air per bbl of crude throughput - High Complexity Coking"</f>
        <v>[kg/bbl] Kg of PM_EC emitted to air per bbl of crude throughput - High Complexity Coking</v>
      </c>
      <c r="K79" s="426"/>
      <c r="L79" s="426"/>
      <c r="M79" s="426"/>
      <c r="N79" s="426"/>
      <c r="O79" s="426"/>
      <c r="P79" s="427"/>
      <c r="Q79" s="2"/>
      <c r="R79" s="2"/>
      <c r="S79" s="2"/>
      <c r="T79" s="2"/>
      <c r="U79" s="2"/>
      <c r="V79" s="2"/>
      <c r="W79" s="2"/>
      <c r="X79" s="2"/>
      <c r="Y79" s="2"/>
    </row>
    <row r="80" spans="1:25" s="195" customFormat="1" x14ac:dyDescent="0.25">
      <c r="A80" s="2"/>
      <c r="B80" s="17">
        <f t="shared" si="8"/>
        <v>15</v>
      </c>
      <c r="C80" s="262" t="str">
        <f>C81&amp;"_HighB"</f>
        <v>PM_EC_bbl_HighB</v>
      </c>
      <c r="D80" s="39"/>
      <c r="E80" s="68">
        <f>HLOOKUP(LEFT(C80,LEN(C80)-6),'Emission Rates'!$R$146:$AJ$162,7,FALSE)</f>
        <v>4.1937236131243922E-4</v>
      </c>
      <c r="F80" s="68">
        <f>HLOOKUP(LEFT($C80,LEN($C80)-6),'Emission Rates'!$R$146:$AJ$162,13,FALSE)</f>
        <v>4.8625840631039379E-6</v>
      </c>
      <c r="G80" s="68">
        <f>HLOOKUP(LEFT($C80,LEN($C80)-6),'Emission Rates'!$R$146:$AJ$165,19,FALSE)</f>
        <v>2.0782586729160761E-3</v>
      </c>
      <c r="H80" s="264" t="s">
        <v>1085</v>
      </c>
      <c r="I80" s="328">
        <v>2</v>
      </c>
      <c r="J80" s="425" t="str">
        <f>"[kg/bbl] Kg of "&amp; LEFT(C80,LEN(C80)-10)&amp;" emitted to air per bbl of crude throughput - High Complexity Hydro Cracking and Coking"</f>
        <v>[kg/bbl] Kg of PM_EC emitted to air per bbl of crude throughput - High Complexity Hydro Cracking and Coking</v>
      </c>
      <c r="K80" s="426"/>
      <c r="L80" s="426"/>
      <c r="M80" s="426"/>
      <c r="N80" s="426"/>
      <c r="O80" s="426"/>
      <c r="P80" s="427"/>
      <c r="Q80" s="2"/>
      <c r="R80" s="2"/>
      <c r="S80" s="2"/>
      <c r="T80" s="2"/>
      <c r="U80" s="2"/>
      <c r="V80" s="2"/>
      <c r="W80" s="2"/>
      <c r="X80" s="2"/>
      <c r="Y80" s="2"/>
    </row>
    <row r="81" spans="1:25" s="195" customFormat="1" ht="42.75" customHeight="1" x14ac:dyDescent="0.25">
      <c r="A81" s="2"/>
      <c r="B81" s="17">
        <f t="shared" si="1"/>
        <v>9</v>
      </c>
      <c r="C81" s="262" t="s">
        <v>1258</v>
      </c>
      <c r="D81" s="39" t="str">
        <f>"IF(NC=0;"&amp;C76&amp;";IF(NC=1;"&amp;C77&amp;";IF(NC=2;"&amp;C78&amp;";IF(NC=3;"&amp;C79&amp;";"&amp;C80&amp;"))))"</f>
        <v>IF(NC=0;PM_EC_bbl_Low;IF(NC=1;PM_EC_bbl_Med;IF(NC=2;PM_EC_bbl_HighH;IF(NC=3;PM_EC_bbl_HighC;PM_EC_bbl_HighB))))</v>
      </c>
      <c r="E81" s="68">
        <f>IF($E$24=0,E76,IF($E$24=1,E77,IF($E$24=2,E78,IF($E$24=3,E79,E80))))</f>
        <v>4.1937236131243922E-4</v>
      </c>
      <c r="F81" s="68"/>
      <c r="G81" s="68"/>
      <c r="H81" s="264" t="s">
        <v>1085</v>
      </c>
      <c r="I81" s="328">
        <v>2</v>
      </c>
      <c r="J81" s="425" t="s">
        <v>1094</v>
      </c>
      <c r="K81" s="426"/>
      <c r="L81" s="426"/>
      <c r="M81" s="426"/>
      <c r="N81" s="426"/>
      <c r="O81" s="426"/>
      <c r="P81" s="427"/>
      <c r="Q81" s="2"/>
      <c r="R81" s="2"/>
      <c r="S81" s="452"/>
      <c r="T81" s="452"/>
      <c r="U81" s="452"/>
      <c r="V81" s="452"/>
      <c r="W81" s="452"/>
      <c r="X81" s="452"/>
      <c r="Y81" s="452"/>
    </row>
    <row r="82" spans="1:25" s="195" customFormat="1" x14ac:dyDescent="0.25">
      <c r="A82" s="2"/>
      <c r="B82" s="17">
        <f t="shared" si="1"/>
        <v>13</v>
      </c>
      <c r="C82" s="262" t="str">
        <f>C87&amp;"_Low"</f>
        <v>PM_OC_bbl_Low</v>
      </c>
      <c r="D82" s="39"/>
      <c r="E82" s="68">
        <f>HLOOKUP(LEFT($C82,LEN($C82)-4),'Emission Rates'!$R$146:$AJ$162,3,FALSE)</f>
        <v>5.4449604321550257E-4</v>
      </c>
      <c r="F82" s="68">
        <f>HLOOKUP(LEFT($C82,LEN($C82)-4),'Emission Rates'!$R$146:$AJ$162,9,FALSE)</f>
        <v>2.1671152543479192E-6</v>
      </c>
      <c r="G82" s="68">
        <f>HLOOKUP(LEFT($C82,LEN($C82)-4),'Emission Rates'!$R$146:$AJ$162,15,FALSE)</f>
        <v>2.5895696528105811E-3</v>
      </c>
      <c r="H82" s="264" t="s">
        <v>1085</v>
      </c>
      <c r="I82" s="328">
        <v>2</v>
      </c>
      <c r="J82" s="425" t="str">
        <f>"[kg/bbl] Kg of "&amp; LEFT(C82,LEN(C82)-8)&amp;" emitted to air per bbl of crude throughput - Low Complexity"</f>
        <v>[kg/bbl] Kg of PM_OC emitted to air per bbl of crude throughput - Low Complexity</v>
      </c>
      <c r="K82" s="426"/>
      <c r="L82" s="426"/>
      <c r="M82" s="426"/>
      <c r="N82" s="426"/>
      <c r="O82" s="426"/>
      <c r="P82" s="427"/>
      <c r="Q82" s="2"/>
      <c r="R82" s="2"/>
      <c r="S82" s="2"/>
      <c r="T82" s="2"/>
      <c r="U82" s="2"/>
      <c r="V82" s="2"/>
      <c r="W82" s="2"/>
      <c r="X82" s="2"/>
      <c r="Y82" s="2"/>
    </row>
    <row r="83" spans="1:25" s="195" customFormat="1" x14ac:dyDescent="0.25">
      <c r="A83" s="2"/>
      <c r="B83" s="17">
        <f t="shared" si="1"/>
        <v>13</v>
      </c>
      <c r="C83" s="262" t="str">
        <f>C87&amp;"_Med"</f>
        <v>PM_OC_bbl_Med</v>
      </c>
      <c r="D83" s="39"/>
      <c r="E83" s="68">
        <f>HLOOKUP(LEFT(C83,LEN(C83)-4),'Emission Rates'!$R$146:$AJ$162,4,FALSE)</f>
        <v>5.3498939977155336E-4</v>
      </c>
      <c r="F83" s="68">
        <f>HLOOKUP(LEFT($C83,LEN($C83)-4),'Emission Rates'!$R$146:$AJ$162,10,FALSE)</f>
        <v>8.839141791791738E-8</v>
      </c>
      <c r="G83" s="68">
        <f>HLOOKUP(LEFT($C83,LEN($C83)-4),'Emission Rates'!$R$146:$AJ$162,16,FALSE)</f>
        <v>2.9690940135126929E-3</v>
      </c>
      <c r="H83" s="264" t="s">
        <v>1085</v>
      </c>
      <c r="I83" s="328">
        <v>2</v>
      </c>
      <c r="J83" s="425" t="str">
        <f>"[kg/bbl] Kg of "&amp; LEFT(C83,LEN(C83)-8)&amp;" emitted to air per bbl of crude throughput - Med Complexity"</f>
        <v>[kg/bbl] Kg of PM_OC emitted to air per bbl of crude throughput - Med Complexity</v>
      </c>
      <c r="K83" s="426"/>
      <c r="L83" s="426"/>
      <c r="M83" s="426"/>
      <c r="N83" s="426"/>
      <c r="O83" s="426"/>
      <c r="P83" s="427"/>
      <c r="Q83" s="2"/>
      <c r="R83" s="2"/>
      <c r="S83" s="2"/>
      <c r="T83" s="2"/>
      <c r="U83" s="2"/>
      <c r="V83" s="2"/>
      <c r="W83" s="2"/>
      <c r="X83" s="2"/>
      <c r="Y83" s="2"/>
    </row>
    <row r="84" spans="1:25" s="195" customFormat="1" x14ac:dyDescent="0.25">
      <c r="A84" s="2"/>
      <c r="B84" s="17">
        <f t="shared" si="1"/>
        <v>15</v>
      </c>
      <c r="C84" s="262" t="str">
        <f>C87&amp;"_HighH"</f>
        <v>PM_OC_bbl_HighH</v>
      </c>
      <c r="D84" s="39"/>
      <c r="E84" s="68">
        <f>HLOOKUP(LEFT(C84,LEN(C84)-6),'Emission Rates'!$R$146:$AJ$162,5,FALSE)</f>
        <v>5.8476273621595675E-4</v>
      </c>
      <c r="F84" s="68">
        <f>HLOOKUP(LEFT($C84,LEN($C84)-6),'Emission Rates'!$R$146:$AJ$162,11,FALSE)</f>
        <v>2.0797822821201647E-5</v>
      </c>
      <c r="G84" s="68">
        <f>HLOOKUP(LEFT($C84,LEN($C84)-6),'Emission Rates'!$R$146:$AJ$162,17,FALSE)</f>
        <v>2.1107337585223288E-3</v>
      </c>
      <c r="H84" s="264" t="s">
        <v>1085</v>
      </c>
      <c r="I84" s="328">
        <v>2</v>
      </c>
      <c r="J84" s="425" t="str">
        <f>"[kg/bbl] Kg of "&amp; LEFT(C84,LEN(C84)-10)&amp;" emitted to air per bbl of crude throughput - High Complexity Hydro Cracking"</f>
        <v>[kg/bbl] Kg of PM_OC emitted to air per bbl of crude throughput - High Complexity Hydro Cracking</v>
      </c>
      <c r="K84" s="426"/>
      <c r="L84" s="426"/>
      <c r="M84" s="426"/>
      <c r="N84" s="426"/>
      <c r="O84" s="426"/>
      <c r="P84" s="427"/>
      <c r="Q84" s="2"/>
      <c r="R84" s="2"/>
      <c r="S84" s="2"/>
      <c r="T84" s="2"/>
      <c r="U84" s="2"/>
      <c r="V84" s="2"/>
      <c r="W84" s="2"/>
      <c r="X84" s="2"/>
      <c r="Y84" s="2"/>
    </row>
    <row r="85" spans="1:25" s="195" customFormat="1" x14ac:dyDescent="0.25">
      <c r="A85" s="2"/>
      <c r="B85" s="17">
        <f t="shared" si="1"/>
        <v>15</v>
      </c>
      <c r="C85" s="262" t="str">
        <f>C87&amp;"_HighC"</f>
        <v>PM_OC_bbl_HighC</v>
      </c>
      <c r="D85" s="39"/>
      <c r="E85" s="68">
        <f>HLOOKUP(LEFT(C85,LEN(C85)-6),'Emission Rates'!$R$146:$AJ$162,6,FALSE)</f>
        <v>4.9510884133423933E-4</v>
      </c>
      <c r="F85" s="68">
        <f>HLOOKUP(LEFT($C85,LEN($C85)-6),'Emission Rates'!$R$146:$AJ$162,12,FALSE)</f>
        <v>1.9378297969999397E-6</v>
      </c>
      <c r="G85" s="68">
        <f>HLOOKUP(LEFT($C85,LEN($C85)-6),'Emission Rates'!$R$146:$AJ$165,18,FALSE)</f>
        <v>2.0383877712630066E-3</v>
      </c>
      <c r="H85" s="264" t="s">
        <v>1085</v>
      </c>
      <c r="I85" s="328">
        <v>2</v>
      </c>
      <c r="J85" s="425" t="str">
        <f>"[kg/bbl] Kg of "&amp; LEFT(C85,LEN(C85)-10)&amp;" emitted to air per bbl of crude throughput - High Complexity Coking"</f>
        <v>[kg/bbl] Kg of PM_OC emitted to air per bbl of crude throughput - High Complexity Coking</v>
      </c>
      <c r="K85" s="426"/>
      <c r="L85" s="426"/>
      <c r="M85" s="426"/>
      <c r="N85" s="426"/>
      <c r="O85" s="426"/>
      <c r="P85" s="427"/>
      <c r="Q85" s="2"/>
      <c r="R85" s="2"/>
      <c r="S85" s="2"/>
      <c r="T85" s="2"/>
      <c r="U85" s="2"/>
      <c r="V85" s="2"/>
      <c r="W85" s="2"/>
      <c r="X85" s="2"/>
      <c r="Y85" s="2"/>
    </row>
    <row r="86" spans="1:25" s="195" customFormat="1" x14ac:dyDescent="0.25">
      <c r="A86" s="2"/>
      <c r="B86" s="17">
        <f t="shared" si="1"/>
        <v>15</v>
      </c>
      <c r="C86" s="262" t="str">
        <f>C87&amp;"_HighB"</f>
        <v>PM_OC_bbl_HighB</v>
      </c>
      <c r="D86" s="39"/>
      <c r="E86" s="68">
        <f>HLOOKUP(LEFT(C86,LEN(C86)-6),'Emission Rates'!$R$146:$AJ$162,7,FALSE)</f>
        <v>5.6826791254233565E-4</v>
      </c>
      <c r="F86" s="68">
        <f>HLOOKUP(LEFT($C86,LEN($C86)-6),'Emission Rates'!$R$146:$AJ$162,13,FALSE)</f>
        <v>5.2073854784876718E-5</v>
      </c>
      <c r="G86" s="68">
        <f>HLOOKUP(LEFT($C86,LEN($C86)-6),'Emission Rates'!$R$146:$AJ$165,19,FALSE)</f>
        <v>3.6810322307833242E-3</v>
      </c>
      <c r="H86" s="264" t="s">
        <v>1085</v>
      </c>
      <c r="I86" s="328">
        <v>2</v>
      </c>
      <c r="J86" s="425" t="str">
        <f>"[kg/bbl] Kg of "&amp; LEFT(C86,LEN(C86)-10)&amp;" emitted to air per bbl of crude throughput - High Complexity Hydro Cracking and Coking"</f>
        <v>[kg/bbl] Kg of PM_OC emitted to air per bbl of crude throughput - High Complexity Hydro Cracking and Coking</v>
      </c>
      <c r="K86" s="426"/>
      <c r="L86" s="426"/>
      <c r="M86" s="426"/>
      <c r="N86" s="426"/>
      <c r="O86" s="426"/>
      <c r="P86" s="427"/>
      <c r="Q86" s="2"/>
      <c r="R86" s="2"/>
      <c r="S86" s="2"/>
      <c r="T86" s="2"/>
      <c r="U86" s="2"/>
      <c r="V86" s="2"/>
      <c r="W86" s="2"/>
      <c r="X86" s="2"/>
      <c r="Y86" s="2"/>
    </row>
    <row r="87" spans="1:25" s="195" customFormat="1" ht="42.75" customHeight="1" x14ac:dyDescent="0.25">
      <c r="A87" s="2"/>
      <c r="B87" s="17">
        <f t="shared" si="1"/>
        <v>9</v>
      </c>
      <c r="C87" s="262" t="s">
        <v>1257</v>
      </c>
      <c r="D87" s="39" t="str">
        <f>"IF(NC=0;"&amp;C82&amp;";IF(NC=1;"&amp;C83&amp;";IF(NC=2;"&amp;C84&amp;";IF(NC=3;"&amp;C85&amp;";"&amp;C86&amp;"))))"</f>
        <v>IF(NC=0;PM_OC_bbl_Low;IF(NC=1;PM_OC_bbl_Med;IF(NC=2;PM_OC_bbl_HighH;IF(NC=3;PM_OC_bbl_HighC;PM_OC_bbl_HighB))))</v>
      </c>
      <c r="E87" s="68">
        <f>IF($E$24=0,E82,IF($E$24=1,E83,IF($E$24=2,E84,IF($E$24=3,E85,E86))))</f>
        <v>5.6826791254233565E-4</v>
      </c>
      <c r="F87" s="68"/>
      <c r="G87" s="68"/>
      <c r="H87" s="264" t="s">
        <v>1085</v>
      </c>
      <c r="I87" s="328">
        <v>2</v>
      </c>
      <c r="J87" s="425" t="s">
        <v>1095</v>
      </c>
      <c r="K87" s="426"/>
      <c r="L87" s="426"/>
      <c r="M87" s="426"/>
      <c r="N87" s="426"/>
      <c r="O87" s="426"/>
      <c r="P87" s="427"/>
      <c r="Q87" s="2"/>
      <c r="R87" s="2"/>
      <c r="S87" s="452"/>
      <c r="T87" s="452"/>
      <c r="U87" s="452"/>
      <c r="V87" s="452"/>
      <c r="W87" s="452"/>
      <c r="X87" s="452"/>
      <c r="Y87" s="452"/>
    </row>
    <row r="88" spans="1:25" s="195" customFormat="1" x14ac:dyDescent="0.25">
      <c r="A88" s="2"/>
      <c r="B88" s="17">
        <f t="shared" ref="B88:B92" si="9">LEN(C88)</f>
        <v>12</v>
      </c>
      <c r="C88" s="262" t="str">
        <f>C93&amp;"_Low"</f>
        <v>Merc_bbl_Low</v>
      </c>
      <c r="D88" s="39"/>
      <c r="E88" s="68">
        <f>HLOOKUP(LEFT($C88,LEN($C88)-4),'Emission Rates'!$R$146:$AJ$162,3,FALSE)</f>
        <v>2.0231784997023901E-7</v>
      </c>
      <c r="F88" s="68">
        <f>HLOOKUP(LEFT($C88,LEN($C88)-4),'Emission Rates'!$R$146:$AJ$162,9,FALSE)</f>
        <v>7.4960465334530723E-13</v>
      </c>
      <c r="G88" s="68">
        <f>HLOOKUP(LEFT($C88,LEN($C88)-4),'Emission Rates'!$R$146:$AJ$162,15,FALSE)</f>
        <v>6.9094805479452057E-7</v>
      </c>
      <c r="H88" s="264" t="s">
        <v>1085</v>
      </c>
      <c r="I88" s="328">
        <v>2</v>
      </c>
      <c r="J88" s="425" t="str">
        <f>"[kg/bbl] Kg of "&amp; LEFT(C88,LEN(C88)-8)&amp;" emitted to air per bbl of crude throughput - Low Complexity"</f>
        <v>[kg/bbl] Kg of Merc emitted to air per bbl of crude throughput - Low Complexity</v>
      </c>
      <c r="K88" s="426"/>
      <c r="L88" s="426"/>
      <c r="M88" s="426"/>
      <c r="N88" s="426"/>
      <c r="O88" s="426"/>
      <c r="P88" s="427"/>
      <c r="Q88" s="2"/>
      <c r="R88" s="2"/>
      <c r="S88" s="2"/>
      <c r="T88" s="2"/>
      <c r="U88" s="2"/>
      <c r="V88" s="2"/>
      <c r="W88" s="2"/>
      <c r="X88" s="2"/>
      <c r="Y88" s="2"/>
    </row>
    <row r="89" spans="1:25" s="195" customFormat="1" x14ac:dyDescent="0.25">
      <c r="A89" s="2"/>
      <c r="B89" s="17">
        <f t="shared" si="9"/>
        <v>12</v>
      </c>
      <c r="C89" s="262" t="str">
        <f>C93&amp;"_Med"</f>
        <v>Merc_bbl_Med</v>
      </c>
      <c r="D89" s="39"/>
      <c r="E89" s="68">
        <f>HLOOKUP(LEFT(C89,LEN(C89)-4),'Emission Rates'!$R$146:$AJ$162,4,FALSE)</f>
        <v>8.6108257285594957E-8</v>
      </c>
      <c r="F89" s="68">
        <f>HLOOKUP(LEFT($C89,LEN($C89)-4),'Emission Rates'!$R$146:$AJ$162,10,FALSE)</f>
        <v>2.4758653319283453E-13</v>
      </c>
      <c r="G89" s="68">
        <f>HLOOKUP(LEFT($C89,LEN($C89)-4),'Emission Rates'!$R$146:$AJ$162,16,FALSE)</f>
        <v>5.9902092928544979E-7</v>
      </c>
      <c r="H89" s="264" t="s">
        <v>1085</v>
      </c>
      <c r="I89" s="328">
        <v>2</v>
      </c>
      <c r="J89" s="425" t="str">
        <f>"[kg/bbl] Kg of "&amp; LEFT(C89,LEN(C89)-8)&amp;" emitted to air per bbl of crude throughput - Med Complexity"</f>
        <v>[kg/bbl] Kg of Merc emitted to air per bbl of crude throughput - Med Complexity</v>
      </c>
      <c r="K89" s="426"/>
      <c r="L89" s="426"/>
      <c r="M89" s="426"/>
      <c r="N89" s="426"/>
      <c r="O89" s="426"/>
      <c r="P89" s="427"/>
      <c r="Q89" s="2"/>
      <c r="R89" s="2"/>
      <c r="S89" s="2"/>
      <c r="T89" s="2"/>
      <c r="U89" s="2"/>
      <c r="V89" s="2"/>
      <c r="W89" s="2"/>
      <c r="X89" s="2"/>
      <c r="Y89" s="2"/>
    </row>
    <row r="90" spans="1:25" s="195" customFormat="1" x14ac:dyDescent="0.25">
      <c r="A90" s="2"/>
      <c r="B90" s="17">
        <f t="shared" si="9"/>
        <v>14</v>
      </c>
      <c r="C90" s="262" t="str">
        <f>C93&amp;"_HighH"</f>
        <v>Merc_bbl_HighH</v>
      </c>
      <c r="D90" s="39"/>
      <c r="E90" s="68">
        <f>HLOOKUP(LEFT(C90,LEN(C90)-6),'Emission Rates'!$R$146:$AJ$162,5,FALSE)</f>
        <v>3.5086265612681115E-8</v>
      </c>
      <c r="F90" s="68">
        <f>HLOOKUP(LEFT($C90,LEN($C90)-6),'Emission Rates'!$R$146:$AJ$162,11,FALSE)</f>
        <v>8.3016062114348403E-14</v>
      </c>
      <c r="G90" s="68">
        <f>HLOOKUP(LEFT($C90,LEN($C90)-6),'Emission Rates'!$R$146:$AJ$162,17,FALSE)</f>
        <v>8.1820061485853066E-8</v>
      </c>
      <c r="H90" s="264" t="s">
        <v>1085</v>
      </c>
      <c r="I90" s="328">
        <v>2</v>
      </c>
      <c r="J90" s="425" t="str">
        <f>"[kg/bbl] Kg of "&amp; LEFT(C90,LEN(C90)-10)&amp;" emitted to air per bbl of crude throughput - High Complexity Hydro Cracking"</f>
        <v>[kg/bbl] Kg of Merc emitted to air per bbl of crude throughput - High Complexity Hydro Cracking</v>
      </c>
      <c r="K90" s="426"/>
      <c r="L90" s="426"/>
      <c r="M90" s="426"/>
      <c r="N90" s="426"/>
      <c r="O90" s="426"/>
      <c r="P90" s="427"/>
      <c r="Q90" s="2"/>
      <c r="R90" s="2"/>
      <c r="S90" s="2"/>
      <c r="T90" s="2"/>
      <c r="U90" s="2"/>
      <c r="V90" s="2"/>
      <c r="W90" s="2"/>
      <c r="X90" s="2"/>
      <c r="Y90" s="2"/>
    </row>
    <row r="91" spans="1:25" s="195" customFormat="1" x14ac:dyDescent="0.25">
      <c r="A91" s="2"/>
      <c r="B91" s="17">
        <f t="shared" si="9"/>
        <v>14</v>
      </c>
      <c r="C91" s="262" t="str">
        <f>C93&amp;"_HighC"</f>
        <v>Merc_bbl_HighC</v>
      </c>
      <c r="D91" s="39"/>
      <c r="E91" s="68">
        <f>HLOOKUP(LEFT(C91,LEN(C91)-6),'Emission Rates'!$R$146:$AJ$162,6,FALSE)</f>
        <v>1.2953719564091833E-7</v>
      </c>
      <c r="F91" s="68">
        <f>HLOOKUP(LEFT($C91,LEN($C91)-6),'Emission Rates'!$R$146:$AJ$162,12,FALSE)</f>
        <v>2.1844506404683244E-14</v>
      </c>
      <c r="G91" s="68">
        <f>HLOOKUP(LEFT($C91,LEN($C91)-6),'Emission Rates'!$R$146:$AJ$165,18,FALSE)</f>
        <v>1.1071437110834372E-6</v>
      </c>
      <c r="H91" s="264" t="s">
        <v>1085</v>
      </c>
      <c r="I91" s="328">
        <v>2</v>
      </c>
      <c r="J91" s="425" t="str">
        <f>"[kg/bbl] Kg of "&amp; LEFT(C91,LEN(C91)-10)&amp;" emitted to air per bbl of crude throughput - High Complexity Coking"</f>
        <v>[kg/bbl] Kg of Merc emitted to air per bbl of crude throughput - High Complexity Coking</v>
      </c>
      <c r="K91" s="426"/>
      <c r="L91" s="426"/>
      <c r="M91" s="426"/>
      <c r="N91" s="426"/>
      <c r="O91" s="426"/>
      <c r="P91" s="427"/>
      <c r="Q91" s="2"/>
      <c r="R91" s="2"/>
      <c r="S91" s="2"/>
      <c r="T91" s="2"/>
      <c r="U91" s="2"/>
      <c r="V91" s="2"/>
      <c r="W91" s="2"/>
      <c r="X91" s="2"/>
      <c r="Y91" s="2"/>
    </row>
    <row r="92" spans="1:25" s="195" customFormat="1" x14ac:dyDescent="0.25">
      <c r="A92" s="2"/>
      <c r="B92" s="17">
        <f t="shared" si="9"/>
        <v>14</v>
      </c>
      <c r="C92" s="262" t="str">
        <f>C93&amp;"_HighB"</f>
        <v>Merc_bbl_HighB</v>
      </c>
      <c r="D92" s="39"/>
      <c r="E92" s="68">
        <f>HLOOKUP(LEFT(C92,LEN(C92)-6),'Emission Rates'!$R$146:$AJ$162,7,FALSE)</f>
        <v>2.2894153254421185E-7</v>
      </c>
      <c r="F92" s="68">
        <f>HLOOKUP(LEFT($C92,LEN($C92)-6),'Emission Rates'!$R$146:$AJ$162,13,FALSE)</f>
        <v>1.9422377645943635E-12</v>
      </c>
      <c r="G92" s="68">
        <f>HLOOKUP(LEFT($C92,LEN($C92)-6),'Emission Rates'!$R$146:$AJ$165,19,FALSE)</f>
        <v>1.4039526012548179E-6</v>
      </c>
      <c r="H92" s="264" t="s">
        <v>1085</v>
      </c>
      <c r="I92" s="328">
        <v>2</v>
      </c>
      <c r="J92" s="425" t="str">
        <f>"[kg/bbl] Kg of "&amp; LEFT(C92,LEN(C92)-10)&amp;" emitted to air per bbl of crude throughput - High Complexity Hydro Cracking and Coking"</f>
        <v>[kg/bbl] Kg of Merc emitted to air per bbl of crude throughput - High Complexity Hydro Cracking and Coking</v>
      </c>
      <c r="K92" s="426"/>
      <c r="L92" s="426"/>
      <c r="M92" s="426"/>
      <c r="N92" s="426"/>
      <c r="O92" s="426"/>
      <c r="P92" s="427"/>
      <c r="Q92" s="2"/>
      <c r="R92" s="2"/>
      <c r="S92" s="2"/>
      <c r="T92" s="2"/>
      <c r="U92" s="2"/>
      <c r="V92" s="2"/>
      <c r="W92" s="2"/>
      <c r="X92" s="2"/>
      <c r="Y92" s="2"/>
    </row>
    <row r="93" spans="1:25" s="195" customFormat="1" ht="30.75" customHeight="1" x14ac:dyDescent="0.25">
      <c r="A93" s="2"/>
      <c r="B93" s="17">
        <f t="shared" si="1"/>
        <v>8</v>
      </c>
      <c r="C93" s="262" t="s">
        <v>1256</v>
      </c>
      <c r="D93" s="39" t="str">
        <f>"IF(NC=0;"&amp;C88&amp;";IF(NC=1;"&amp;C89&amp;";IF(NC=2;"&amp;C90&amp;";IF(NC=3;"&amp;C91&amp;";"&amp;C92&amp;"))))"</f>
        <v>IF(NC=0;Merc_bbl_Low;IF(NC=1;Merc_bbl_Med;IF(NC=2;Merc_bbl_HighH;IF(NC=3;Merc_bbl_HighC;Merc_bbl_HighB))))</v>
      </c>
      <c r="E93" s="68">
        <f>IF($E$24=0,E88,IF($E$24=1,E89,IF($E$24=2,E90,IF($E$24=3,E91,E92))))</f>
        <v>2.2894153254421185E-7</v>
      </c>
      <c r="F93" s="68"/>
      <c r="G93" s="68"/>
      <c r="H93" s="264" t="s">
        <v>1085</v>
      </c>
      <c r="I93" s="328">
        <v>2</v>
      </c>
      <c r="J93" s="425" t="s">
        <v>1096</v>
      </c>
      <c r="K93" s="426"/>
      <c r="L93" s="426"/>
      <c r="M93" s="426"/>
      <c r="N93" s="426"/>
      <c r="O93" s="426"/>
      <c r="P93" s="427"/>
      <c r="Q93" s="2"/>
      <c r="R93" s="2"/>
      <c r="S93" s="452"/>
      <c r="T93" s="452"/>
      <c r="U93" s="452"/>
      <c r="V93" s="452"/>
      <c r="W93" s="452"/>
      <c r="X93" s="452"/>
      <c r="Y93" s="452"/>
    </row>
    <row r="94" spans="1:25" s="195" customFormat="1" x14ac:dyDescent="0.25">
      <c r="A94" s="2"/>
      <c r="B94" s="17">
        <f t="shared" si="1"/>
        <v>13</v>
      </c>
      <c r="C94" s="262" t="str">
        <f>C99&amp;"_Low"</f>
        <v>Chrom_bbl_Low</v>
      </c>
      <c r="D94" s="39"/>
      <c r="E94" s="68">
        <f>HLOOKUP(LEFT($C94,LEN($C94)-4),'Emission Rates'!$R$146:$AJ$162,3,FALSE)</f>
        <v>1.9900723869284425E-7</v>
      </c>
      <c r="F94" s="68">
        <f>HLOOKUP(LEFT($C94,LEN($C94)-4),'Emission Rates'!$R$146:$AJ$162,9,FALSE)</f>
        <v>3.8524082191780821E-10</v>
      </c>
      <c r="G94" s="68">
        <f>HLOOKUP(LEFT($C94,LEN($C94)-4),'Emission Rates'!$R$146:$AJ$162,15,FALSE)</f>
        <v>1.2750228493150684E-6</v>
      </c>
      <c r="H94" s="264" t="s">
        <v>1085</v>
      </c>
      <c r="I94" s="328">
        <v>2</v>
      </c>
      <c r="J94" s="425" t="str">
        <f>"[kg/bbl] Kg of "&amp; LEFT(C94,LEN(C94)-8)&amp;" emitted to air per bbl of crude throughput - Low Complexity"</f>
        <v>[kg/bbl] Kg of Chrom emitted to air per bbl of crude throughput - Low Complexity</v>
      </c>
      <c r="K94" s="426"/>
      <c r="L94" s="426"/>
      <c r="M94" s="426"/>
      <c r="N94" s="426"/>
      <c r="O94" s="426"/>
      <c r="P94" s="427"/>
      <c r="Q94" s="2"/>
      <c r="R94" s="2"/>
      <c r="S94" s="2"/>
      <c r="T94" s="2"/>
      <c r="U94" s="2"/>
      <c r="V94" s="2"/>
      <c r="W94" s="2"/>
      <c r="X94" s="2"/>
      <c r="Y94" s="2"/>
    </row>
    <row r="95" spans="1:25" s="195" customFormat="1" x14ac:dyDescent="0.25">
      <c r="A95" s="2"/>
      <c r="B95" s="17">
        <f t="shared" si="1"/>
        <v>13</v>
      </c>
      <c r="C95" s="262" t="str">
        <f>C99&amp;"_Med"</f>
        <v>Chrom_bbl_Med</v>
      </c>
      <c r="D95" s="39"/>
      <c r="E95" s="68">
        <f>HLOOKUP(LEFT(C95,LEN(C95)-4),'Emission Rates'!$R$146:$AJ$162,4,FALSE)</f>
        <v>1.2391732318392603E-8</v>
      </c>
      <c r="F95" s="68">
        <f>HLOOKUP(LEFT($C95,LEN($C95)-4),'Emission Rates'!$R$146:$AJ$162,10,FALSE)</f>
        <v>2.7245881623158443E-11</v>
      </c>
      <c r="G95" s="68">
        <f>HLOOKUP(LEFT($C95,LEN($C95)-4),'Emission Rates'!$R$146:$AJ$162,16,FALSE)</f>
        <v>7.6913817104776011E-8</v>
      </c>
      <c r="H95" s="264" t="s">
        <v>1085</v>
      </c>
      <c r="I95" s="328">
        <v>2</v>
      </c>
      <c r="J95" s="425" t="str">
        <f>"[kg/bbl] Kg of "&amp; LEFT(C95,LEN(C95)-8)&amp;" emitted to air per bbl of crude throughput - Med Complexity"</f>
        <v>[kg/bbl] Kg of Chrom emitted to air per bbl of crude throughput - Med Complexity</v>
      </c>
      <c r="K95" s="426"/>
      <c r="L95" s="426"/>
      <c r="M95" s="426"/>
      <c r="N95" s="426"/>
      <c r="O95" s="426"/>
      <c r="P95" s="427"/>
      <c r="Q95" s="2"/>
      <c r="R95" s="2"/>
      <c r="S95" s="2"/>
      <c r="T95" s="2"/>
      <c r="U95" s="2"/>
      <c r="V95" s="2"/>
      <c r="W95" s="2"/>
      <c r="X95" s="2"/>
      <c r="Y95" s="2"/>
    </row>
    <row r="96" spans="1:25" s="195" customFormat="1" x14ac:dyDescent="0.25">
      <c r="A96" s="2"/>
      <c r="B96" s="17">
        <f t="shared" si="1"/>
        <v>15</v>
      </c>
      <c r="C96" s="262" t="str">
        <f>C99&amp;"_HighH"</f>
        <v>Chrom_bbl_HighH</v>
      </c>
      <c r="D96" s="39"/>
      <c r="E96" s="68">
        <f>HLOOKUP(LEFT(C96,LEN(C96)-6),'Emission Rates'!$R$146:$AJ$162,5,FALSE)</f>
        <v>1.8650183116709308E-8</v>
      </c>
      <c r="F96" s="68">
        <f>HLOOKUP(LEFT($C96,LEN($C96)-6),'Emission Rates'!$R$146:$AJ$162,11,FALSE)</f>
        <v>4.2076035692693437E-11</v>
      </c>
      <c r="G96" s="68">
        <f>HLOOKUP(LEFT($C96,LEN($C96)-6),'Emission Rates'!$R$146:$AJ$162,17,FALSE)</f>
        <v>8.4547396868714837E-8</v>
      </c>
      <c r="H96" s="264" t="s">
        <v>1085</v>
      </c>
      <c r="I96" s="328">
        <v>2</v>
      </c>
      <c r="J96" s="425" t="str">
        <f>"[kg/bbl] Kg of "&amp; LEFT(C96,LEN(C96)-10)&amp;" emitted to air per bbl of crude throughput - High Complexity Hydro Cracking"</f>
        <v>[kg/bbl] Kg of Chrom emitted to air per bbl of crude throughput - High Complexity Hydro Cracking</v>
      </c>
      <c r="K96" s="426"/>
      <c r="L96" s="426"/>
      <c r="M96" s="426"/>
      <c r="N96" s="426"/>
      <c r="O96" s="426"/>
      <c r="P96" s="427"/>
      <c r="Q96" s="2"/>
      <c r="R96" s="2"/>
      <c r="S96" s="2"/>
      <c r="T96" s="2"/>
      <c r="U96" s="2"/>
      <c r="V96" s="2"/>
      <c r="W96" s="2"/>
      <c r="X96" s="2"/>
      <c r="Y96" s="2"/>
    </row>
    <row r="97" spans="1:25" s="195" customFormat="1" x14ac:dyDescent="0.25">
      <c r="A97" s="2"/>
      <c r="B97" s="17">
        <f t="shared" si="1"/>
        <v>15</v>
      </c>
      <c r="C97" s="262" t="str">
        <f>C99&amp;"_HighC"</f>
        <v>Chrom_bbl_HighC</v>
      </c>
      <c r="D97" s="39"/>
      <c r="E97" s="68">
        <f>HLOOKUP(LEFT(C97,LEN(C97)-6),'Emission Rates'!$R$146:$AJ$162,6,FALSE)</f>
        <v>4.8423107269351303E-8</v>
      </c>
      <c r="F97" s="68">
        <f>HLOOKUP(LEFT($C97,LEN($C97)-6),'Emission Rates'!$R$146:$AJ$162,12,FALSE)</f>
        <v>5.171389596175517E-11</v>
      </c>
      <c r="G97" s="68">
        <f>HLOOKUP(LEFT($C97,LEN($C97)-6),'Emission Rates'!$R$146:$AJ$165,18,FALSE)</f>
        <v>3.0640918538907009E-7</v>
      </c>
      <c r="H97" s="264" t="s">
        <v>1085</v>
      </c>
      <c r="I97" s="328">
        <v>2</v>
      </c>
      <c r="J97" s="425" t="str">
        <f>"[kg/bbl] Kg of "&amp; LEFT(C97,LEN(C97)-10)&amp;" emitted to air per bbl of crude throughput - High Complexity Coking"</f>
        <v>[kg/bbl] Kg of Chrom emitted to air per bbl of crude throughput - High Complexity Coking</v>
      </c>
      <c r="K97" s="426"/>
      <c r="L97" s="426"/>
      <c r="M97" s="426"/>
      <c r="N97" s="426"/>
      <c r="O97" s="426"/>
      <c r="P97" s="427"/>
      <c r="Q97" s="2"/>
      <c r="R97" s="2"/>
      <c r="S97" s="2"/>
      <c r="T97" s="2"/>
      <c r="U97" s="2"/>
      <c r="V97" s="2"/>
      <c r="W97" s="2"/>
      <c r="X97" s="2"/>
      <c r="Y97" s="2"/>
    </row>
    <row r="98" spans="1:25" s="195" customFormat="1" x14ac:dyDescent="0.25">
      <c r="A98" s="2"/>
      <c r="B98" s="17">
        <f t="shared" si="1"/>
        <v>15</v>
      </c>
      <c r="C98" s="262" t="str">
        <f>C99&amp;"_HighB"</f>
        <v>Chrom_bbl_HighB</v>
      </c>
      <c r="D98" s="39"/>
      <c r="E98" s="68">
        <f>HLOOKUP(LEFT(C98,LEN(C98)-6),'Emission Rates'!$R$146:$AJ$162,7,FALSE)</f>
        <v>7.5427678411435695E-8</v>
      </c>
      <c r="F98" s="68">
        <f>HLOOKUP(LEFT($C98,LEN($C98)-6),'Emission Rates'!$R$146:$AJ$162,13,FALSE)</f>
        <v>3.4312559798770461E-12</v>
      </c>
      <c r="G98" s="68">
        <f>HLOOKUP(LEFT($C98,LEN($C98)-6),'Emission Rates'!$R$146:$AJ$165,19,FALSE)</f>
        <v>1.3629987223747104E-6</v>
      </c>
      <c r="H98" s="264" t="s">
        <v>1085</v>
      </c>
      <c r="I98" s="328">
        <v>2</v>
      </c>
      <c r="J98" s="425" t="str">
        <f>"[kg/bbl] Kg of "&amp; LEFT(C98,LEN(C98)-10)&amp;" emitted to air per bbl of crude throughput - High Complexity Hydro Cracking and Coking"</f>
        <v>[kg/bbl] Kg of Chrom emitted to air per bbl of crude throughput - High Complexity Hydro Cracking and Coking</v>
      </c>
      <c r="K98" s="426"/>
      <c r="L98" s="426"/>
      <c r="M98" s="426"/>
      <c r="N98" s="426"/>
      <c r="O98" s="426"/>
      <c r="P98" s="427"/>
      <c r="Q98" s="2"/>
      <c r="R98" s="2"/>
      <c r="S98" s="2"/>
      <c r="T98" s="2"/>
      <c r="U98" s="2"/>
      <c r="V98" s="2"/>
      <c r="W98" s="2"/>
      <c r="X98" s="2"/>
      <c r="Y98" s="2"/>
    </row>
    <row r="99" spans="1:25" s="195" customFormat="1" ht="28.5" customHeight="1" x14ac:dyDescent="0.25">
      <c r="A99" s="2"/>
      <c r="B99" s="17">
        <f t="shared" si="1"/>
        <v>9</v>
      </c>
      <c r="C99" s="262" t="s">
        <v>1255</v>
      </c>
      <c r="D99" s="39" t="str">
        <f>"IF(NC=0;"&amp;C94&amp;";IF(NC=1;"&amp;C95&amp;";IF(NC=2;"&amp;C96&amp;";IF(NC=3;"&amp;C97&amp;";"&amp;C98&amp;"))))"</f>
        <v>IF(NC=0;Chrom_bbl_Low;IF(NC=1;Chrom_bbl_Med;IF(NC=2;Chrom_bbl_HighH;IF(NC=3;Chrom_bbl_HighC;Chrom_bbl_HighB))))</v>
      </c>
      <c r="E99" s="68">
        <f>IF($E$24=0,E94,IF($E$24=1,E95,IF($E$24=2,E96,IF($E$24=3,E97,E98))))</f>
        <v>7.5427678411435695E-8</v>
      </c>
      <c r="F99" s="68"/>
      <c r="G99" s="68"/>
      <c r="H99" s="264" t="s">
        <v>1085</v>
      </c>
      <c r="I99" s="328">
        <v>2</v>
      </c>
      <c r="J99" s="425" t="s">
        <v>1097</v>
      </c>
      <c r="K99" s="426"/>
      <c r="L99" s="426"/>
      <c r="M99" s="426"/>
      <c r="N99" s="426"/>
      <c r="O99" s="426"/>
      <c r="P99" s="427"/>
      <c r="Q99" s="2"/>
      <c r="R99" s="2"/>
      <c r="S99" s="452"/>
      <c r="T99" s="452"/>
      <c r="U99" s="452"/>
      <c r="V99" s="452"/>
      <c r="W99" s="452"/>
      <c r="X99" s="452"/>
      <c r="Y99" s="452"/>
    </row>
    <row r="100" spans="1:25" s="195" customFormat="1" x14ac:dyDescent="0.25">
      <c r="A100" s="2"/>
      <c r="B100" s="17">
        <f t="shared" ref="B100:B104" si="10">LEN(C100)</f>
        <v>13</v>
      </c>
      <c r="C100" s="262" t="str">
        <f>C105&amp;"_Low"</f>
        <v>Arsen_bbl_Low</v>
      </c>
      <c r="D100" s="39"/>
      <c r="E100" s="68">
        <f>HLOOKUP(LEFT($C100,LEN($C100)-4),'Emission Rates'!$R$146:$AJ$162,3,FALSE)</f>
        <v>4.0067567327475879E-7</v>
      </c>
      <c r="F100" s="68">
        <f>HLOOKUP(LEFT($C100,LEN($C100)-4),'Emission Rates'!$R$146:$AJ$162,9,FALSE)</f>
        <v>1.3773394977168952E-9</v>
      </c>
      <c r="G100" s="68">
        <f>HLOOKUP(LEFT($C100,LEN($C100)-4),'Emission Rates'!$R$146:$AJ$162,15,FALSE)</f>
        <v>2.4866673698630139E-6</v>
      </c>
      <c r="H100" s="264" t="s">
        <v>1085</v>
      </c>
      <c r="I100" s="328">
        <v>2</v>
      </c>
      <c r="J100" s="425" t="str">
        <f>"[kg/bbl] Kg of "&amp; LEFT(C100,LEN(C100)-8)&amp;" emitted to air per bbl of crude throughput - Low Complexity"</f>
        <v>[kg/bbl] Kg of Arsen emitted to air per bbl of crude throughput - Low Complexity</v>
      </c>
      <c r="K100" s="426"/>
      <c r="L100" s="426"/>
      <c r="M100" s="426"/>
      <c r="N100" s="426"/>
      <c r="O100" s="426"/>
      <c r="P100" s="427"/>
      <c r="Q100" s="2"/>
      <c r="R100" s="2"/>
      <c r="S100" s="2"/>
      <c r="T100" s="2"/>
      <c r="U100" s="2"/>
      <c r="V100" s="2"/>
      <c r="W100" s="2"/>
      <c r="X100" s="2"/>
      <c r="Y100" s="2"/>
    </row>
    <row r="101" spans="1:25" s="195" customFormat="1" x14ac:dyDescent="0.25">
      <c r="A101" s="2"/>
      <c r="B101" s="17">
        <f t="shared" si="10"/>
        <v>13</v>
      </c>
      <c r="C101" s="262" t="str">
        <f>C105&amp;"_Med"</f>
        <v>Arsen_bbl_Med</v>
      </c>
      <c r="D101" s="39"/>
      <c r="E101" s="68">
        <f>HLOOKUP(LEFT(C101,LEN(C101)-4),'Emission Rates'!$R$146:$AJ$162,4,FALSE)</f>
        <v>2.6665489673615373E-8</v>
      </c>
      <c r="F101" s="68">
        <f>HLOOKUP(LEFT($C101,LEN($C101)-4),'Emission Rates'!$R$146:$AJ$162,10,FALSE)</f>
        <v>9.7072246058413037E-11</v>
      </c>
      <c r="G101" s="68">
        <f>HLOOKUP(LEFT($C101,LEN($C101)-4),'Emission Rates'!$R$146:$AJ$162,16,FALSE)</f>
        <v>1.2427123287671233E-7</v>
      </c>
      <c r="H101" s="264" t="s">
        <v>1085</v>
      </c>
      <c r="I101" s="328">
        <v>2</v>
      </c>
      <c r="J101" s="425" t="str">
        <f>"[kg/bbl] Kg of "&amp; LEFT(C101,LEN(C101)-8)&amp;" emitted to air per bbl of crude throughput - Med Complexity"</f>
        <v>[kg/bbl] Kg of Arsen emitted to air per bbl of crude throughput - Med Complexity</v>
      </c>
      <c r="K101" s="426"/>
      <c r="L101" s="426"/>
      <c r="M101" s="426"/>
      <c r="N101" s="426"/>
      <c r="O101" s="426"/>
      <c r="P101" s="427"/>
      <c r="Q101" s="2"/>
      <c r="R101" s="2"/>
      <c r="S101" s="2"/>
      <c r="T101" s="2"/>
      <c r="U101" s="2"/>
      <c r="V101" s="2"/>
      <c r="W101" s="2"/>
      <c r="X101" s="2"/>
      <c r="Y101" s="2"/>
    </row>
    <row r="102" spans="1:25" s="195" customFormat="1" x14ac:dyDescent="0.25">
      <c r="A102" s="2"/>
      <c r="B102" s="17">
        <f t="shared" si="10"/>
        <v>15</v>
      </c>
      <c r="C102" s="262" t="str">
        <f>C105&amp;"_HighH"</f>
        <v>Arsen_bbl_HighH</v>
      </c>
      <c r="D102" s="39"/>
      <c r="E102" s="68">
        <f>HLOOKUP(LEFT(C102,LEN(C102)-6),'Emission Rates'!$R$146:$AJ$162,5,FALSE)</f>
        <v>4.9202864206599122E-8</v>
      </c>
      <c r="F102" s="68">
        <f>HLOOKUP(LEFT($C102,LEN($C102)-6),'Emission Rates'!$R$146:$AJ$162,11,FALSE)</f>
        <v>1.5030276509124133E-10</v>
      </c>
      <c r="G102" s="68">
        <f>HLOOKUP(LEFT($C102,LEN($C102)-6),'Emission Rates'!$R$146:$AJ$162,17,FALSE)</f>
        <v>2.1818683062894148E-7</v>
      </c>
      <c r="H102" s="264" t="s">
        <v>1085</v>
      </c>
      <c r="I102" s="328">
        <v>2</v>
      </c>
      <c r="J102" s="425" t="str">
        <f>"[kg/bbl] Kg of "&amp; LEFT(C102,LEN(C102)-10)&amp;" emitted to air per bbl of crude throughput - High Complexity Hydro Cracking"</f>
        <v>[kg/bbl] Kg of Arsen emitted to air per bbl of crude throughput - High Complexity Hydro Cracking</v>
      </c>
      <c r="K102" s="426"/>
      <c r="L102" s="426"/>
      <c r="M102" s="426"/>
      <c r="N102" s="426"/>
      <c r="O102" s="426"/>
      <c r="P102" s="427"/>
      <c r="Q102" s="2"/>
      <c r="R102" s="2"/>
      <c r="S102" s="2"/>
      <c r="T102" s="2"/>
      <c r="U102" s="2"/>
      <c r="V102" s="2"/>
      <c r="W102" s="2"/>
      <c r="X102" s="2"/>
      <c r="Y102" s="2"/>
    </row>
    <row r="103" spans="1:25" s="195" customFormat="1" x14ac:dyDescent="0.25">
      <c r="A103" s="2"/>
      <c r="B103" s="17">
        <f t="shared" si="10"/>
        <v>15</v>
      </c>
      <c r="C103" s="262" t="str">
        <f>C105&amp;"_HighC"</f>
        <v>Arsen_bbl_HighC</v>
      </c>
      <c r="D103" s="39"/>
      <c r="E103" s="68">
        <f>HLOOKUP(LEFT(C103,LEN(C103)-6),'Emission Rates'!$R$146:$AJ$162,6,FALSE)</f>
        <v>7.2067631737657904E-8</v>
      </c>
      <c r="F103" s="68">
        <f>HLOOKUP(LEFT($C103,LEN($C103)-6),'Emission Rates'!$R$146:$AJ$162,12,FALSE)</f>
        <v>1.9379529493444415E-12</v>
      </c>
      <c r="G103" s="68">
        <f>HLOOKUP(LEFT($C103,LEN($C103)-6),'Emission Rates'!$R$146:$AJ$165,18,FALSE)</f>
        <v>2.7067172493453969E-7</v>
      </c>
      <c r="H103" s="264" t="s">
        <v>1085</v>
      </c>
      <c r="I103" s="328">
        <v>2</v>
      </c>
      <c r="J103" s="425" t="str">
        <f>"[kg/bbl] Kg of "&amp; LEFT(C103,LEN(C103)-10)&amp;" emitted to air per bbl of crude throughput - High Complexity Coking"</f>
        <v>[kg/bbl] Kg of Arsen emitted to air per bbl of crude throughput - High Complexity Coking</v>
      </c>
      <c r="K103" s="426"/>
      <c r="L103" s="426"/>
      <c r="M103" s="426"/>
      <c r="N103" s="426"/>
      <c r="O103" s="426"/>
      <c r="P103" s="427"/>
      <c r="Q103" s="2"/>
      <c r="R103" s="2"/>
      <c r="S103" s="2"/>
      <c r="T103" s="2"/>
      <c r="U103" s="2"/>
      <c r="V103" s="2"/>
      <c r="W103" s="2"/>
      <c r="X103" s="2"/>
      <c r="Y103" s="2"/>
    </row>
    <row r="104" spans="1:25" s="195" customFormat="1" x14ac:dyDescent="0.25">
      <c r="A104" s="2"/>
      <c r="B104" s="17">
        <f t="shared" si="10"/>
        <v>15</v>
      </c>
      <c r="C104" s="262" t="str">
        <f>C105&amp;"_HighB"</f>
        <v>Arsen_bbl_HighB</v>
      </c>
      <c r="D104" s="39"/>
      <c r="E104" s="68">
        <f>HLOOKUP(LEFT(C104,LEN(C104)-6),'Emission Rates'!$R$146:$AJ$162,7,FALSE)</f>
        <v>1.0169435237089151E-7</v>
      </c>
      <c r="F104" s="68">
        <f>HLOOKUP(LEFT($C104,LEN($C104)-6),'Emission Rates'!$R$146:$AJ$162,13,FALSE)</f>
        <v>2.0085468850805638E-10</v>
      </c>
      <c r="G104" s="68">
        <f>HLOOKUP(LEFT($C104,LEN($C104)-6),'Emission Rates'!$R$146:$AJ$165,19,FALSE)</f>
        <v>6.7082986708076832E-7</v>
      </c>
      <c r="H104" s="264" t="s">
        <v>1085</v>
      </c>
      <c r="I104" s="328">
        <v>2</v>
      </c>
      <c r="J104" s="425" t="str">
        <f>"[kg/bbl] Kg of "&amp; LEFT(C104,LEN(C104)-10)&amp;" emitted to air per bbl of crude throughput - High Complexity Hydro Cracking and Coking"</f>
        <v>[kg/bbl] Kg of Arsen emitted to air per bbl of crude throughput - High Complexity Hydro Cracking and Coking</v>
      </c>
      <c r="K104" s="426"/>
      <c r="L104" s="426"/>
      <c r="M104" s="426"/>
      <c r="N104" s="426"/>
      <c r="O104" s="426"/>
      <c r="P104" s="427"/>
      <c r="Q104" s="2"/>
      <c r="R104" s="2"/>
      <c r="S104" s="2"/>
      <c r="T104" s="2"/>
      <c r="U104" s="2"/>
      <c r="V104" s="2"/>
      <c r="W104" s="2"/>
      <c r="X104" s="2"/>
      <c r="Y104" s="2"/>
    </row>
    <row r="105" spans="1:25" s="195" customFormat="1" ht="28.5" customHeight="1" x14ac:dyDescent="0.25">
      <c r="A105" s="2"/>
      <c r="B105" s="17">
        <f t="shared" si="1"/>
        <v>9</v>
      </c>
      <c r="C105" s="262" t="s">
        <v>1254</v>
      </c>
      <c r="D105" s="39" t="str">
        <f>"IF(NC=0;"&amp;C100&amp;";IF(NC=1;"&amp;C101&amp;";IF(NC=2;"&amp;C102&amp;";IF(NC=3;"&amp;C103&amp;";"&amp;C104&amp;"))))"</f>
        <v>IF(NC=0;Arsen_bbl_Low;IF(NC=1;Arsen_bbl_Med;IF(NC=2;Arsen_bbl_HighH;IF(NC=3;Arsen_bbl_HighC;Arsen_bbl_HighB))))</v>
      </c>
      <c r="E105" s="68">
        <f>IF($E$24=0,E100,IF($E$24=1,E101,IF($E$24=2,E102,IF($E$24=3,E103,E104))))</f>
        <v>1.0169435237089151E-7</v>
      </c>
      <c r="F105" s="68"/>
      <c r="G105" s="68"/>
      <c r="H105" s="264" t="s">
        <v>1085</v>
      </c>
      <c r="I105" s="328">
        <v>2</v>
      </c>
      <c r="J105" s="425" t="s">
        <v>1098</v>
      </c>
      <c r="K105" s="426"/>
      <c r="L105" s="426"/>
      <c r="M105" s="426"/>
      <c r="N105" s="426"/>
      <c r="O105" s="426"/>
      <c r="P105" s="427"/>
      <c r="Q105" s="2"/>
      <c r="R105" s="2"/>
      <c r="S105" s="452"/>
      <c r="T105" s="452"/>
      <c r="U105" s="452"/>
      <c r="V105" s="452"/>
      <c r="W105" s="452"/>
      <c r="X105" s="452"/>
      <c r="Y105" s="452"/>
    </row>
    <row r="106" spans="1:25" s="195" customFormat="1" x14ac:dyDescent="0.25">
      <c r="A106" s="2"/>
      <c r="B106" s="17">
        <f t="shared" si="1"/>
        <v>13</v>
      </c>
      <c r="C106" s="262" t="str">
        <f>C111&amp;"_Low"</f>
        <v>Aceta_bbl_Low</v>
      </c>
      <c r="D106" s="39"/>
      <c r="E106" s="68">
        <f>HLOOKUP(LEFT($C106,LEN($C106)-4),'Emission Rates'!$R$146:$AJ$162,3,FALSE)</f>
        <v>2.1852398260233973E-6</v>
      </c>
      <c r="F106" s="68">
        <f>HLOOKUP(LEFT($C106,LEN($C106)-4),'Emission Rates'!$R$146:$AJ$162,9,FALSE)</f>
        <v>1.3172750684931507E-7</v>
      </c>
      <c r="G106" s="68">
        <f>HLOOKUP(LEFT($C106,LEN($C106)-4),'Emission Rates'!$R$146:$AJ$162,15,FALSE)</f>
        <v>4.2852149267831838E-6</v>
      </c>
      <c r="H106" s="264" t="s">
        <v>1085</v>
      </c>
      <c r="I106" s="328">
        <v>2</v>
      </c>
      <c r="J106" s="425" t="str">
        <f>"[kg/bbl] Kg of "&amp; LEFT(C106,LEN(C106)-8)&amp;" emitted to air per bbl of crude throughput - Low Complexity"</f>
        <v>[kg/bbl] Kg of Aceta emitted to air per bbl of crude throughput - Low Complexity</v>
      </c>
      <c r="K106" s="426"/>
      <c r="L106" s="426"/>
      <c r="M106" s="426"/>
      <c r="N106" s="426"/>
      <c r="O106" s="426"/>
      <c r="P106" s="427"/>
      <c r="Q106" s="2"/>
      <c r="R106" s="2"/>
      <c r="S106" s="2"/>
      <c r="T106" s="2"/>
      <c r="U106" s="2"/>
      <c r="V106" s="2"/>
      <c r="W106" s="2"/>
      <c r="X106" s="2"/>
      <c r="Y106" s="2"/>
    </row>
    <row r="107" spans="1:25" s="195" customFormat="1" x14ac:dyDescent="0.25">
      <c r="A107" s="2"/>
      <c r="B107" s="17">
        <f t="shared" si="1"/>
        <v>13</v>
      </c>
      <c r="C107" s="262" t="str">
        <f>C111&amp;"_Med"</f>
        <v>Aceta_bbl_Med</v>
      </c>
      <c r="D107" s="39"/>
      <c r="E107" s="68">
        <f>HLOOKUP(LEFT(C107,LEN(C107)-4),'Emission Rates'!$R$146:$AJ$162,4,FALSE)</f>
        <v>2.9304155855317389E-6</v>
      </c>
      <c r="F107" s="68">
        <f>HLOOKUP(LEFT($C107,LEN($C107)-4),'Emission Rates'!$R$146:$AJ$162,10,FALSE)</f>
        <v>1.3492305283757341E-9</v>
      </c>
      <c r="G107" s="68">
        <f>HLOOKUP(LEFT($C107,LEN($C107)-4),'Emission Rates'!$R$146:$AJ$162,16,FALSE)</f>
        <v>9.548173059360732E-6</v>
      </c>
      <c r="H107" s="264" t="s">
        <v>1085</v>
      </c>
      <c r="I107" s="328">
        <v>2</v>
      </c>
      <c r="J107" s="425" t="str">
        <f>"[kg/bbl] Kg of "&amp; LEFT(C107,LEN(C107)-8)&amp;" emitted to air per bbl of crude throughput - Med Complexity"</f>
        <v>[kg/bbl] Kg of Aceta emitted to air per bbl of crude throughput - Med Complexity</v>
      </c>
      <c r="K107" s="426"/>
      <c r="L107" s="426"/>
      <c r="M107" s="426"/>
      <c r="N107" s="426"/>
      <c r="O107" s="426"/>
      <c r="P107" s="427"/>
      <c r="Q107" s="2"/>
      <c r="R107" s="2"/>
      <c r="S107" s="2"/>
      <c r="T107" s="2"/>
      <c r="U107" s="2"/>
      <c r="V107" s="2"/>
      <c r="W107" s="2"/>
      <c r="X107" s="2"/>
      <c r="Y107" s="2"/>
    </row>
    <row r="108" spans="1:25" s="195" customFormat="1" x14ac:dyDescent="0.25">
      <c r="A108" s="2"/>
      <c r="B108" s="17">
        <f t="shared" si="1"/>
        <v>15</v>
      </c>
      <c r="C108" s="262" t="str">
        <f>C111&amp;"_HighH"</f>
        <v>Aceta_bbl_HighH</v>
      </c>
      <c r="D108" s="39"/>
      <c r="E108" s="68">
        <f>HLOOKUP(LEFT(C108,LEN(C108)-6),'Emission Rates'!$R$146:$AJ$162,5,FALSE)</f>
        <v>1.87874602782885E-6</v>
      </c>
      <c r="F108" s="68">
        <f>HLOOKUP(LEFT($C108,LEN($C108)-6),'Emission Rates'!$R$146:$AJ$162,11,FALSE)</f>
        <v>2.9849981684378611E-7</v>
      </c>
      <c r="G108" s="68">
        <f>HLOOKUP(LEFT($C108,LEN($C108)-6),'Emission Rates'!$R$146:$AJ$162,17,FALSE)</f>
        <v>5.3728507042376848E-6</v>
      </c>
      <c r="H108" s="264" t="s">
        <v>1085</v>
      </c>
      <c r="I108" s="328">
        <v>2</v>
      </c>
      <c r="J108" s="425" t="str">
        <f>"[kg/bbl] Kg of "&amp; LEFT(C108,LEN(C108)-10)&amp;" emitted to air per bbl of crude throughput - High Complexity Hydro Cracking"</f>
        <v>[kg/bbl] Kg of Aceta emitted to air per bbl of crude throughput - High Complexity Hydro Cracking</v>
      </c>
      <c r="K108" s="426"/>
      <c r="L108" s="426"/>
      <c r="M108" s="426"/>
      <c r="N108" s="426"/>
      <c r="O108" s="426"/>
      <c r="P108" s="427"/>
      <c r="Q108" s="2"/>
      <c r="R108" s="2"/>
      <c r="S108" s="2"/>
      <c r="T108" s="2"/>
      <c r="U108" s="2"/>
      <c r="V108" s="2"/>
      <c r="W108" s="2"/>
      <c r="X108" s="2"/>
      <c r="Y108" s="2"/>
    </row>
    <row r="109" spans="1:25" s="195" customFormat="1" x14ac:dyDescent="0.25">
      <c r="A109" s="2"/>
      <c r="B109" s="17">
        <f t="shared" si="1"/>
        <v>15</v>
      </c>
      <c r="C109" s="262" t="str">
        <f>C111&amp;"_HighC"</f>
        <v>Aceta_bbl_HighC</v>
      </c>
      <c r="D109" s="39"/>
      <c r="E109" s="68">
        <f>HLOOKUP(LEFT(C109,LEN(C109)-6),'Emission Rates'!$R$146:$AJ$162,6,FALSE)</f>
        <v>4.3093252105349015E-6</v>
      </c>
      <c r="F109" s="68">
        <f>HLOOKUP(LEFT($C109,LEN($C109)-6),'Emission Rates'!$R$146:$AJ$162,12,FALSE)</f>
        <v>8.6086072229140733E-8</v>
      </c>
      <c r="G109" s="68">
        <f>HLOOKUP(LEFT($C109,LEN($C109)-6),'Emission Rates'!$R$146:$AJ$165,18,FALSE)</f>
        <v>2.7659664073258653E-5</v>
      </c>
      <c r="H109" s="264" t="s">
        <v>1085</v>
      </c>
      <c r="I109" s="328">
        <v>2</v>
      </c>
      <c r="J109" s="425" t="str">
        <f>"[kg/bbl] Kg of "&amp; LEFT(C109,LEN(C109)-10)&amp;" emitted to air per bbl of crude throughput - High Complexity Coking"</f>
        <v>[kg/bbl] Kg of Aceta emitted to air per bbl of crude throughput - High Complexity Coking</v>
      </c>
      <c r="K109" s="426"/>
      <c r="L109" s="426"/>
      <c r="M109" s="426"/>
      <c r="N109" s="426"/>
      <c r="O109" s="426"/>
      <c r="P109" s="427"/>
      <c r="Q109" s="2"/>
      <c r="R109" s="2"/>
      <c r="S109" s="2"/>
      <c r="T109" s="2"/>
      <c r="U109" s="2"/>
      <c r="V109" s="2"/>
      <c r="W109" s="2"/>
      <c r="X109" s="2"/>
      <c r="Y109" s="2"/>
    </row>
    <row r="110" spans="1:25" s="195" customFormat="1" x14ac:dyDescent="0.25">
      <c r="A110" s="2"/>
      <c r="B110" s="17">
        <f t="shared" si="1"/>
        <v>15</v>
      </c>
      <c r="C110" s="262" t="str">
        <f>C111&amp;"_HighB"</f>
        <v>Aceta_bbl_HighB</v>
      </c>
      <c r="D110" s="39"/>
      <c r="E110" s="68">
        <f>HLOOKUP(LEFT(C110,LEN(C110)-6),'Emission Rates'!$R$146:$AJ$162,7,FALSE)</f>
        <v>5.3314474425246999E-6</v>
      </c>
      <c r="F110" s="68">
        <f>HLOOKUP(LEFT($C110,LEN($C110)-6),'Emission Rates'!$R$146:$AJ$162,13,FALSE)</f>
        <v>2.0355234808675638E-9</v>
      </c>
      <c r="G110" s="68">
        <f>HLOOKUP(LEFT($C110,LEN($C110)-6),'Emission Rates'!$R$146:$AJ$165,19,FALSE)</f>
        <v>3.4332997503837582E-5</v>
      </c>
      <c r="H110" s="264" t="s">
        <v>1085</v>
      </c>
      <c r="I110" s="328">
        <v>2</v>
      </c>
      <c r="J110" s="425" t="str">
        <f>"[kg/bbl] Kg of "&amp; LEFT(C110,LEN(C110)-10)&amp;" emitted to air per bbl of crude throughput - High Complexity Hydro Cracking and Coking"</f>
        <v>[kg/bbl] Kg of Aceta emitted to air per bbl of crude throughput - High Complexity Hydro Cracking and Coking</v>
      </c>
      <c r="K110" s="426"/>
      <c r="L110" s="426"/>
      <c r="M110" s="426"/>
      <c r="N110" s="426"/>
      <c r="O110" s="426"/>
      <c r="P110" s="427"/>
      <c r="Q110" s="2"/>
      <c r="R110" s="2"/>
      <c r="S110" s="2"/>
      <c r="T110" s="2"/>
      <c r="U110" s="2"/>
      <c r="V110" s="2"/>
      <c r="W110" s="2"/>
      <c r="X110" s="2"/>
      <c r="Y110" s="2"/>
    </row>
    <row r="111" spans="1:25" s="195" customFormat="1" ht="26.25" customHeight="1" x14ac:dyDescent="0.25">
      <c r="A111" s="2"/>
      <c r="B111" s="17">
        <f t="shared" si="1"/>
        <v>9</v>
      </c>
      <c r="C111" s="262" t="s">
        <v>1253</v>
      </c>
      <c r="D111" s="39" t="str">
        <f>"IF(NC=0;"&amp;C106&amp;";IF(NC=1;"&amp;C107&amp;";IF(NC=2;"&amp;C108&amp;";IF(NC=3;"&amp;C109&amp;";"&amp;C110&amp;"))))"</f>
        <v>IF(NC=0;Aceta_bbl_Low;IF(NC=1;Aceta_bbl_Med;IF(NC=2;Aceta_bbl_HighH;IF(NC=3;Aceta_bbl_HighC;Aceta_bbl_HighB))))</v>
      </c>
      <c r="E111" s="68">
        <f>IF($E$24=0,E106,IF($E$24=1,E107,IF($E$24=2,E108,IF($E$24=3,E109,E110))))</f>
        <v>5.3314474425246999E-6</v>
      </c>
      <c r="F111" s="68"/>
      <c r="G111" s="68"/>
      <c r="H111" s="264" t="s">
        <v>1085</v>
      </c>
      <c r="I111" s="328">
        <v>2</v>
      </c>
      <c r="J111" s="425" t="s">
        <v>1099</v>
      </c>
      <c r="K111" s="426"/>
      <c r="L111" s="426"/>
      <c r="M111" s="426"/>
      <c r="N111" s="426"/>
      <c r="O111" s="426"/>
      <c r="P111" s="427"/>
      <c r="Q111" s="2"/>
      <c r="R111" s="2"/>
      <c r="S111" s="452"/>
      <c r="T111" s="452"/>
      <c r="U111" s="452"/>
      <c r="V111" s="452"/>
      <c r="W111" s="452"/>
      <c r="X111" s="452"/>
      <c r="Y111" s="452"/>
    </row>
    <row r="112" spans="1:25" s="195" customFormat="1" x14ac:dyDescent="0.25">
      <c r="A112" s="2"/>
      <c r="B112" s="17">
        <f t="shared" ref="B112:B116" si="11">LEN(C112)</f>
        <v>13</v>
      </c>
      <c r="C112" s="262" t="str">
        <f>C117&amp;"_Low"</f>
        <v>Forma_bbl_Low</v>
      </c>
      <c r="D112" s="39"/>
      <c r="E112" s="68">
        <f>HLOOKUP(LEFT($C112,LEN($C112)-4),'Emission Rates'!$R$146:$AJ$162,3,FALSE)</f>
        <v>5.0589925709469982E-5</v>
      </c>
      <c r="F112" s="68">
        <f>HLOOKUP(LEFT($C112,LEN($C112)-4),'Emission Rates'!$R$146:$AJ$162,9,FALSE)</f>
        <v>3.3035111435564905E-8</v>
      </c>
      <c r="G112" s="68">
        <f>HLOOKUP(LEFT($C112,LEN($C112)-4),'Emission Rates'!$R$146:$AJ$162,15,FALSE)</f>
        <v>2.1422073594494238E-4</v>
      </c>
      <c r="H112" s="264" t="s">
        <v>1085</v>
      </c>
      <c r="I112" s="328">
        <v>2</v>
      </c>
      <c r="J112" s="425" t="str">
        <f>"[kg/bbl] Kg of "&amp; LEFT(C112,LEN(C112)-8)&amp;" emitted to air per bbl of crude throughput - Low Complexity"</f>
        <v>[kg/bbl] Kg of Forma emitted to air per bbl of crude throughput - Low Complexity</v>
      </c>
      <c r="K112" s="426"/>
      <c r="L112" s="426"/>
      <c r="M112" s="426"/>
      <c r="N112" s="426"/>
      <c r="O112" s="426"/>
      <c r="P112" s="427"/>
      <c r="Q112" s="2"/>
      <c r="R112" s="2"/>
      <c r="S112" s="2"/>
      <c r="T112" s="2"/>
      <c r="U112" s="2"/>
      <c r="V112" s="2"/>
      <c r="W112" s="2"/>
      <c r="X112" s="2"/>
      <c r="Y112" s="2"/>
    </row>
    <row r="113" spans="1:25" s="195" customFormat="1" x14ac:dyDescent="0.25">
      <c r="A113" s="2"/>
      <c r="B113" s="17">
        <f t="shared" si="11"/>
        <v>13</v>
      </c>
      <c r="C113" s="262" t="str">
        <f>C117&amp;"_Med"</f>
        <v>Forma_bbl_Med</v>
      </c>
      <c r="D113" s="39"/>
      <c r="E113" s="68">
        <f>HLOOKUP(LEFT(C113,LEN(C113)-4),'Emission Rates'!$R$146:$AJ$162,4,FALSE)</f>
        <v>5.3623056292131761E-5</v>
      </c>
      <c r="F113" s="68">
        <f>HLOOKUP(LEFT($C113,LEN($C113)-4),'Emission Rates'!$R$146:$AJ$162,10,FALSE)</f>
        <v>4.3743473972602735E-8</v>
      </c>
      <c r="G113" s="68">
        <f>HLOOKUP(LEFT($C113,LEN($C113)-4),'Emission Rates'!$R$146:$AJ$162,16,FALSE)</f>
        <v>6.3095154487981394E-4</v>
      </c>
      <c r="H113" s="264" t="s">
        <v>1085</v>
      </c>
      <c r="I113" s="328">
        <v>2</v>
      </c>
      <c r="J113" s="425" t="str">
        <f>"[kg/bbl] Kg of "&amp; LEFT(C113,LEN(C113)-8)&amp;" emitted to air per bbl of crude throughput - Med Complexity"</f>
        <v>[kg/bbl] Kg of Forma emitted to air per bbl of crude throughput - Med Complexity</v>
      </c>
      <c r="K113" s="426"/>
      <c r="L113" s="426"/>
      <c r="M113" s="426"/>
      <c r="N113" s="426"/>
      <c r="O113" s="426"/>
      <c r="P113" s="427"/>
      <c r="Q113" s="2"/>
      <c r="R113" s="2"/>
      <c r="S113" s="2"/>
      <c r="T113" s="2"/>
      <c r="U113" s="2"/>
      <c r="V113" s="2"/>
      <c r="W113" s="2"/>
      <c r="X113" s="2"/>
      <c r="Y113" s="2"/>
    </row>
    <row r="114" spans="1:25" s="195" customFormat="1" x14ac:dyDescent="0.25">
      <c r="A114" s="2"/>
      <c r="B114" s="17">
        <f t="shared" si="11"/>
        <v>15</v>
      </c>
      <c r="C114" s="262" t="str">
        <f>C117&amp;"_HighH"</f>
        <v>Forma_bbl_HighH</v>
      </c>
      <c r="D114" s="39"/>
      <c r="E114" s="68">
        <f>HLOOKUP(LEFT(C114,LEN(C114)-6),'Emission Rates'!$R$146:$AJ$162,5,FALSE)</f>
        <v>7.8534969650206517E-6</v>
      </c>
      <c r="F114" s="68">
        <f>HLOOKUP(LEFT($C114,LEN($C114)-6),'Emission Rates'!$R$146:$AJ$162,11,FALSE)</f>
        <v>5.1251495189542477E-8</v>
      </c>
      <c r="G114" s="68">
        <f>HLOOKUP(LEFT($C114,LEN($C114)-6),'Emission Rates'!$R$146:$AJ$162,17,FALSE)</f>
        <v>1.8245873711345232E-5</v>
      </c>
      <c r="H114" s="264" t="s">
        <v>1085</v>
      </c>
      <c r="I114" s="328">
        <v>2</v>
      </c>
      <c r="J114" s="425" t="str">
        <f>"[kg/bbl] Kg of "&amp; LEFT(C114,LEN(C114)-10)&amp;" emitted to air per bbl of crude throughput - High Complexity Hydro Cracking"</f>
        <v>[kg/bbl] Kg of Forma emitted to air per bbl of crude throughput - High Complexity Hydro Cracking</v>
      </c>
      <c r="K114" s="426"/>
      <c r="L114" s="426"/>
      <c r="M114" s="426"/>
      <c r="N114" s="426"/>
      <c r="O114" s="426"/>
      <c r="P114" s="427"/>
      <c r="Q114" s="2"/>
      <c r="R114" s="2"/>
      <c r="S114" s="2"/>
      <c r="T114" s="2"/>
      <c r="U114" s="2"/>
      <c r="V114" s="2"/>
      <c r="W114" s="2"/>
      <c r="X114" s="2"/>
      <c r="Y114" s="2"/>
    </row>
    <row r="115" spans="1:25" s="195" customFormat="1" x14ac:dyDescent="0.25">
      <c r="A115" s="2"/>
      <c r="B115" s="17">
        <f t="shared" si="11"/>
        <v>15</v>
      </c>
      <c r="C115" s="262" t="str">
        <f>C117&amp;"_HighC"</f>
        <v>Forma_bbl_HighC</v>
      </c>
      <c r="D115" s="39"/>
      <c r="E115" s="68">
        <f>HLOOKUP(LEFT(C115,LEN(C115)-6),'Emission Rates'!$R$146:$AJ$162,6,FALSE)</f>
        <v>2.7016691641397478E-5</v>
      </c>
      <c r="F115" s="68">
        <f>HLOOKUP(LEFT($C115,LEN($C115)-6),'Emission Rates'!$R$146:$AJ$162,12,FALSE)</f>
        <v>2.4558911655427223E-9</v>
      </c>
      <c r="G115" s="68">
        <f>HLOOKUP(LEFT($C115,LEN($C115)-6),'Emission Rates'!$R$146:$AJ$165,18,FALSE)</f>
        <v>1.8622021829628138E-4</v>
      </c>
      <c r="H115" s="264" t="s">
        <v>1085</v>
      </c>
      <c r="I115" s="328">
        <v>2</v>
      </c>
      <c r="J115" s="425" t="str">
        <f>"[kg/bbl] Kg of "&amp; LEFT(C115,LEN(C115)-10)&amp;" emitted to air per bbl of crude throughput - High Complexity Coking"</f>
        <v>[kg/bbl] Kg of Forma emitted to air per bbl of crude throughput - High Complexity Coking</v>
      </c>
      <c r="K115" s="426"/>
      <c r="L115" s="426"/>
      <c r="M115" s="426"/>
      <c r="N115" s="426"/>
      <c r="O115" s="426"/>
      <c r="P115" s="427"/>
      <c r="Q115" s="2"/>
      <c r="R115" s="2"/>
      <c r="S115" s="2"/>
      <c r="T115" s="2"/>
      <c r="U115" s="2"/>
      <c r="V115" s="2"/>
      <c r="W115" s="2"/>
      <c r="X115" s="2"/>
      <c r="Y115" s="2"/>
    </row>
    <row r="116" spans="1:25" s="195" customFormat="1" x14ac:dyDescent="0.25">
      <c r="A116" s="2"/>
      <c r="B116" s="17">
        <f t="shared" si="11"/>
        <v>15</v>
      </c>
      <c r="C116" s="262" t="str">
        <f>C117&amp;"_HighB"</f>
        <v>Forma_bbl_HighB</v>
      </c>
      <c r="D116" s="39"/>
      <c r="E116" s="68">
        <f>HLOOKUP(LEFT(C116,LEN(C116)-6),'Emission Rates'!$R$146:$AJ$162,7,FALSE)</f>
        <v>1.2956887590739031E-4</v>
      </c>
      <c r="F116" s="68">
        <f>HLOOKUP(LEFT($C116,LEN($C116)-6),'Emission Rates'!$R$146:$AJ$162,13,FALSE)</f>
        <v>4.8519670756031413E-9</v>
      </c>
      <c r="G116" s="68">
        <f>HLOOKUP(LEFT($C116,LEN($C116)-6),'Emission Rates'!$R$146:$AJ$165,19,FALSE)</f>
        <v>1.0761675637958662E-3</v>
      </c>
      <c r="H116" s="264" t="s">
        <v>1085</v>
      </c>
      <c r="I116" s="328">
        <v>2</v>
      </c>
      <c r="J116" s="425" t="str">
        <f>"[kg/bbl] Kg of "&amp; LEFT(C116,LEN(C116)-10)&amp;" emitted to air per bbl of crude throughput - High Complexity Hydro Cracking and Coking"</f>
        <v>[kg/bbl] Kg of Forma emitted to air per bbl of crude throughput - High Complexity Hydro Cracking and Coking</v>
      </c>
      <c r="K116" s="426"/>
      <c r="L116" s="426"/>
      <c r="M116" s="426"/>
      <c r="N116" s="426"/>
      <c r="O116" s="426"/>
      <c r="P116" s="427"/>
      <c r="Q116" s="2"/>
      <c r="R116" s="2"/>
      <c r="S116" s="2"/>
      <c r="T116" s="2"/>
      <c r="U116" s="2"/>
      <c r="V116" s="2"/>
      <c r="W116" s="2"/>
      <c r="X116" s="2"/>
      <c r="Y116" s="2"/>
    </row>
    <row r="117" spans="1:25" s="195" customFormat="1" ht="28.5" customHeight="1" x14ac:dyDescent="0.25">
      <c r="A117" s="2"/>
      <c r="B117" s="17">
        <f t="shared" si="1"/>
        <v>9</v>
      </c>
      <c r="C117" s="262" t="s">
        <v>1252</v>
      </c>
      <c r="D117" s="39" t="str">
        <f>"IF(NC=0;"&amp;C112&amp;";IF(NC=1;"&amp;C113&amp;";IF(NC=2;"&amp;C114&amp;";IF(NC=3;"&amp;C115&amp;";"&amp;C116&amp;"))))"</f>
        <v>IF(NC=0;Forma_bbl_Low;IF(NC=1;Forma_bbl_Med;IF(NC=2;Forma_bbl_HighH;IF(NC=3;Forma_bbl_HighC;Forma_bbl_HighB))))</v>
      </c>
      <c r="E117" s="68">
        <f>IF($E$24=0,E112,IF($E$24=1,E113,IF($E$24=2,E114,IF($E$24=3,E115,E116))))</f>
        <v>1.2956887590739031E-4</v>
      </c>
      <c r="F117" s="68"/>
      <c r="G117" s="68"/>
      <c r="H117" s="264" t="s">
        <v>1085</v>
      </c>
      <c r="I117" s="328">
        <v>2</v>
      </c>
      <c r="J117" s="425" t="s">
        <v>1100</v>
      </c>
      <c r="K117" s="426"/>
      <c r="L117" s="426"/>
      <c r="M117" s="426"/>
      <c r="N117" s="426"/>
      <c r="O117" s="426"/>
      <c r="P117" s="427"/>
      <c r="Q117" s="2"/>
      <c r="R117" s="2"/>
      <c r="S117" s="2"/>
      <c r="T117" s="2"/>
      <c r="U117" s="2"/>
      <c r="V117" s="2"/>
      <c r="W117" s="2"/>
      <c r="X117" s="2"/>
      <c r="Y117" s="2"/>
    </row>
    <row r="118" spans="1:25" s="195" customFormat="1" x14ac:dyDescent="0.25">
      <c r="A118" s="2"/>
      <c r="B118" s="17">
        <f t="shared" si="1"/>
        <v>13</v>
      </c>
      <c r="C118" s="262" t="str">
        <f>C123&amp;"_Low"</f>
        <v>Acrol_bbl_Low</v>
      </c>
      <c r="D118" s="39"/>
      <c r="E118" s="68">
        <f>HLOOKUP(LEFT($C118,LEN($C118)-4),'Emission Rates'!$R$146:$AJ$162,3,FALSE)</f>
        <v>4.8304119390983134E-7</v>
      </c>
      <c r="F118" s="68">
        <f>HLOOKUP(LEFT($C118,LEN($C118)-4),'Emission Rates'!$R$146:$AJ$162,9,FALSE)</f>
        <v>7.6103441667928719E-8</v>
      </c>
      <c r="G118" s="68">
        <f>HLOOKUP(LEFT($C118,LEN($C118)-4),'Emission Rates'!$R$146:$AJ$162,15,FALSE)</f>
        <v>2.0606241598173519E-6</v>
      </c>
      <c r="H118" s="264" t="s">
        <v>1085</v>
      </c>
      <c r="I118" s="328">
        <v>2</v>
      </c>
      <c r="J118" s="425" t="str">
        <f>"[kg/bbl] Kg of "&amp; LEFT(C118,LEN(C118)-8)&amp;" emitted to air per bbl of crude throughput - Low Complexity"</f>
        <v>[kg/bbl] Kg of Acrol emitted to air per bbl of crude throughput - Low Complexity</v>
      </c>
      <c r="K118" s="426"/>
      <c r="L118" s="426"/>
      <c r="M118" s="426"/>
      <c r="N118" s="426"/>
      <c r="O118" s="426"/>
      <c r="P118" s="427"/>
      <c r="Q118" s="2"/>
      <c r="R118" s="2"/>
      <c r="S118" s="2"/>
      <c r="T118" s="2"/>
      <c r="U118" s="2"/>
      <c r="V118" s="2"/>
      <c r="W118" s="2"/>
      <c r="X118" s="2"/>
      <c r="Y118" s="2"/>
    </row>
    <row r="119" spans="1:25" s="195" customFormat="1" x14ac:dyDescent="0.25">
      <c r="A119" s="2"/>
      <c r="B119" s="17">
        <f t="shared" si="1"/>
        <v>13</v>
      </c>
      <c r="C119" s="262" t="str">
        <f>C123&amp;"_Med"</f>
        <v>Acrol_bbl_Med</v>
      </c>
      <c r="D119" s="39"/>
      <c r="E119" s="68">
        <f>HLOOKUP(LEFT(C119,LEN(C119)-4),'Emission Rates'!$R$146:$AJ$162,4,FALSE)</f>
        <v>1.3403659517071899E-6</v>
      </c>
      <c r="F119" s="68">
        <f>HLOOKUP(LEFT($C119,LEN($C119)-4),'Emission Rates'!$R$146:$AJ$162,10,FALSE)</f>
        <v>1.5240811579219433E-11</v>
      </c>
      <c r="G119" s="68">
        <f>HLOOKUP(LEFT($C119,LEN($C119)-4),'Emission Rates'!$R$146:$AJ$162,16,FALSE)</f>
        <v>7.6721035254054693E-6</v>
      </c>
      <c r="H119" s="264" t="s">
        <v>1085</v>
      </c>
      <c r="I119" s="328">
        <v>2</v>
      </c>
      <c r="J119" s="425" t="str">
        <f>"[kg/bbl] Kg of "&amp; LEFT(C119,LEN(C119)-8)&amp;" emitted to air per bbl of crude throughput - Med Complexity"</f>
        <v>[kg/bbl] Kg of Acrol emitted to air per bbl of crude throughput - Med Complexity</v>
      </c>
      <c r="K119" s="426"/>
      <c r="L119" s="426"/>
      <c r="M119" s="426"/>
      <c r="N119" s="426"/>
      <c r="O119" s="426"/>
      <c r="P119" s="427"/>
      <c r="Q119" s="2"/>
      <c r="R119" s="2"/>
      <c r="S119" s="2"/>
      <c r="T119" s="2"/>
      <c r="U119" s="2"/>
      <c r="V119" s="2"/>
      <c r="W119" s="2"/>
      <c r="X119" s="2"/>
      <c r="Y119" s="2"/>
    </row>
    <row r="120" spans="1:25" s="195" customFormat="1" x14ac:dyDescent="0.25">
      <c r="A120" s="2"/>
      <c r="B120" s="17">
        <f t="shared" si="1"/>
        <v>15</v>
      </c>
      <c r="C120" s="262" t="str">
        <f>C123&amp;"_HighH"</f>
        <v>Acrol_bbl_HighH</v>
      </c>
      <c r="D120" s="39"/>
      <c r="E120" s="68">
        <f>HLOOKUP(LEFT(C120,LEN(C120)-6),'Emission Rates'!$R$146:$AJ$162,5,FALSE)</f>
        <v>2.7209663943311467E-7</v>
      </c>
      <c r="F120" s="68">
        <f>HLOOKUP(LEFT($C120,LEN($C120)-6),'Emission Rates'!$R$146:$AJ$162,11,FALSE)</f>
        <v>4.7791309258453949E-8</v>
      </c>
      <c r="G120" s="68">
        <f>HLOOKUP(LEFT($C120,LEN($C120)-6),'Emission Rates'!$R$146:$AJ$162,17,FALSE)</f>
        <v>6.2515740209508466E-7</v>
      </c>
      <c r="H120" s="264" t="s">
        <v>1085</v>
      </c>
      <c r="I120" s="328">
        <v>2</v>
      </c>
      <c r="J120" s="425" t="str">
        <f>"[kg/bbl] Kg of "&amp; LEFT(C120,LEN(C120)-10)&amp;" emitted to air per bbl of crude throughput - High Complexity Hydro Cracking"</f>
        <v>[kg/bbl] Kg of Acrol emitted to air per bbl of crude throughput - High Complexity Hydro Cracking</v>
      </c>
      <c r="K120" s="426"/>
      <c r="L120" s="426"/>
      <c r="M120" s="426"/>
      <c r="N120" s="426"/>
      <c r="O120" s="426"/>
      <c r="P120" s="427"/>
      <c r="Q120" s="2"/>
      <c r="R120" s="2"/>
      <c r="S120" s="2"/>
      <c r="T120" s="2"/>
      <c r="U120" s="2"/>
      <c r="V120" s="2"/>
      <c r="W120" s="2"/>
      <c r="X120" s="2"/>
      <c r="Y120" s="2"/>
    </row>
    <row r="121" spans="1:25" s="195" customFormat="1" x14ac:dyDescent="0.25">
      <c r="A121" s="2"/>
      <c r="B121" s="17">
        <f t="shared" si="1"/>
        <v>15</v>
      </c>
      <c r="C121" s="262" t="str">
        <f>C123&amp;"_HighC"</f>
        <v>Acrol_bbl_HighC</v>
      </c>
      <c r="D121" s="39"/>
      <c r="E121" s="68">
        <f>HLOOKUP(LEFT(C121,LEN(C121)-6),'Emission Rates'!$R$146:$AJ$162,6,FALSE)</f>
        <v>1.9131094640510477E-6</v>
      </c>
      <c r="F121" s="68">
        <f>HLOOKUP(LEFT($C121,LEN($C121)-6),'Emission Rates'!$R$146:$AJ$162,12,FALSE)</f>
        <v>1.3782809464508094E-8</v>
      </c>
      <c r="G121" s="68">
        <f>HLOOKUP(LEFT($C121,LEN($C121)-6),'Emission Rates'!$R$146:$AJ$165,18,FALSE)</f>
        <v>1.0559831634095407E-5</v>
      </c>
      <c r="H121" s="264" t="s">
        <v>1085</v>
      </c>
      <c r="I121" s="328">
        <v>2</v>
      </c>
      <c r="J121" s="425" t="str">
        <f>"[kg/bbl] Kg of "&amp; LEFT(C121,LEN(C121)-10)&amp;" emitted to air per bbl of crude throughput - High Complexity Coking"</f>
        <v>[kg/bbl] Kg of Acrol emitted to air per bbl of crude throughput - High Complexity Coking</v>
      </c>
      <c r="K121" s="426"/>
      <c r="L121" s="426"/>
      <c r="M121" s="426"/>
      <c r="N121" s="426"/>
      <c r="O121" s="426"/>
      <c r="P121" s="427"/>
      <c r="Q121" s="2"/>
      <c r="R121" s="2"/>
      <c r="S121" s="2"/>
      <c r="T121" s="2"/>
      <c r="U121" s="2"/>
      <c r="V121" s="2"/>
      <c r="W121" s="2"/>
      <c r="X121" s="2"/>
      <c r="Y121" s="2"/>
    </row>
    <row r="122" spans="1:25" s="195" customFormat="1" x14ac:dyDescent="0.25">
      <c r="A122" s="2"/>
      <c r="B122" s="17">
        <f t="shared" si="1"/>
        <v>15</v>
      </c>
      <c r="C122" s="262" t="str">
        <f>C123&amp;"_HighB"</f>
        <v>Acrol_bbl_HighB</v>
      </c>
      <c r="D122" s="39"/>
      <c r="E122" s="68">
        <f>HLOOKUP(LEFT(C122,LEN(C122)-6),'Emission Rates'!$R$146:$AJ$162,7,FALSE)</f>
        <v>1.0371671171017594E-5</v>
      </c>
      <c r="F122" s="68">
        <f>HLOOKUP(LEFT($C122,LEN($C122)-6),'Emission Rates'!$R$146:$AJ$162,13,FALSE)</f>
        <v>2.0355234808675638E-9</v>
      </c>
      <c r="G122" s="68">
        <f>HLOOKUP(LEFT($C122,LEN($C122)-6),'Emission Rates'!$R$146:$AJ$165,19,FALSE)</f>
        <v>1.9171240711452533E-4</v>
      </c>
      <c r="H122" s="264" t="s">
        <v>1085</v>
      </c>
      <c r="I122" s="328">
        <v>2</v>
      </c>
      <c r="J122" s="425" t="str">
        <f>"[kg/bbl] Kg of "&amp; LEFT(C122,LEN(C122)-10)&amp;" emitted to air per bbl of crude throughput - High Complexity Hydro Cracking and Coking"</f>
        <v>[kg/bbl] Kg of Acrol emitted to air per bbl of crude throughput - High Complexity Hydro Cracking and Coking</v>
      </c>
      <c r="K122" s="426"/>
      <c r="L122" s="426"/>
      <c r="M122" s="426"/>
      <c r="N122" s="426"/>
      <c r="O122" s="426"/>
      <c r="P122" s="427"/>
      <c r="Q122" s="2"/>
      <c r="R122" s="2"/>
      <c r="S122" s="2"/>
      <c r="T122" s="2"/>
      <c r="U122" s="2"/>
      <c r="V122" s="2"/>
      <c r="W122" s="2"/>
      <c r="X122" s="2"/>
      <c r="Y122" s="2"/>
    </row>
    <row r="123" spans="1:25" s="195" customFormat="1" ht="26.25" x14ac:dyDescent="0.25">
      <c r="A123" s="2"/>
      <c r="B123" s="17">
        <f t="shared" si="1"/>
        <v>9</v>
      </c>
      <c r="C123" s="262" t="s">
        <v>1251</v>
      </c>
      <c r="D123" s="39" t="str">
        <f>"IF(NC=0;"&amp;C118&amp;";IF(NC=1;"&amp;C119&amp;";IF(NC=2;"&amp;C120&amp;";IF(NC=3;"&amp;C121&amp;";"&amp;C122&amp;"))))"</f>
        <v>IF(NC=0;Acrol_bbl_Low;IF(NC=1;Acrol_bbl_Med;IF(NC=2;Acrol_bbl_HighH;IF(NC=3;Acrol_bbl_HighC;Acrol_bbl_HighB))))</v>
      </c>
      <c r="E123" s="68">
        <f>IF($E$24=0,E118,IF($E$24=1,E119,IF($E$24=2,E120,IF($E$24=3,E121,E122))))</f>
        <v>1.0371671171017594E-5</v>
      </c>
      <c r="F123" s="68"/>
      <c r="G123" s="68"/>
      <c r="H123" s="264" t="s">
        <v>1085</v>
      </c>
      <c r="I123" s="328">
        <v>2</v>
      </c>
      <c r="J123" s="425" t="s">
        <v>1101</v>
      </c>
      <c r="K123" s="426"/>
      <c r="L123" s="426"/>
      <c r="M123" s="426"/>
      <c r="N123" s="426"/>
      <c r="O123" s="426"/>
      <c r="P123" s="427"/>
      <c r="Q123" s="2"/>
      <c r="R123" s="2"/>
      <c r="S123" s="452"/>
      <c r="T123" s="452"/>
      <c r="U123" s="452"/>
      <c r="V123" s="452"/>
      <c r="W123" s="452"/>
      <c r="X123" s="452"/>
      <c r="Y123" s="452"/>
    </row>
    <row r="124" spans="1:25" s="195" customFormat="1" x14ac:dyDescent="0.25">
      <c r="A124" s="2"/>
      <c r="B124" s="17">
        <f t="shared" ref="B124:B128" si="12">LEN(C124)</f>
        <v>13</v>
      </c>
      <c r="C124" s="262" t="str">
        <f>C129&amp;"_Low"</f>
        <v>Butad_bbl_Low</v>
      </c>
      <c r="D124" s="39"/>
      <c r="E124" s="68">
        <f>HLOOKUP(LEFT($C124,LEN($C124)-4),'Emission Rates'!$R$146:$AJ$162,3,FALSE)</f>
        <v>2.1365193061033217E-6</v>
      </c>
      <c r="F124" s="68">
        <f>HLOOKUP(LEFT($C124,LEN($C124)-4),'Emission Rates'!$R$146:$AJ$162,9,FALSE)</f>
        <v>4.2127947945205482E-9</v>
      </c>
      <c r="G124" s="68">
        <f>HLOOKUP(LEFT($C124,LEN($C124)-4),'Emission Rates'!$R$146:$AJ$162,15,FALSE)</f>
        <v>8.9061050228310494E-6</v>
      </c>
      <c r="H124" s="264" t="s">
        <v>1085</v>
      </c>
      <c r="I124" s="328">
        <v>2</v>
      </c>
      <c r="J124" s="425" t="str">
        <f>"[kg/bbl] Kg of "&amp; LEFT(C124,LEN(C124)-8)&amp;" emitted to air per bbl of crude throughput - Low Complexity"</f>
        <v>[kg/bbl] Kg of Butad emitted to air per bbl of crude throughput - Low Complexity</v>
      </c>
      <c r="K124" s="426"/>
      <c r="L124" s="426"/>
      <c r="M124" s="426"/>
      <c r="N124" s="426"/>
      <c r="O124" s="426"/>
      <c r="P124" s="427"/>
      <c r="Q124" s="2"/>
      <c r="R124" s="2"/>
      <c r="S124" s="2"/>
      <c r="T124" s="2"/>
      <c r="U124" s="2"/>
      <c r="V124" s="2"/>
      <c r="W124" s="2"/>
      <c r="X124" s="2"/>
      <c r="Y124" s="2"/>
    </row>
    <row r="125" spans="1:25" s="195" customFormat="1" x14ac:dyDescent="0.25">
      <c r="A125" s="2"/>
      <c r="B125" s="17">
        <f t="shared" si="12"/>
        <v>13</v>
      </c>
      <c r="C125" s="262" t="str">
        <f>C129&amp;"_Med"</f>
        <v>Butad_bbl_Med</v>
      </c>
      <c r="D125" s="39"/>
      <c r="E125" s="68">
        <f>HLOOKUP(LEFT(C125,LEN(C125)-4),'Emission Rates'!$R$146:$AJ$162,4,FALSE)</f>
        <v>5.609972547564994E-6</v>
      </c>
      <c r="F125" s="68">
        <f>HLOOKUP(LEFT($C125,LEN($C125)-4),'Emission Rates'!$R$146:$AJ$162,10,FALSE)</f>
        <v>2.4376280295047415E-10</v>
      </c>
      <c r="G125" s="68">
        <f>HLOOKUP(LEFT($C125,LEN($C125)-4),'Emission Rates'!$R$146:$AJ$162,16,FALSE)</f>
        <v>4.4784538640475576E-5</v>
      </c>
      <c r="H125" s="264" t="s">
        <v>1085</v>
      </c>
      <c r="I125" s="328">
        <v>2</v>
      </c>
      <c r="J125" s="425" t="str">
        <f>"[kg/bbl] Kg of "&amp; LEFT(C125,LEN(C125)-8)&amp;" emitted to air per bbl of crude throughput - Med Complexity"</f>
        <v>[kg/bbl] Kg of Butad emitted to air per bbl of crude throughput - Med Complexity</v>
      </c>
      <c r="K125" s="426"/>
      <c r="L125" s="426"/>
      <c r="M125" s="426"/>
      <c r="N125" s="426"/>
      <c r="O125" s="426"/>
      <c r="P125" s="427"/>
      <c r="Q125" s="2"/>
      <c r="R125" s="2"/>
      <c r="S125" s="2"/>
      <c r="T125" s="2"/>
      <c r="U125" s="2"/>
      <c r="V125" s="2"/>
      <c r="W125" s="2"/>
      <c r="X125" s="2"/>
      <c r="Y125" s="2"/>
    </row>
    <row r="126" spans="1:25" s="195" customFormat="1" x14ac:dyDescent="0.25">
      <c r="A126" s="2"/>
      <c r="B126" s="17">
        <f t="shared" si="12"/>
        <v>15</v>
      </c>
      <c r="C126" s="262" t="str">
        <f>C129&amp;"_HighH"</f>
        <v>Butad_bbl_HighH</v>
      </c>
      <c r="D126" s="39"/>
      <c r="E126" s="68">
        <f>HLOOKUP(LEFT(C126,LEN(C126)-6),'Emission Rates'!$R$146:$AJ$162,5,FALSE)</f>
        <v>1.1646550733192445E-5</v>
      </c>
      <c r="F126" s="68">
        <f>HLOOKUP(LEFT($C126,LEN($C126)-6),'Emission Rates'!$R$146:$AJ$162,11,FALSE)</f>
        <v>1.4878412760783024E-7</v>
      </c>
      <c r="G126" s="68">
        <f>HLOOKUP(LEFT($C126,LEN($C126)-6),'Emission Rates'!$R$146:$AJ$162,17,FALSE)</f>
        <v>8.2305687615495568E-5</v>
      </c>
      <c r="H126" s="264" t="s">
        <v>1085</v>
      </c>
      <c r="I126" s="328">
        <v>2</v>
      </c>
      <c r="J126" s="425" t="str">
        <f>"[kg/bbl] Kg of "&amp; LEFT(C126,LEN(C126)-10)&amp;" emitted to air per bbl of crude throughput - High Complexity Hydro Cracking"</f>
        <v>[kg/bbl] Kg of Butad emitted to air per bbl of crude throughput - High Complexity Hydro Cracking</v>
      </c>
      <c r="K126" s="426"/>
      <c r="L126" s="426"/>
      <c r="M126" s="426"/>
      <c r="N126" s="426"/>
      <c r="O126" s="426"/>
      <c r="P126" s="427"/>
      <c r="Q126" s="2"/>
      <c r="R126" s="2"/>
      <c r="S126" s="2"/>
      <c r="T126" s="2"/>
      <c r="U126" s="2"/>
      <c r="V126" s="2"/>
      <c r="W126" s="2"/>
      <c r="X126" s="2"/>
      <c r="Y126" s="2"/>
    </row>
    <row r="127" spans="1:25" s="195" customFormat="1" x14ac:dyDescent="0.25">
      <c r="A127" s="2"/>
      <c r="B127" s="17">
        <f t="shared" si="12"/>
        <v>15</v>
      </c>
      <c r="C127" s="262" t="str">
        <f>C129&amp;"_HighC"</f>
        <v>Butad_bbl_HighC</v>
      </c>
      <c r="D127" s="39"/>
      <c r="E127" s="68">
        <f>HLOOKUP(LEFT(C127,LEN(C127)-6),'Emission Rates'!$R$146:$AJ$162,6,FALSE)</f>
        <v>8.3281483396100205E-6</v>
      </c>
      <c r="F127" s="68">
        <f>HLOOKUP(LEFT($C127,LEN($C127)-6),'Emission Rates'!$R$146:$AJ$162,12,FALSE)</f>
        <v>3.7875555459733049E-12</v>
      </c>
      <c r="G127" s="68">
        <f>HLOOKUP(LEFT($C127,LEN($C127)-6),'Emission Rates'!$R$146:$AJ$165,18,FALSE)</f>
        <v>6.0757335491905349E-5</v>
      </c>
      <c r="H127" s="264" t="s">
        <v>1085</v>
      </c>
      <c r="I127" s="328">
        <v>2</v>
      </c>
      <c r="J127" s="425" t="str">
        <f>"[kg/bbl] Kg of "&amp; LEFT(C127,LEN(C127)-10)&amp;" emitted to air per bbl of crude throughput - High Complexity Coking"</f>
        <v>[kg/bbl] Kg of Butad emitted to air per bbl of crude throughput - High Complexity Coking</v>
      </c>
      <c r="K127" s="426"/>
      <c r="L127" s="426"/>
      <c r="M127" s="426"/>
      <c r="N127" s="426"/>
      <c r="O127" s="426"/>
      <c r="P127" s="427"/>
      <c r="Q127" s="2"/>
      <c r="R127" s="2"/>
      <c r="S127" s="2"/>
      <c r="T127" s="2"/>
      <c r="U127" s="2"/>
      <c r="V127" s="2"/>
      <c r="W127" s="2"/>
      <c r="X127" s="2"/>
      <c r="Y127" s="2"/>
    </row>
    <row r="128" spans="1:25" s="195" customFormat="1" x14ac:dyDescent="0.25">
      <c r="A128" s="2"/>
      <c r="B128" s="17">
        <f t="shared" si="12"/>
        <v>15</v>
      </c>
      <c r="C128" s="262" t="str">
        <f>C129&amp;"_HighB"</f>
        <v>Butad_bbl_HighB</v>
      </c>
      <c r="D128" s="39"/>
      <c r="E128" s="68">
        <f>HLOOKUP(LEFT(C128,LEN(C128)-6),'Emission Rates'!$R$146:$AJ$162,7,FALSE)</f>
        <v>1.1787524791281031E-5</v>
      </c>
      <c r="F128" s="68">
        <f>HLOOKUP(LEFT($C128,LEN($C128)-6),'Emission Rates'!$R$146:$AJ$162,13,FALSE)</f>
        <v>8.8490351584036631E-12</v>
      </c>
      <c r="G128" s="68">
        <f>HLOOKUP(LEFT($C128,LEN($C128)-6),'Emission Rates'!$R$146:$AJ$165,19,FALSE)</f>
        <v>2.2813084556340871E-4</v>
      </c>
      <c r="H128" s="264" t="s">
        <v>1085</v>
      </c>
      <c r="I128" s="328">
        <v>2</v>
      </c>
      <c r="J128" s="425" t="str">
        <f>"[kg/bbl] Kg of "&amp; LEFT(C128,LEN(C128)-10)&amp;" emitted to air per bbl of crude throughput - High Complexity Hydro Cracking and Coking"</f>
        <v>[kg/bbl] Kg of Butad emitted to air per bbl of crude throughput - High Complexity Hydro Cracking and Coking</v>
      </c>
      <c r="K128" s="426"/>
      <c r="L128" s="426"/>
      <c r="M128" s="426"/>
      <c r="N128" s="426"/>
      <c r="O128" s="426"/>
      <c r="P128" s="427"/>
      <c r="Q128" s="2"/>
      <c r="R128" s="2"/>
      <c r="S128" s="2"/>
      <c r="T128" s="2"/>
      <c r="U128" s="2"/>
      <c r="V128" s="2"/>
      <c r="W128" s="2"/>
      <c r="X128" s="2"/>
      <c r="Y128" s="2"/>
    </row>
    <row r="129" spans="1:25" s="195" customFormat="1" ht="26.25" x14ac:dyDescent="0.25">
      <c r="A129" s="2"/>
      <c r="B129" s="17">
        <f t="shared" si="1"/>
        <v>9</v>
      </c>
      <c r="C129" s="262" t="s">
        <v>1250</v>
      </c>
      <c r="D129" s="39" t="str">
        <f>"IF(NC=0;"&amp;C124&amp;";IF(NC=1;"&amp;C125&amp;";IF(NC=2;"&amp;C126&amp;";IF(NC=3;"&amp;C127&amp;";"&amp;C128&amp;"))))"</f>
        <v>IF(NC=0;Butad_bbl_Low;IF(NC=1;Butad_bbl_Med;IF(NC=2;Butad_bbl_HighH;IF(NC=3;Butad_bbl_HighC;Butad_bbl_HighB))))</v>
      </c>
      <c r="E129" s="68">
        <f>IF($E$24=0,E124,IF($E$24=1,E125,IF($E$24=2,E126,IF($E$24=3,E127,E128))))</f>
        <v>1.1787524791281031E-5</v>
      </c>
      <c r="F129" s="68"/>
      <c r="G129" s="68"/>
      <c r="H129" s="264" t="s">
        <v>1085</v>
      </c>
      <c r="I129" s="328">
        <v>2</v>
      </c>
      <c r="J129" s="425" t="s">
        <v>1102</v>
      </c>
      <c r="K129" s="426"/>
      <c r="L129" s="426"/>
      <c r="M129" s="426"/>
      <c r="N129" s="426"/>
      <c r="O129" s="426"/>
      <c r="P129" s="427"/>
      <c r="Q129" s="2"/>
      <c r="R129" s="2"/>
      <c r="S129" s="452"/>
      <c r="T129" s="452"/>
      <c r="U129" s="452"/>
      <c r="V129" s="452"/>
      <c r="W129" s="452"/>
      <c r="X129" s="452"/>
      <c r="Y129" s="452"/>
    </row>
    <row r="130" spans="1:25" s="195" customFormat="1" x14ac:dyDescent="0.25">
      <c r="A130" s="2"/>
      <c r="B130" s="17">
        <f t="shared" si="1"/>
        <v>13</v>
      </c>
      <c r="C130" s="262" t="str">
        <f>C135&amp;"_Low"</f>
        <v>Tetra_bbl_Low</v>
      </c>
      <c r="D130" s="39"/>
      <c r="E130" s="68">
        <f>HLOOKUP(LEFT($C130,LEN($C130)-4),'Emission Rates'!$R$146:$AJ$162,3,FALSE)</f>
        <v>2.7409448482095661E-6</v>
      </c>
      <c r="F130" s="68">
        <f>HLOOKUP(LEFT($C130,LEN($C130)-4),'Emission Rates'!$R$146:$AJ$162,9,FALSE)</f>
        <v>3.9145438356164383E-11</v>
      </c>
      <c r="G130" s="68">
        <f>HLOOKUP(LEFT($C130,LEN($C130)-4),'Emission Rates'!$R$146:$AJ$162,15,FALSE)</f>
        <v>8.5704298535663676E-6</v>
      </c>
      <c r="H130" s="264" t="s">
        <v>1085</v>
      </c>
      <c r="I130" s="328">
        <v>2</v>
      </c>
      <c r="J130" s="425" t="str">
        <f>"[kg/bbl] Kg of "&amp; LEFT(C130,LEN(C130)-8)&amp;" emitted to air per bbl of crude throughput - Low Complexity"</f>
        <v>[kg/bbl] Kg of Tetra emitted to air per bbl of crude throughput - Low Complexity</v>
      </c>
      <c r="K130" s="426"/>
      <c r="L130" s="426"/>
      <c r="M130" s="426"/>
      <c r="N130" s="426"/>
      <c r="O130" s="426"/>
      <c r="P130" s="427"/>
      <c r="Q130" s="2"/>
      <c r="R130" s="2"/>
      <c r="S130" s="2"/>
      <c r="T130" s="2"/>
      <c r="U130" s="2"/>
      <c r="V130" s="2"/>
      <c r="W130" s="2"/>
      <c r="X130" s="2"/>
      <c r="Y130" s="2"/>
    </row>
    <row r="131" spans="1:25" s="195" customFormat="1" x14ac:dyDescent="0.25">
      <c r="A131" s="2"/>
      <c r="B131" s="17">
        <f t="shared" si="1"/>
        <v>13</v>
      </c>
      <c r="C131" s="262" t="str">
        <f>C135&amp;"_Med"</f>
        <v>Tetra_bbl_Med</v>
      </c>
      <c r="D131" s="39"/>
      <c r="E131" s="68">
        <f>HLOOKUP(LEFT(C131,LEN(C131)-4),'Emission Rates'!$R$146:$AJ$162,4,FALSE)</f>
        <v>4.0796085834216295E-6</v>
      </c>
      <c r="F131" s="68">
        <f>HLOOKUP(LEFT($C131,LEN($C131)-4),'Emission Rates'!$R$146:$AJ$162,10,FALSE)</f>
        <v>1.4912547945205481E-7</v>
      </c>
      <c r="G131" s="68">
        <f>HLOOKUP(LEFT($C131,LEN($C131)-4),'Emission Rates'!$R$146:$AJ$162,16,FALSE)</f>
        <v>9.935988870788596E-6</v>
      </c>
      <c r="H131" s="264" t="s">
        <v>1085</v>
      </c>
      <c r="I131" s="328">
        <v>2</v>
      </c>
      <c r="J131" s="425" t="str">
        <f>"[kg/bbl] Kg of "&amp; LEFT(C131,LEN(C131)-8)&amp;" emitted to air per bbl of crude throughput - Med Complexity"</f>
        <v>[kg/bbl] Kg of Tetra emitted to air per bbl of crude throughput - Med Complexity</v>
      </c>
      <c r="K131" s="426"/>
      <c r="L131" s="426"/>
      <c r="M131" s="426"/>
      <c r="N131" s="426"/>
      <c r="O131" s="426"/>
      <c r="P131" s="427"/>
      <c r="Q131" s="2"/>
      <c r="R131" s="2"/>
      <c r="S131" s="2"/>
      <c r="T131" s="2"/>
      <c r="U131" s="2"/>
      <c r="V131" s="2"/>
      <c r="W131" s="2"/>
      <c r="X131" s="2"/>
      <c r="Y131" s="2"/>
    </row>
    <row r="132" spans="1:25" s="195" customFormat="1" x14ac:dyDescent="0.25">
      <c r="A132" s="2"/>
      <c r="B132" s="17">
        <f t="shared" si="1"/>
        <v>15</v>
      </c>
      <c r="C132" s="262" t="str">
        <f>C135&amp;"_HighH"</f>
        <v>Tetra_bbl_HighH</v>
      </c>
      <c r="D132" s="39"/>
      <c r="E132" s="68">
        <f>HLOOKUP(LEFT(C132,LEN(C132)-6),'Emission Rates'!$R$146:$AJ$162,5,FALSE)</f>
        <v>5.2236389065162689E-6</v>
      </c>
      <c r="F132" s="68">
        <f>HLOOKUP(LEFT($C132,LEN($C132)-6),'Emission Rates'!$R$146:$AJ$162,11,FALSE)</f>
        <v>1.1220755642011352E-7</v>
      </c>
      <c r="G132" s="68">
        <f>HLOOKUP(LEFT($C132,LEN($C132)-6),'Emission Rates'!$R$146:$AJ$162,17,FALSE)</f>
        <v>9.3888304654868352E-6</v>
      </c>
      <c r="H132" s="264" t="s">
        <v>1085</v>
      </c>
      <c r="I132" s="328">
        <v>2</v>
      </c>
      <c r="J132" s="425" t="str">
        <f>"[kg/bbl] Kg of "&amp; LEFT(C132,LEN(C132)-10)&amp;" emitted to air per bbl of crude throughput - High Complexity Hydro Cracking"</f>
        <v>[kg/bbl] Kg of Tetra emitted to air per bbl of crude throughput - High Complexity Hydro Cracking</v>
      </c>
      <c r="K132" s="426"/>
      <c r="L132" s="426"/>
      <c r="M132" s="426"/>
      <c r="N132" s="426"/>
      <c r="O132" s="426"/>
      <c r="P132" s="427"/>
      <c r="Q132" s="2"/>
      <c r="R132" s="2"/>
      <c r="S132" s="2"/>
      <c r="T132" s="2"/>
      <c r="U132" s="2"/>
      <c r="V132" s="2"/>
      <c r="W132" s="2"/>
      <c r="X132" s="2"/>
      <c r="Y132" s="2"/>
    </row>
    <row r="133" spans="1:25" s="195" customFormat="1" x14ac:dyDescent="0.25">
      <c r="A133" s="2"/>
      <c r="B133" s="17">
        <f t="shared" si="1"/>
        <v>15</v>
      </c>
      <c r="C133" s="262" t="str">
        <f>C135&amp;"_HighC"</f>
        <v>Tetra_bbl_HighC</v>
      </c>
      <c r="D133" s="39"/>
      <c r="E133" s="68">
        <f>HLOOKUP(LEFT(C133,LEN(C133)-6),'Emission Rates'!$R$146:$AJ$162,6,FALSE)</f>
        <v>9.3275765137241692E-6</v>
      </c>
      <c r="F133" s="68">
        <f>HLOOKUP(LEFT($C133,LEN($C133)-6),'Emission Rates'!$R$146:$AJ$162,12,FALSE)</f>
        <v>3.1058227421160553E-8</v>
      </c>
      <c r="G133" s="68">
        <f>HLOOKUP(LEFT($C133,LEN($C133)-6),'Emission Rates'!$R$146:$AJ$165,18,FALSE)</f>
        <v>8.0254127294736242E-5</v>
      </c>
      <c r="H133" s="264" t="s">
        <v>1085</v>
      </c>
      <c r="I133" s="328">
        <v>2</v>
      </c>
      <c r="J133" s="425" t="str">
        <f>"[kg/bbl] Kg of "&amp; LEFT(C133,LEN(C133)-10)&amp;" emitted to air per bbl of crude throughput - High Complexity Coking"</f>
        <v>[kg/bbl] Kg of Tetra emitted to air per bbl of crude throughput - High Complexity Coking</v>
      </c>
      <c r="K133" s="426"/>
      <c r="L133" s="426"/>
      <c r="M133" s="426"/>
      <c r="N133" s="426"/>
      <c r="O133" s="426"/>
      <c r="P133" s="427"/>
      <c r="Q133" s="2"/>
      <c r="R133" s="2"/>
      <c r="S133" s="2"/>
      <c r="T133" s="2"/>
      <c r="U133" s="2"/>
      <c r="V133" s="2"/>
      <c r="W133" s="2"/>
      <c r="X133" s="2"/>
      <c r="Y133" s="2"/>
    </row>
    <row r="134" spans="1:25" s="195" customFormat="1" x14ac:dyDescent="0.25">
      <c r="A134" s="2"/>
      <c r="B134" s="17">
        <f t="shared" si="1"/>
        <v>15</v>
      </c>
      <c r="C134" s="262" t="str">
        <f>C135&amp;"_HighB"</f>
        <v>Tetra_bbl_HighB</v>
      </c>
      <c r="D134" s="39"/>
      <c r="E134" s="68">
        <f>HLOOKUP(LEFT(C134,LEN(C134)-6),'Emission Rates'!$R$146:$AJ$162,7,FALSE)</f>
        <v>4.6395664781204144E-6</v>
      </c>
      <c r="F134" s="68">
        <f>HLOOKUP(LEFT($C134,LEN($C134)-6),'Emission Rates'!$R$146:$AJ$162,13,FALSE)</f>
        <v>5.7609359958253499E-9</v>
      </c>
      <c r="G134" s="68">
        <f>HLOOKUP(LEFT($C134,LEN($C134)-6),'Emission Rates'!$R$146:$AJ$165,19,FALSE)</f>
        <v>3.9356660977988882E-5</v>
      </c>
      <c r="H134" s="264" t="s">
        <v>1085</v>
      </c>
      <c r="I134" s="328">
        <v>2</v>
      </c>
      <c r="J134" s="425" t="str">
        <f>"[kg/bbl] Kg of "&amp; LEFT(C134,LEN(C134)-10)&amp;" emitted to air per bbl of crude throughput - High Complexity Hydro Cracking and Coking"</f>
        <v>[kg/bbl] Kg of Tetra emitted to air per bbl of crude throughput - High Complexity Hydro Cracking and Coking</v>
      </c>
      <c r="K134" s="426"/>
      <c r="L134" s="426"/>
      <c r="M134" s="426"/>
      <c r="N134" s="426"/>
      <c r="O134" s="426"/>
      <c r="P134" s="427"/>
      <c r="Q134" s="2"/>
      <c r="R134" s="2"/>
      <c r="S134" s="2"/>
      <c r="T134" s="2"/>
      <c r="U134" s="2"/>
      <c r="V134" s="2"/>
      <c r="W134" s="2"/>
      <c r="X134" s="2"/>
      <c r="Y134" s="2"/>
    </row>
    <row r="135" spans="1:25" s="195" customFormat="1" ht="26.25" x14ac:dyDescent="0.25">
      <c r="A135" s="2"/>
      <c r="B135" s="17">
        <f t="shared" si="1"/>
        <v>9</v>
      </c>
      <c r="C135" s="262" t="s">
        <v>1249</v>
      </c>
      <c r="D135" s="39" t="str">
        <f>"IF(NC=0;"&amp;C130&amp;";IF(NC=1;"&amp;C131&amp;";IF(NC=2;"&amp;C132&amp;";IF(NC=3;"&amp;C133&amp;";"&amp;C134&amp;"))))"</f>
        <v>IF(NC=0;Tetra_bbl_Low;IF(NC=1;Tetra_bbl_Med;IF(NC=2;Tetra_bbl_HighH;IF(NC=3;Tetra_bbl_HighC;Tetra_bbl_HighB))))</v>
      </c>
      <c r="E135" s="68">
        <f>IF($E$24=0,E130,IF($E$24=1,E131,IF($E$24=2,E132,IF($E$24=3,E133,E134))))</f>
        <v>4.6395664781204144E-6</v>
      </c>
      <c r="F135" s="68"/>
      <c r="G135" s="68"/>
      <c r="H135" s="264" t="s">
        <v>1085</v>
      </c>
      <c r="I135" s="328">
        <v>2</v>
      </c>
      <c r="J135" s="425" t="s">
        <v>1103</v>
      </c>
      <c r="K135" s="426"/>
      <c r="L135" s="426"/>
      <c r="M135" s="426"/>
      <c r="N135" s="426"/>
      <c r="O135" s="426"/>
      <c r="P135" s="427"/>
      <c r="Q135" s="2"/>
      <c r="R135" s="2"/>
      <c r="S135" s="452"/>
      <c r="T135" s="452"/>
      <c r="U135" s="452"/>
      <c r="V135" s="452"/>
      <c r="W135" s="452"/>
      <c r="X135" s="452"/>
      <c r="Y135" s="452"/>
    </row>
    <row r="136" spans="1:25" s="195" customFormat="1" ht="12.75" customHeight="1" x14ac:dyDescent="0.25">
      <c r="A136" s="2"/>
      <c r="B136" s="17">
        <f t="shared" si="1"/>
        <v>13</v>
      </c>
      <c r="C136" s="262" t="s">
        <v>1074</v>
      </c>
      <c r="D136" s="263"/>
      <c r="E136" s="68">
        <f>HLOOKUP(C136,'Emission Rates'!$R$146:$AO$162,4,FALSE)</f>
        <v>0.1699260768126572</v>
      </c>
      <c r="F136" s="41"/>
      <c r="G136" s="41"/>
      <c r="H136" s="264" t="s">
        <v>1085</v>
      </c>
      <c r="I136" s="328" t="s">
        <v>2302</v>
      </c>
      <c r="J136" s="425" t="s">
        <v>1104</v>
      </c>
      <c r="K136" s="426"/>
      <c r="L136" s="426"/>
      <c r="M136" s="426"/>
      <c r="N136" s="426"/>
      <c r="O136" s="426"/>
      <c r="P136" s="427"/>
      <c r="Q136" s="2"/>
      <c r="R136" s="2"/>
      <c r="S136" s="452"/>
      <c r="T136" s="452"/>
      <c r="U136" s="452"/>
      <c r="V136" s="452"/>
      <c r="W136" s="452"/>
      <c r="X136" s="452"/>
      <c r="Y136" s="452"/>
    </row>
    <row r="137" spans="1:25" s="195" customFormat="1" ht="12.75" customHeight="1" x14ac:dyDescent="0.25">
      <c r="A137" s="2"/>
      <c r="B137" s="17">
        <f t="shared" si="1"/>
        <v>13</v>
      </c>
      <c r="C137" s="262" t="s">
        <v>1075</v>
      </c>
      <c r="D137" s="263"/>
      <c r="E137" s="68">
        <f>HLOOKUP(C137,'Emission Rates'!$R$146:$AO$162,4,FALSE)</f>
        <v>1.5234902677791757E-7</v>
      </c>
      <c r="F137" s="41"/>
      <c r="G137" s="41"/>
      <c r="H137" s="264" t="s">
        <v>1085</v>
      </c>
      <c r="I137" s="328">
        <v>5</v>
      </c>
      <c r="J137" s="425" t="s">
        <v>1105</v>
      </c>
      <c r="K137" s="426"/>
      <c r="L137" s="426"/>
      <c r="M137" s="426"/>
      <c r="N137" s="426"/>
      <c r="O137" s="426"/>
      <c r="P137" s="427"/>
      <c r="Q137" s="2"/>
      <c r="R137" s="2"/>
      <c r="S137" s="452"/>
      <c r="T137" s="452"/>
      <c r="U137" s="452"/>
      <c r="V137" s="452"/>
      <c r="W137" s="452"/>
      <c r="X137" s="452"/>
      <c r="Y137" s="452"/>
    </row>
    <row r="138" spans="1:25" s="195" customFormat="1" ht="12.75" customHeight="1" x14ac:dyDescent="0.25">
      <c r="A138" s="2"/>
      <c r="B138" s="17">
        <f t="shared" si="1"/>
        <v>13</v>
      </c>
      <c r="C138" s="262" t="s">
        <v>1076</v>
      </c>
      <c r="D138" s="263"/>
      <c r="E138" s="68">
        <f>HLOOKUP(C138,'Emission Rates'!$R$146:$AO$162,4,FALSE)</f>
        <v>2.9511841493971553E-7</v>
      </c>
      <c r="F138" s="41"/>
      <c r="G138" s="268"/>
      <c r="H138" s="264" t="s">
        <v>1085</v>
      </c>
      <c r="I138" s="328" t="s">
        <v>2303</v>
      </c>
      <c r="J138" s="425" t="s">
        <v>1106</v>
      </c>
      <c r="K138" s="426"/>
      <c r="L138" s="426"/>
      <c r="M138" s="426"/>
      <c r="N138" s="426"/>
      <c r="O138" s="426"/>
      <c r="P138" s="427"/>
      <c r="Q138" s="2"/>
      <c r="R138" s="2"/>
      <c r="S138" s="452"/>
      <c r="T138" s="452"/>
      <c r="U138" s="452"/>
      <c r="V138" s="452"/>
      <c r="W138" s="452"/>
      <c r="X138" s="452"/>
      <c r="Y138" s="452"/>
    </row>
    <row r="139" spans="1:25" x14ac:dyDescent="0.25">
      <c r="A139" s="2"/>
      <c r="B139" s="17">
        <f t="shared" ref="B139" si="13">LEN(C139)</f>
        <v>11</v>
      </c>
      <c r="C139" s="262" t="s">
        <v>1111</v>
      </c>
      <c r="D139" s="39"/>
      <c r="E139" s="68">
        <f>HLOOKUP(C139,'Emission Rates'!$R$146:$AO$162,4,FALSE)</f>
        <v>2.5103188831423972E-6</v>
      </c>
      <c r="F139" s="40"/>
      <c r="G139" s="41"/>
      <c r="H139" s="264" t="s">
        <v>1085</v>
      </c>
      <c r="I139" s="328" t="s">
        <v>2234</v>
      </c>
      <c r="J139" s="425" t="s">
        <v>1107</v>
      </c>
      <c r="K139" s="426"/>
      <c r="L139" s="426"/>
      <c r="M139" s="426"/>
      <c r="N139" s="426"/>
      <c r="O139" s="426"/>
      <c r="P139" s="427"/>
      <c r="Q139" s="2"/>
      <c r="R139" s="2"/>
      <c r="S139" s="2"/>
      <c r="T139" s="2"/>
      <c r="U139" s="2"/>
      <c r="V139" s="2"/>
      <c r="W139" s="2"/>
      <c r="X139" s="2"/>
      <c r="Y139" s="2"/>
    </row>
    <row r="140" spans="1:25" ht="15" customHeight="1" x14ac:dyDescent="0.25">
      <c r="A140" s="2"/>
      <c r="B140" s="17">
        <f t="shared" ref="B140" si="14">LEN(C140)</f>
        <v>2</v>
      </c>
      <c r="C140" s="38" t="s">
        <v>669</v>
      </c>
      <c r="D140" s="39" t="s">
        <v>1152</v>
      </c>
      <c r="E140" s="68">
        <f>E33/$E$27</f>
        <v>6.1051131093125771E-5</v>
      </c>
      <c r="F140" s="40"/>
      <c r="G140" s="41"/>
      <c r="H140" s="42" t="s">
        <v>489</v>
      </c>
      <c r="I140" s="40">
        <v>2</v>
      </c>
      <c r="J140" s="425" t="s">
        <v>1130</v>
      </c>
      <c r="K140" s="426"/>
      <c r="L140" s="426"/>
      <c r="M140" s="426"/>
      <c r="N140" s="426"/>
      <c r="O140" s="426"/>
      <c r="P140" s="427"/>
      <c r="Q140" s="2"/>
      <c r="R140" s="2"/>
      <c r="S140" s="2"/>
      <c r="T140" s="2"/>
      <c r="U140" s="2"/>
      <c r="V140" s="2"/>
      <c r="W140" s="2"/>
      <c r="X140" s="2"/>
      <c r="Y140" s="2"/>
    </row>
    <row r="141" spans="1:25" ht="15" customHeight="1" x14ac:dyDescent="0.25">
      <c r="A141" s="2"/>
      <c r="B141" s="17">
        <f t="shared" ref="B141" si="15">LEN(C141)</f>
        <v>3</v>
      </c>
      <c r="C141" s="38" t="s">
        <v>1112</v>
      </c>
      <c r="D141" s="39" t="s">
        <v>1153</v>
      </c>
      <c r="E141" s="68">
        <f>E39/$E$27</f>
        <v>6.5520253975939193E-5</v>
      </c>
      <c r="F141" s="40"/>
      <c r="G141" s="41"/>
      <c r="H141" s="42" t="s">
        <v>489</v>
      </c>
      <c r="I141" s="40">
        <v>2</v>
      </c>
      <c r="J141" s="425" t="s">
        <v>1131</v>
      </c>
      <c r="K141" s="426"/>
      <c r="L141" s="426"/>
      <c r="M141" s="426"/>
      <c r="N141" s="426"/>
      <c r="O141" s="426"/>
      <c r="P141" s="427"/>
      <c r="Q141" s="2"/>
      <c r="R141" s="2"/>
      <c r="S141" s="2"/>
      <c r="T141" s="2"/>
      <c r="U141" s="2"/>
      <c r="V141" s="2"/>
      <c r="W141" s="2"/>
      <c r="X141" s="2"/>
      <c r="Y141" s="2"/>
    </row>
    <row r="142" spans="1:25" ht="15" customHeight="1" x14ac:dyDescent="0.25">
      <c r="A142" s="2"/>
      <c r="B142" s="17">
        <f t="shared" ref="B142:B265" si="16">LEN(C142)</f>
        <v>3</v>
      </c>
      <c r="C142" s="38" t="s">
        <v>1113</v>
      </c>
      <c r="D142" s="39" t="s">
        <v>1154</v>
      </c>
      <c r="E142" s="68">
        <f>E45/$E$27</f>
        <v>6.7445355649514398E-5</v>
      </c>
      <c r="F142" s="40"/>
      <c r="G142" s="41"/>
      <c r="H142" s="42" t="s">
        <v>489</v>
      </c>
      <c r="I142" s="40">
        <v>2</v>
      </c>
      <c r="J142" s="425" t="s">
        <v>1132</v>
      </c>
      <c r="K142" s="426"/>
      <c r="L142" s="426"/>
      <c r="M142" s="426"/>
      <c r="N142" s="426"/>
      <c r="O142" s="426"/>
      <c r="P142" s="427"/>
      <c r="Q142" s="2"/>
      <c r="R142" s="2"/>
      <c r="S142" s="2"/>
      <c r="T142" s="2"/>
      <c r="U142" s="2"/>
      <c r="V142" s="2"/>
      <c r="W142" s="2"/>
      <c r="X142" s="2"/>
      <c r="Y142" s="2"/>
    </row>
    <row r="143" spans="1:25" ht="15" customHeight="1" x14ac:dyDescent="0.25">
      <c r="A143" s="2"/>
      <c r="B143" s="17">
        <f t="shared" si="16"/>
        <v>3</v>
      </c>
      <c r="C143" s="38" t="s">
        <v>1114</v>
      </c>
      <c r="D143" s="39" t="s">
        <v>1155</v>
      </c>
      <c r="E143" s="68">
        <f>E51/$E$27</f>
        <v>9.8870161724678348E-5</v>
      </c>
      <c r="F143" s="40"/>
      <c r="G143" s="41"/>
      <c r="H143" s="42" t="s">
        <v>489</v>
      </c>
      <c r="I143" s="40">
        <v>2</v>
      </c>
      <c r="J143" s="425" t="s">
        <v>1133</v>
      </c>
      <c r="K143" s="426"/>
      <c r="L143" s="426"/>
      <c r="M143" s="426"/>
      <c r="N143" s="426"/>
      <c r="O143" s="426"/>
      <c r="P143" s="427"/>
      <c r="Q143" s="2"/>
      <c r="R143" s="2"/>
      <c r="S143" s="2"/>
      <c r="T143" s="2"/>
      <c r="U143" s="2"/>
      <c r="V143" s="2"/>
      <c r="W143" s="2"/>
      <c r="X143" s="2"/>
      <c r="Y143" s="2"/>
    </row>
    <row r="144" spans="1:25" ht="15" customHeight="1" x14ac:dyDescent="0.25">
      <c r="A144" s="2"/>
      <c r="B144" s="17">
        <f t="shared" si="16"/>
        <v>5</v>
      </c>
      <c r="C144" s="38" t="s">
        <v>1115</v>
      </c>
      <c r="D144" s="39" t="s">
        <v>1156</v>
      </c>
      <c r="E144" s="68">
        <f>E57/$E$27</f>
        <v>2.6445503208174458E-5</v>
      </c>
      <c r="F144" s="40"/>
      <c r="G144" s="41"/>
      <c r="H144" s="42" t="s">
        <v>489</v>
      </c>
      <c r="I144" s="40">
        <v>2</v>
      </c>
      <c r="J144" s="425" t="s">
        <v>1134</v>
      </c>
      <c r="K144" s="426"/>
      <c r="L144" s="426"/>
      <c r="M144" s="426"/>
      <c r="N144" s="426"/>
      <c r="O144" s="426"/>
      <c r="P144" s="427"/>
      <c r="Q144" s="2"/>
      <c r="R144" s="2"/>
      <c r="S144" s="2"/>
      <c r="T144" s="2"/>
      <c r="U144" s="2"/>
      <c r="V144" s="2"/>
      <c r="W144" s="2"/>
      <c r="X144" s="2"/>
      <c r="Y144" s="2"/>
    </row>
    <row r="145" spans="1:25" ht="15" customHeight="1" x14ac:dyDescent="0.25">
      <c r="A145" s="2"/>
      <c r="B145" s="17">
        <f t="shared" si="16"/>
        <v>4</v>
      </c>
      <c r="C145" s="38" t="s">
        <v>1116</v>
      </c>
      <c r="D145" s="39" t="s">
        <v>1157</v>
      </c>
      <c r="E145" s="68">
        <f>E63/$E$27</f>
        <v>2.8861261162005474E-5</v>
      </c>
      <c r="F145" s="40"/>
      <c r="G145" s="41"/>
      <c r="H145" s="42" t="s">
        <v>489</v>
      </c>
      <c r="I145" s="40">
        <v>2</v>
      </c>
      <c r="J145" s="425" t="s">
        <v>1135</v>
      </c>
      <c r="K145" s="426"/>
      <c r="L145" s="426"/>
      <c r="M145" s="426"/>
      <c r="N145" s="426"/>
      <c r="O145" s="426"/>
      <c r="P145" s="427"/>
      <c r="Q145" s="2"/>
      <c r="R145" s="2"/>
      <c r="S145" s="2"/>
      <c r="T145" s="2"/>
      <c r="U145" s="2"/>
      <c r="V145" s="2"/>
      <c r="W145" s="2"/>
      <c r="X145" s="2"/>
      <c r="Y145" s="2"/>
    </row>
    <row r="146" spans="1:25" ht="15" customHeight="1" x14ac:dyDescent="0.25">
      <c r="A146" s="2"/>
      <c r="B146" s="17">
        <f t="shared" si="16"/>
        <v>3</v>
      </c>
      <c r="C146" s="38" t="s">
        <v>1117</v>
      </c>
      <c r="D146" s="39" t="s">
        <v>1158</v>
      </c>
      <c r="E146" s="68">
        <f>E69/$E$27</f>
        <v>2.2617605503767843E-6</v>
      </c>
      <c r="F146" s="40"/>
      <c r="G146" s="41"/>
      <c r="H146" s="42" t="s">
        <v>489</v>
      </c>
      <c r="I146" s="40">
        <v>2</v>
      </c>
      <c r="J146" s="425" t="s">
        <v>1136</v>
      </c>
      <c r="K146" s="426"/>
      <c r="L146" s="426"/>
      <c r="M146" s="426"/>
      <c r="N146" s="426"/>
      <c r="O146" s="426"/>
      <c r="P146" s="427"/>
      <c r="Q146" s="2"/>
      <c r="R146" s="2"/>
      <c r="S146" s="2"/>
      <c r="T146" s="2"/>
      <c r="U146" s="2"/>
      <c r="V146" s="2"/>
      <c r="W146" s="2"/>
      <c r="X146" s="2"/>
      <c r="Y146" s="2"/>
    </row>
    <row r="147" spans="1:25" x14ac:dyDescent="0.25">
      <c r="A147" s="2"/>
      <c r="B147" s="17">
        <f t="shared" si="16"/>
        <v>4</v>
      </c>
      <c r="C147" s="38" t="s">
        <v>1118</v>
      </c>
      <c r="D147" s="39" t="s">
        <v>1159</v>
      </c>
      <c r="E147" s="68">
        <f>E75/$E$27</f>
        <v>2.3819420306485839E-9</v>
      </c>
      <c r="F147" s="40"/>
      <c r="G147" s="41"/>
      <c r="H147" s="42" t="s">
        <v>489</v>
      </c>
      <c r="I147" s="40">
        <v>2</v>
      </c>
      <c r="J147" s="425" t="s">
        <v>1137</v>
      </c>
      <c r="K147" s="426"/>
      <c r="L147" s="426"/>
      <c r="M147" s="426"/>
      <c r="N147" s="426"/>
      <c r="O147" s="426"/>
      <c r="P147" s="427"/>
      <c r="Q147" s="2"/>
      <c r="R147" s="2"/>
      <c r="S147" s="2"/>
      <c r="T147" s="2"/>
      <c r="U147" s="2"/>
      <c r="V147" s="2"/>
      <c r="W147" s="2"/>
      <c r="X147" s="2"/>
      <c r="Y147" s="2"/>
    </row>
    <row r="148" spans="1:25" s="195" customFormat="1" ht="12.75" x14ac:dyDescent="0.2">
      <c r="A148" s="2"/>
      <c r="B148" s="17">
        <f t="shared" ref="B148:B153" si="17">LEN(C148)</f>
        <v>8</v>
      </c>
      <c r="C148" s="38" t="s">
        <v>1119</v>
      </c>
      <c r="D148" s="39" t="s">
        <v>1160</v>
      </c>
      <c r="E148" s="68">
        <f>E81/$E$27</f>
        <v>3.0238383397716182E-6</v>
      </c>
      <c r="F148" s="40"/>
      <c r="G148" s="41"/>
      <c r="H148" s="42" t="s">
        <v>489</v>
      </c>
      <c r="I148" s="40">
        <v>2</v>
      </c>
      <c r="J148" s="425" t="s">
        <v>1138</v>
      </c>
      <c r="K148" s="426"/>
      <c r="L148" s="426"/>
      <c r="M148" s="426"/>
      <c r="N148" s="426"/>
      <c r="O148" s="426"/>
      <c r="P148" s="427"/>
      <c r="Q148" s="2"/>
      <c r="R148" s="2"/>
      <c r="S148" s="2"/>
      <c r="T148" s="2"/>
      <c r="U148" s="2"/>
      <c r="V148" s="2"/>
      <c r="W148" s="2"/>
      <c r="X148" s="2"/>
      <c r="Y148" s="2"/>
    </row>
    <row r="149" spans="1:25" s="195" customFormat="1" ht="12.75" x14ac:dyDescent="0.2">
      <c r="A149" s="2"/>
      <c r="B149" s="17">
        <f t="shared" si="17"/>
        <v>8</v>
      </c>
      <c r="C149" s="38" t="s">
        <v>1120</v>
      </c>
      <c r="D149" s="39" t="s">
        <v>1161</v>
      </c>
      <c r="E149" s="68">
        <f>E87/$E$27</f>
        <v>4.0974333545250033E-6</v>
      </c>
      <c r="F149" s="40"/>
      <c r="G149" s="41"/>
      <c r="H149" s="42" t="s">
        <v>489</v>
      </c>
      <c r="I149" s="40">
        <v>2</v>
      </c>
      <c r="J149" s="425" t="s">
        <v>1139</v>
      </c>
      <c r="K149" s="426"/>
      <c r="L149" s="426"/>
      <c r="M149" s="426"/>
      <c r="N149" s="426"/>
      <c r="O149" s="426"/>
      <c r="P149" s="427"/>
      <c r="Q149" s="2"/>
      <c r="R149" s="2"/>
      <c r="S149" s="2"/>
      <c r="T149" s="2"/>
      <c r="U149" s="2"/>
      <c r="V149" s="2"/>
      <c r="W149" s="2"/>
      <c r="X149" s="2"/>
      <c r="Y149" s="2"/>
    </row>
    <row r="150" spans="1:25" s="195" customFormat="1" ht="12.75" x14ac:dyDescent="0.2">
      <c r="A150" s="2"/>
      <c r="B150" s="17">
        <f t="shared" si="17"/>
        <v>7</v>
      </c>
      <c r="C150" s="38" t="s">
        <v>1121</v>
      </c>
      <c r="D150" s="39" t="s">
        <v>1162</v>
      </c>
      <c r="E150" s="68">
        <f>E93/$E$27</f>
        <v>1.6507577693168435E-9</v>
      </c>
      <c r="F150" s="40"/>
      <c r="G150" s="41"/>
      <c r="H150" s="42" t="s">
        <v>489</v>
      </c>
      <c r="I150" s="40">
        <v>2</v>
      </c>
      <c r="J150" s="425" t="s">
        <v>1140</v>
      </c>
      <c r="K150" s="426"/>
      <c r="L150" s="426"/>
      <c r="M150" s="426"/>
      <c r="N150" s="426"/>
      <c r="O150" s="426"/>
      <c r="P150" s="427"/>
      <c r="Q150" s="2"/>
      <c r="R150" s="2"/>
      <c r="S150" s="2"/>
      <c r="T150" s="2"/>
      <c r="U150" s="2"/>
      <c r="V150" s="2"/>
      <c r="W150" s="2"/>
      <c r="X150" s="2"/>
      <c r="Y150" s="2"/>
    </row>
    <row r="151" spans="1:25" s="195" customFormat="1" ht="12.75" x14ac:dyDescent="0.2">
      <c r="A151" s="2"/>
      <c r="B151" s="17">
        <f t="shared" si="17"/>
        <v>8</v>
      </c>
      <c r="C151" s="38" t="s">
        <v>1122</v>
      </c>
      <c r="D151" s="39" t="s">
        <v>1163</v>
      </c>
      <c r="E151" s="68">
        <f>E99/$E$27</f>
        <v>5.4386298884045708E-10</v>
      </c>
      <c r="F151" s="40"/>
      <c r="G151" s="41"/>
      <c r="H151" s="42" t="s">
        <v>489</v>
      </c>
      <c r="I151" s="40">
        <v>2</v>
      </c>
      <c r="J151" s="425" t="s">
        <v>1141</v>
      </c>
      <c r="K151" s="426"/>
      <c r="L151" s="426"/>
      <c r="M151" s="426"/>
      <c r="N151" s="426"/>
      <c r="O151" s="426"/>
      <c r="P151" s="427"/>
      <c r="Q151" s="2"/>
      <c r="R151" s="2"/>
      <c r="S151" s="2"/>
      <c r="T151" s="2"/>
      <c r="U151" s="2"/>
      <c r="V151" s="2"/>
      <c r="W151" s="2"/>
      <c r="X151" s="2"/>
      <c r="Y151" s="2"/>
    </row>
    <row r="152" spans="1:25" s="195" customFormat="1" ht="12.75" x14ac:dyDescent="0.2">
      <c r="A152" s="2"/>
      <c r="B152" s="17"/>
      <c r="C152" s="38" t="s">
        <v>1123</v>
      </c>
      <c r="D152" s="39" t="s">
        <v>1164</v>
      </c>
      <c r="E152" s="68">
        <f>E105/$E$27</f>
        <v>7.3325595581690846E-10</v>
      </c>
      <c r="F152" s="40"/>
      <c r="G152" s="41"/>
      <c r="H152" s="42" t="s">
        <v>489</v>
      </c>
      <c r="I152" s="40">
        <v>2</v>
      </c>
      <c r="J152" s="425" t="s">
        <v>1142</v>
      </c>
      <c r="K152" s="426"/>
      <c r="L152" s="426"/>
      <c r="M152" s="426"/>
      <c r="N152" s="426"/>
      <c r="O152" s="426"/>
      <c r="P152" s="427"/>
      <c r="Q152" s="2"/>
      <c r="R152" s="2"/>
      <c r="S152" s="2"/>
      <c r="T152" s="2"/>
      <c r="U152" s="2"/>
      <c r="V152" s="2"/>
      <c r="W152" s="2"/>
      <c r="X152" s="2"/>
      <c r="Y152" s="2"/>
    </row>
    <row r="153" spans="1:25" s="195" customFormat="1" ht="12.75" customHeight="1" x14ac:dyDescent="0.2">
      <c r="A153" s="2"/>
      <c r="B153" s="17">
        <f t="shared" si="17"/>
        <v>11</v>
      </c>
      <c r="C153" s="38" t="s">
        <v>1124</v>
      </c>
      <c r="D153" s="39" t="s">
        <v>1165</v>
      </c>
      <c r="E153" s="68">
        <f>E111/$E$27</f>
        <v>3.8441816081372128E-8</v>
      </c>
      <c r="F153" s="40"/>
      <c r="G153" s="41"/>
      <c r="H153" s="42" t="s">
        <v>489</v>
      </c>
      <c r="I153" s="40">
        <v>2</v>
      </c>
      <c r="J153" s="425" t="s">
        <v>1143</v>
      </c>
      <c r="K153" s="426"/>
      <c r="L153" s="426"/>
      <c r="M153" s="426"/>
      <c r="N153" s="426"/>
      <c r="O153" s="426"/>
      <c r="P153" s="427"/>
      <c r="Q153" s="2"/>
      <c r="R153" s="2"/>
      <c r="S153" s="2"/>
      <c r="T153" s="2"/>
      <c r="U153" s="2"/>
      <c r="V153" s="2"/>
      <c r="W153" s="2"/>
      <c r="X153" s="2"/>
      <c r="Y153" s="2"/>
    </row>
    <row r="154" spans="1:25" s="195" customFormat="1" ht="12.75" x14ac:dyDescent="0.2">
      <c r="A154" s="2"/>
      <c r="B154" s="17">
        <f t="shared" ref="B154:B156" si="18">LEN(C154)</f>
        <v>11</v>
      </c>
      <c r="C154" s="38" t="s">
        <v>1125</v>
      </c>
      <c r="D154" s="39" t="s">
        <v>1166</v>
      </c>
      <c r="E154" s="68">
        <f>E117/$E$27</f>
        <v>9.3424214553324862E-7</v>
      </c>
      <c r="F154" s="40"/>
      <c r="G154" s="41"/>
      <c r="H154" s="42" t="s">
        <v>489</v>
      </c>
      <c r="I154" s="40">
        <v>2</v>
      </c>
      <c r="J154" s="425" t="s">
        <v>1144</v>
      </c>
      <c r="K154" s="426"/>
      <c r="L154" s="426"/>
      <c r="M154" s="426"/>
      <c r="N154" s="426"/>
      <c r="O154" s="426"/>
      <c r="P154" s="427"/>
      <c r="Q154" s="2"/>
      <c r="R154" s="2"/>
      <c r="S154" s="2"/>
      <c r="T154" s="2"/>
      <c r="U154" s="2"/>
      <c r="V154" s="2"/>
      <c r="W154" s="2"/>
      <c r="X154" s="2"/>
      <c r="Y154" s="2"/>
    </row>
    <row r="155" spans="1:25" s="195" customFormat="1" ht="12.75" x14ac:dyDescent="0.2">
      <c r="A155" s="2"/>
      <c r="B155" s="17">
        <f t="shared" si="18"/>
        <v>8</v>
      </c>
      <c r="C155" s="38" t="s">
        <v>1126</v>
      </c>
      <c r="D155" s="39" t="s">
        <v>1167</v>
      </c>
      <c r="E155" s="68">
        <f>E123/$E$27</f>
        <v>7.4783795566016347E-8</v>
      </c>
      <c r="F155" s="40"/>
      <c r="G155" s="41"/>
      <c r="H155" s="42" t="s">
        <v>489</v>
      </c>
      <c r="I155" s="40">
        <v>2</v>
      </c>
      <c r="J155" s="425" t="s">
        <v>1145</v>
      </c>
      <c r="K155" s="426"/>
      <c r="L155" s="426"/>
      <c r="M155" s="426"/>
      <c r="N155" s="426"/>
      <c r="O155" s="426"/>
      <c r="P155" s="427"/>
      <c r="Q155" s="2"/>
      <c r="R155" s="2"/>
      <c r="S155" s="2"/>
      <c r="T155" s="2"/>
      <c r="U155" s="2"/>
      <c r="V155" s="2"/>
      <c r="W155" s="2"/>
      <c r="X155" s="2"/>
      <c r="Y155" s="2"/>
    </row>
    <row r="156" spans="1:25" s="195" customFormat="1" ht="12.75" x14ac:dyDescent="0.2">
      <c r="A156" s="2"/>
      <c r="B156" s="17">
        <f t="shared" si="18"/>
        <v>8</v>
      </c>
      <c r="C156" s="38" t="s">
        <v>2236</v>
      </c>
      <c r="D156" s="39" t="s">
        <v>1168</v>
      </c>
      <c r="E156" s="68">
        <f>E129/$E$27</f>
        <v>8.4992652551866642E-8</v>
      </c>
      <c r="F156" s="40"/>
      <c r="G156" s="41"/>
      <c r="H156" s="42" t="s">
        <v>489</v>
      </c>
      <c r="I156" s="40">
        <v>2</v>
      </c>
      <c r="J156" s="425" t="s">
        <v>1146</v>
      </c>
      <c r="K156" s="426"/>
      <c r="L156" s="426"/>
      <c r="M156" s="426"/>
      <c r="N156" s="426"/>
      <c r="O156" s="426"/>
      <c r="P156" s="427"/>
      <c r="Q156" s="2"/>
      <c r="R156" s="2"/>
      <c r="S156" s="2"/>
      <c r="T156" s="2"/>
      <c r="U156" s="2"/>
      <c r="V156" s="2"/>
      <c r="W156" s="2"/>
      <c r="X156" s="2"/>
      <c r="Y156" s="2"/>
    </row>
    <row r="157" spans="1:25" s="195" customFormat="1" ht="12.75" x14ac:dyDescent="0.2">
      <c r="A157" s="2"/>
      <c r="B157" s="17">
        <f t="shared" ref="B157" si="19">LEN(C157)</f>
        <v>7</v>
      </c>
      <c r="C157" s="38" t="s">
        <v>1127</v>
      </c>
      <c r="D157" s="39" t="s">
        <v>1169</v>
      </c>
      <c r="E157" s="68">
        <f>E135/$E$27</f>
        <v>3.3453084396297714E-8</v>
      </c>
      <c r="F157" s="40"/>
      <c r="G157" s="41"/>
      <c r="H157" s="42" t="s">
        <v>489</v>
      </c>
      <c r="I157" s="40">
        <v>2</v>
      </c>
      <c r="J157" s="425" t="s">
        <v>1147</v>
      </c>
      <c r="K157" s="426"/>
      <c r="L157" s="426"/>
      <c r="M157" s="426"/>
      <c r="N157" s="426"/>
      <c r="O157" s="426"/>
      <c r="P157" s="427"/>
      <c r="Q157" s="2"/>
      <c r="R157" s="2"/>
      <c r="S157" s="2"/>
      <c r="T157" s="2"/>
      <c r="U157" s="2"/>
      <c r="V157" s="2"/>
      <c r="W157" s="2"/>
      <c r="X157" s="2"/>
      <c r="Y157" s="2"/>
    </row>
    <row r="158" spans="1:25" s="195" customFormat="1" ht="12.75" x14ac:dyDescent="0.2">
      <c r="A158" s="2"/>
      <c r="B158" s="17">
        <f t="shared" ref="B158" si="20">LEN(C158)</f>
        <v>3</v>
      </c>
      <c r="C158" s="38" t="s">
        <v>524</v>
      </c>
      <c r="D158" s="39" t="s">
        <v>1170</v>
      </c>
      <c r="E158" s="68">
        <f>E136/$E$27</f>
        <v>1.2252333090932497E-3</v>
      </c>
      <c r="F158" s="40"/>
      <c r="G158" s="41"/>
      <c r="H158" s="42" t="s">
        <v>489</v>
      </c>
      <c r="I158" s="40">
        <v>2</v>
      </c>
      <c r="J158" s="425" t="s">
        <v>1148</v>
      </c>
      <c r="K158" s="426"/>
      <c r="L158" s="426"/>
      <c r="M158" s="426"/>
      <c r="N158" s="426"/>
      <c r="O158" s="426"/>
      <c r="P158" s="427"/>
      <c r="Q158" s="2"/>
      <c r="R158" s="2"/>
      <c r="S158" s="2"/>
      <c r="T158" s="2"/>
      <c r="U158" s="2"/>
      <c r="V158" s="2"/>
      <c r="W158" s="2"/>
      <c r="X158" s="2"/>
      <c r="Y158" s="2"/>
    </row>
    <row r="159" spans="1:25" s="195" customFormat="1" ht="12.75" x14ac:dyDescent="0.2">
      <c r="A159" s="2"/>
      <c r="B159" s="17">
        <f t="shared" ref="B159" si="21">LEN(C159)</f>
        <v>9</v>
      </c>
      <c r="C159" s="38" t="s">
        <v>1128</v>
      </c>
      <c r="D159" s="39" t="s">
        <v>1171</v>
      </c>
      <c r="E159" s="68">
        <f>E137/$E$27</f>
        <v>1.0984959207999568E-9</v>
      </c>
      <c r="F159" s="40"/>
      <c r="G159" s="41"/>
      <c r="H159" s="42" t="s">
        <v>489</v>
      </c>
      <c r="I159" s="40">
        <v>2</v>
      </c>
      <c r="J159" s="425" t="s">
        <v>1149</v>
      </c>
      <c r="K159" s="426"/>
      <c r="L159" s="426"/>
      <c r="M159" s="426"/>
      <c r="N159" s="426"/>
      <c r="O159" s="426"/>
      <c r="P159" s="427"/>
      <c r="Q159" s="2"/>
      <c r="R159" s="2"/>
      <c r="S159" s="2"/>
      <c r="T159" s="2"/>
      <c r="U159" s="2"/>
      <c r="V159" s="2"/>
      <c r="W159" s="2"/>
      <c r="X159" s="2"/>
      <c r="Y159" s="2"/>
    </row>
    <row r="160" spans="1:25" x14ac:dyDescent="0.25">
      <c r="A160" s="2"/>
      <c r="B160" s="17">
        <f t="shared" si="16"/>
        <v>3</v>
      </c>
      <c r="C160" s="38" t="s">
        <v>1176</v>
      </c>
      <c r="D160" s="39" t="s">
        <v>1172</v>
      </c>
      <c r="E160" s="68">
        <f>E138/$E$27</f>
        <v>2.1279189097597579E-9</v>
      </c>
      <c r="F160" s="40"/>
      <c r="G160" s="41"/>
      <c r="H160" s="42" t="s">
        <v>489</v>
      </c>
      <c r="I160" s="40">
        <v>2</v>
      </c>
      <c r="J160" s="425" t="s">
        <v>1150</v>
      </c>
      <c r="K160" s="426"/>
      <c r="L160" s="426"/>
      <c r="M160" s="426"/>
      <c r="N160" s="426"/>
      <c r="O160" s="426"/>
      <c r="P160" s="427"/>
      <c r="Q160" s="2"/>
      <c r="R160" s="2"/>
      <c r="S160" s="2"/>
      <c r="T160" s="2"/>
      <c r="U160" s="2"/>
      <c r="V160" s="2"/>
      <c r="W160" s="2"/>
      <c r="X160" s="2"/>
      <c r="Y160" s="2"/>
    </row>
    <row r="161" spans="1:25" x14ac:dyDescent="0.25">
      <c r="A161" s="2"/>
      <c r="B161" s="17">
        <f t="shared" si="16"/>
        <v>7</v>
      </c>
      <c r="C161" s="38" t="s">
        <v>1129</v>
      </c>
      <c r="D161" s="39" t="s">
        <v>1173</v>
      </c>
      <c r="E161" s="68">
        <f>E139/$E$27</f>
        <v>1.8100378527910142E-8</v>
      </c>
      <c r="F161" s="40"/>
      <c r="G161" s="41"/>
      <c r="H161" s="42" t="s">
        <v>489</v>
      </c>
      <c r="I161" s="40">
        <v>2</v>
      </c>
      <c r="J161" s="425" t="s">
        <v>1151</v>
      </c>
      <c r="K161" s="426"/>
      <c r="L161" s="426"/>
      <c r="M161" s="426"/>
      <c r="N161" s="426"/>
      <c r="O161" s="426"/>
      <c r="P161" s="427"/>
      <c r="Q161" s="2"/>
      <c r="R161" s="2"/>
      <c r="S161" s="2"/>
      <c r="T161" s="2"/>
      <c r="U161" s="2"/>
      <c r="V161" s="2"/>
      <c r="W161" s="2"/>
      <c r="X161" s="2"/>
      <c r="Y161" s="2"/>
    </row>
    <row r="162" spans="1:25" x14ac:dyDescent="0.25">
      <c r="A162" s="2"/>
      <c r="B162" s="17">
        <f t="shared" ref="B162" si="22">LEN(C162)</f>
        <v>3</v>
      </c>
      <c r="C162" s="38" t="s">
        <v>1174</v>
      </c>
      <c r="D162" s="39" t="s">
        <v>1175</v>
      </c>
      <c r="E162" s="351">
        <f>E161+E159</f>
        <v>1.91988744487101E-8</v>
      </c>
      <c r="F162" s="40"/>
      <c r="G162" s="41"/>
      <c r="H162" s="42" t="s">
        <v>489</v>
      </c>
      <c r="I162" s="40">
        <v>2</v>
      </c>
      <c r="J162" s="425" t="s">
        <v>1177</v>
      </c>
      <c r="K162" s="426"/>
      <c r="L162" s="426"/>
      <c r="M162" s="426"/>
      <c r="N162" s="426"/>
      <c r="O162" s="426"/>
      <c r="P162" s="427"/>
      <c r="Q162" s="2"/>
      <c r="R162" s="2"/>
      <c r="S162" s="2"/>
      <c r="T162" s="2"/>
      <c r="U162" s="2"/>
      <c r="V162" s="2"/>
      <c r="W162" s="2"/>
      <c r="X162" s="2"/>
      <c r="Y162" s="2"/>
    </row>
    <row r="163" spans="1:25" x14ac:dyDescent="0.25">
      <c r="A163" s="2"/>
      <c r="B163" s="17">
        <f t="shared" si="16"/>
        <v>14</v>
      </c>
      <c r="C163" s="38" t="s">
        <v>2243</v>
      </c>
      <c r="D163" s="39"/>
      <c r="E163" s="68">
        <f ca="1">IFERROR(VLOOKUP(LEFT(C163,(LEN(C163)-2)),VOC!$C$12:$K$61,9,FALSE),0)</f>
        <v>0.53913043478260891</v>
      </c>
      <c r="F163" s="40"/>
      <c r="G163" s="41"/>
      <c r="H163" s="42"/>
      <c r="I163" s="329" t="s">
        <v>2235</v>
      </c>
      <c r="J163" s="415" t="str">
        <f ca="1">TEXT("[percent] Weight percent of NMVOC that is ","")&amp;INDIRECT("'Species Data'!D"&amp;MATCH(LEFT('Data Summary'!C163,LEN(C163)-2),'Species Data'!E:E,0))</f>
        <v>[percent] Weight percent of NMVOC that is 1,2,4-trimethylbenzene  (1,3,4-trimethylbenzene)</v>
      </c>
      <c r="K163" s="416"/>
      <c r="L163" s="416"/>
      <c r="M163" s="416"/>
      <c r="N163" s="416"/>
      <c r="O163" s="416"/>
      <c r="P163" s="417"/>
      <c r="Q163" s="2"/>
      <c r="R163" s="2"/>
      <c r="S163" s="2"/>
      <c r="T163" s="2"/>
      <c r="U163" s="2"/>
      <c r="V163" s="2"/>
      <c r="W163" s="2"/>
      <c r="X163" s="2"/>
      <c r="Y163" s="2"/>
    </row>
    <row r="164" spans="1:25" x14ac:dyDescent="0.25">
      <c r="A164" s="2"/>
      <c r="B164" s="17">
        <f t="shared" si="16"/>
        <v>15</v>
      </c>
      <c r="C164" s="38" t="s">
        <v>2244</v>
      </c>
      <c r="D164" s="39"/>
      <c r="E164" s="68">
        <f ca="1">IFERROR(VLOOKUP(LEFT(C164,(LEN(C164)-2)),VOC!$C$12:$K$61,9,FALSE),0)</f>
        <v>0.29565217391304355</v>
      </c>
      <c r="F164" s="40"/>
      <c r="G164" s="41"/>
      <c r="H164" s="42"/>
      <c r="I164" s="329">
        <v>1</v>
      </c>
      <c r="J164" s="415" t="str">
        <f ca="1">TEXT("[percent] Weight percent of NMVOC that is ","")&amp;INDIRECT("'Species Data'!D"&amp;MATCH(LEFT('Data Summary'!C164,LEN(C164)-2),'Species Data'!E:E,0))</f>
        <v>[percent] Weight percent of NMVOC that is 1,3,5-trimethylbenzene</v>
      </c>
      <c r="K164" s="416"/>
      <c r="L164" s="416"/>
      <c r="M164" s="416"/>
      <c r="N164" s="416"/>
      <c r="O164" s="416"/>
      <c r="P164" s="417"/>
      <c r="Q164" s="2"/>
      <c r="R164" s="2"/>
      <c r="S164" s="2"/>
      <c r="T164" s="2"/>
      <c r="U164" s="2"/>
      <c r="V164" s="2"/>
      <c r="W164" s="2"/>
      <c r="X164" s="2"/>
      <c r="Y164" s="2"/>
    </row>
    <row r="165" spans="1:25" x14ac:dyDescent="0.25">
      <c r="A165" s="2"/>
      <c r="B165" s="17">
        <f t="shared" si="16"/>
        <v>10</v>
      </c>
      <c r="C165" s="38" t="s">
        <v>2245</v>
      </c>
      <c r="D165" s="39"/>
      <c r="E165" s="68">
        <f ca="1">IFERROR(VLOOKUP(LEFT(C165,(LEN(C165)-2)),VOC!$C$12:$K$61,9,FALSE),0)</f>
        <v>0.17391304347826089</v>
      </c>
      <c r="F165" s="40"/>
      <c r="G165" s="41"/>
      <c r="H165" s="42"/>
      <c r="I165" s="329">
        <v>1</v>
      </c>
      <c r="J165" s="415" t="str">
        <f ca="1">TEXT("[percent] Weight percent of NMVOC that is ","")&amp;INDIRECT("'Species Data'!D"&amp;MATCH(LEFT('Data Summary'!C165,LEN(C165)-2),'Species Data'!E:E,0))</f>
        <v>[percent] Weight percent of NMVOC that is 1-Methyl-2-ethylbenzene</v>
      </c>
      <c r="K165" s="416"/>
      <c r="L165" s="416"/>
      <c r="M165" s="416"/>
      <c r="N165" s="416"/>
      <c r="O165" s="416"/>
      <c r="P165" s="417"/>
      <c r="Q165" s="2"/>
      <c r="R165" s="2"/>
      <c r="S165" s="2"/>
      <c r="T165" s="2"/>
      <c r="U165" s="2"/>
      <c r="V165" s="2"/>
      <c r="W165" s="2"/>
      <c r="X165" s="2"/>
      <c r="Y165" s="2"/>
    </row>
    <row r="166" spans="1:25" x14ac:dyDescent="0.25">
      <c r="A166" s="2"/>
      <c r="B166" s="17">
        <f t="shared" si="16"/>
        <v>10</v>
      </c>
      <c r="C166" s="38" t="s">
        <v>2246</v>
      </c>
      <c r="D166" s="39"/>
      <c r="E166" s="68">
        <f ca="1">IFERROR(VLOOKUP(LEFT(C166,(LEN(C166)-2)),VOC!$C$12:$K$61,9,FALSE),0)</f>
        <v>0.38260869565217398</v>
      </c>
      <c r="F166" s="40"/>
      <c r="G166" s="41"/>
      <c r="H166" s="42"/>
      <c r="I166" s="329">
        <v>1</v>
      </c>
      <c r="J166" s="415" t="str">
        <f ca="1">TEXT("[percent] Weight percent of NMVOC that is ","")&amp;INDIRECT("'Species Data'!D"&amp;MATCH(LEFT('Data Summary'!C166,LEN(C166)-2),'Species Data'!E:E,0))</f>
        <v>[percent] Weight percent of NMVOC that is 1-Methyl-3-ethylbenzene (3-Ethyltoluene)</v>
      </c>
      <c r="K166" s="416"/>
      <c r="L166" s="416"/>
      <c r="M166" s="416"/>
      <c r="N166" s="416"/>
      <c r="O166" s="416"/>
      <c r="P166" s="417"/>
      <c r="Q166" s="2"/>
      <c r="R166" s="2"/>
      <c r="S166" s="2"/>
      <c r="T166" s="2"/>
      <c r="U166" s="2"/>
      <c r="V166" s="2"/>
      <c r="W166" s="2"/>
      <c r="X166" s="2"/>
      <c r="Y166" s="2"/>
    </row>
    <row r="167" spans="1:25" x14ac:dyDescent="0.25">
      <c r="A167" s="2"/>
      <c r="B167" s="17">
        <f t="shared" si="16"/>
        <v>12</v>
      </c>
      <c r="C167" s="38" t="s">
        <v>2247</v>
      </c>
      <c r="D167" s="39"/>
      <c r="E167" s="68">
        <f ca="1">IFERROR(VLOOKUP(LEFT(C167,(LEN(C167)-2)),VOC!$C$12:$K$61,9,FALSE),0)</f>
        <v>0</v>
      </c>
      <c r="F167" s="40"/>
      <c r="G167" s="41"/>
      <c r="H167" s="42"/>
      <c r="I167" s="329">
        <v>1</v>
      </c>
      <c r="J167" s="415" t="str">
        <f ca="1">TEXT("[percent] Weight percent of NMVOC that is ","")&amp;INDIRECT("'Species Data'!D"&amp;MATCH(LEFT('Data Summary'!C167,LEN(C167)-2),'Species Data'!E:E,0))</f>
        <v>[percent] Weight percent of NMVOC that is 2,2,4-trimethylpentane</v>
      </c>
      <c r="K167" s="416"/>
      <c r="L167" s="416"/>
      <c r="M167" s="416"/>
      <c r="N167" s="416"/>
      <c r="O167" s="416"/>
      <c r="P167" s="417"/>
      <c r="Q167" s="2"/>
      <c r="R167" s="2"/>
      <c r="S167" s="2"/>
      <c r="T167" s="2"/>
      <c r="U167" s="2"/>
      <c r="V167" s="2"/>
      <c r="W167" s="2"/>
      <c r="X167" s="2"/>
      <c r="Y167" s="2"/>
    </row>
    <row r="168" spans="1:25" x14ac:dyDescent="0.25">
      <c r="A168" s="2"/>
      <c r="B168" s="17">
        <f t="shared" si="16"/>
        <v>12</v>
      </c>
      <c r="C168" s="38" t="s">
        <v>2248</v>
      </c>
      <c r="D168" s="39"/>
      <c r="E168" s="68">
        <f ca="1">IFERROR(VLOOKUP(LEFT(C168,(LEN(C168)-2)),VOC!$C$12:$K$61,9,FALSE),0)</f>
        <v>0.12173913043478264</v>
      </c>
      <c r="F168" s="40"/>
      <c r="G168" s="41"/>
      <c r="H168" s="42"/>
      <c r="I168" s="329">
        <v>1</v>
      </c>
      <c r="J168" s="415" t="str">
        <f ca="1">TEXT("[percent] Weight percent of NMVOC that is ","")&amp;INDIRECT("'Species Data'!D"&amp;MATCH(LEFT('Data Summary'!C168,LEN(C168)-2),'Species Data'!E:E,0))</f>
        <v>[percent] Weight percent of NMVOC that is 2,2-dimethylbutane</v>
      </c>
      <c r="K168" s="416"/>
      <c r="L168" s="416"/>
      <c r="M168" s="416"/>
      <c r="N168" s="416"/>
      <c r="O168" s="416"/>
      <c r="P168" s="417"/>
      <c r="Q168" s="2"/>
      <c r="R168" s="2"/>
      <c r="S168" s="2"/>
      <c r="T168" s="2"/>
      <c r="U168" s="2"/>
      <c r="V168" s="2"/>
      <c r="W168" s="2"/>
      <c r="X168" s="2"/>
      <c r="Y168" s="2"/>
    </row>
    <row r="169" spans="1:25" x14ac:dyDescent="0.25">
      <c r="A169" s="2"/>
      <c r="B169" s="17">
        <f t="shared" si="16"/>
        <v>13</v>
      </c>
      <c r="C169" s="38" t="s">
        <v>2249</v>
      </c>
      <c r="D169" s="39"/>
      <c r="E169" s="68">
        <f ca="1">IFERROR(VLOOKUP(LEFT(C169,(LEN(C169)-2)),VOC!$C$12:$K$61,9,FALSE),0)</f>
        <v>1.0434782608695654</v>
      </c>
      <c r="F169" s="40"/>
      <c r="G169" s="41"/>
      <c r="H169" s="42"/>
      <c r="I169" s="329">
        <v>1</v>
      </c>
      <c r="J169" s="415" t="str">
        <f ca="1">TEXT("[percent] Weight percent of NMVOC that is ","")&amp;INDIRECT("'Species Data'!D"&amp;MATCH(LEFT('Data Summary'!C169,LEN(C169)-2),'Species Data'!E:E,0))</f>
        <v>[percent] Weight percent of NMVOC that is 2,3,4-trimethylpentane</v>
      </c>
      <c r="K169" s="416"/>
      <c r="L169" s="416"/>
      <c r="M169" s="416"/>
      <c r="N169" s="416"/>
      <c r="O169" s="416"/>
      <c r="P169" s="417"/>
      <c r="Q169" s="2"/>
      <c r="R169" s="2"/>
      <c r="S169" s="2"/>
      <c r="T169" s="2"/>
      <c r="U169" s="2"/>
      <c r="V169" s="2"/>
      <c r="W169" s="2"/>
      <c r="X169" s="2"/>
      <c r="Y169" s="2"/>
    </row>
    <row r="170" spans="1:25" x14ac:dyDescent="0.25">
      <c r="A170" s="2"/>
      <c r="B170" s="17">
        <f t="shared" si="16"/>
        <v>10</v>
      </c>
      <c r="C170" s="38" t="s">
        <v>2250</v>
      </c>
      <c r="D170" s="39"/>
      <c r="E170" s="68">
        <f ca="1">IFERROR(VLOOKUP(LEFT(C170,(LEN(C170)-2)),VOC!$C$12:$K$61,9,FALSE),0)</f>
        <v>0.53913043478260891</v>
      </c>
      <c r="F170" s="40"/>
      <c r="G170" s="41"/>
      <c r="H170" s="42"/>
      <c r="I170" s="329">
        <v>1</v>
      </c>
      <c r="J170" s="415" t="str">
        <f ca="1">TEXT("[percent] Weight percent of NMVOC that is ","")&amp;INDIRECT("'Species Data'!D"&amp;MATCH(LEFT('Data Summary'!C170,LEN(C170)-2),'Species Data'!E:E,0))</f>
        <v>[percent] Weight percent of NMVOC that is 2,3-dimethylbutane</v>
      </c>
      <c r="K170" s="416"/>
      <c r="L170" s="416"/>
      <c r="M170" s="416"/>
      <c r="N170" s="416"/>
      <c r="O170" s="416"/>
      <c r="P170" s="417"/>
      <c r="Q170" s="2"/>
      <c r="R170" s="2"/>
      <c r="S170" s="2"/>
      <c r="T170" s="2"/>
      <c r="U170" s="2"/>
      <c r="V170" s="2"/>
      <c r="W170" s="2"/>
      <c r="X170" s="2"/>
      <c r="Y170" s="2"/>
    </row>
    <row r="171" spans="1:25" x14ac:dyDescent="0.25">
      <c r="A171" s="2"/>
      <c r="B171" s="17">
        <f t="shared" si="16"/>
        <v>13</v>
      </c>
      <c r="C171" s="38" t="s">
        <v>2251</v>
      </c>
      <c r="D171" s="39"/>
      <c r="E171" s="68">
        <f ca="1">IFERROR(VLOOKUP(LEFT(C171,(LEN(C171)-2)),VOC!$C$12:$K$61,9,FALSE),0)</f>
        <v>0</v>
      </c>
      <c r="F171" s="40"/>
      <c r="G171" s="41"/>
      <c r="H171" s="42"/>
      <c r="I171" s="329">
        <v>1</v>
      </c>
      <c r="J171" s="415" t="str">
        <f ca="1">TEXT("[percent] Weight percent of NMVOC that is ","")&amp;INDIRECT("'Species Data'!D"&amp;MATCH(LEFT('Data Summary'!C171,LEN(C171)-2),'Species Data'!E:E,0))</f>
        <v>[percent] Weight percent of NMVOC that is 2,3-dimethylhexane</v>
      </c>
      <c r="K171" s="416"/>
      <c r="L171" s="416"/>
      <c r="M171" s="416"/>
      <c r="N171" s="416"/>
      <c r="O171" s="416"/>
      <c r="P171" s="417"/>
      <c r="Q171" s="2"/>
      <c r="R171" s="2"/>
      <c r="S171" s="2"/>
      <c r="T171" s="2"/>
      <c r="U171" s="2"/>
      <c r="V171" s="2"/>
      <c r="W171" s="2"/>
      <c r="X171" s="2"/>
      <c r="Y171" s="2"/>
    </row>
    <row r="172" spans="1:25" x14ac:dyDescent="0.25">
      <c r="A172" s="2"/>
      <c r="B172" s="17">
        <f t="shared" si="16"/>
        <v>11</v>
      </c>
      <c r="C172" s="38" t="s">
        <v>2252</v>
      </c>
      <c r="D172" s="39"/>
      <c r="E172" s="68">
        <f ca="1">IFERROR(VLOOKUP(LEFT(C172,(LEN(C172)-2)),VOC!$C$12:$K$61,9,FALSE),0)</f>
        <v>1.6869565217391309</v>
      </c>
      <c r="F172" s="40"/>
      <c r="G172" s="41"/>
      <c r="H172" s="42"/>
      <c r="I172" s="329">
        <v>1</v>
      </c>
      <c r="J172" s="415" t="str">
        <f ca="1">TEXT("[percent] Weight percent of NMVOC that is ","")&amp;INDIRECT("'Species Data'!D"&amp;MATCH(LEFT('Data Summary'!C172,LEN(C172)-2),'Species Data'!E:E,0))</f>
        <v>[percent] Weight percent of NMVOC that is 2,3-dimethylpentane</v>
      </c>
      <c r="K172" s="416"/>
      <c r="L172" s="416"/>
      <c r="M172" s="416"/>
      <c r="N172" s="416"/>
      <c r="O172" s="416"/>
      <c r="P172" s="417"/>
      <c r="Q172" s="2"/>
      <c r="R172" s="2"/>
      <c r="S172" s="2"/>
      <c r="T172" s="2"/>
      <c r="U172" s="2"/>
      <c r="V172" s="2"/>
      <c r="W172" s="2"/>
      <c r="X172" s="2"/>
      <c r="Y172" s="2"/>
    </row>
    <row r="173" spans="1:25" x14ac:dyDescent="0.25">
      <c r="A173" s="2"/>
      <c r="B173" s="17">
        <f t="shared" si="16"/>
        <v>13</v>
      </c>
      <c r="C173" s="38" t="s">
        <v>2253</v>
      </c>
      <c r="D173" s="39"/>
      <c r="E173" s="68">
        <f ca="1">IFERROR(VLOOKUP(LEFT(C173,(LEN(C173)-2)),VOC!$C$12:$K$61,9,FALSE),0)</f>
        <v>0</v>
      </c>
      <c r="F173" s="40"/>
      <c r="G173" s="41"/>
      <c r="H173" s="42"/>
      <c r="I173" s="329">
        <v>1</v>
      </c>
      <c r="J173" s="415" t="str">
        <f ca="1">TEXT("[percent] Weight percent of NMVOC that is ","")&amp;INDIRECT("'Species Data'!D"&amp;MATCH(LEFT('Data Summary'!C173,LEN(C173)-2),'Species Data'!E:E,0))</f>
        <v>[percent] Weight percent of NMVOC that is 2,4-dimethylhexane</v>
      </c>
      <c r="K173" s="416"/>
      <c r="L173" s="416"/>
      <c r="M173" s="416"/>
      <c r="N173" s="416"/>
      <c r="O173" s="416"/>
      <c r="P173" s="417"/>
      <c r="Q173" s="2"/>
      <c r="R173" s="2"/>
      <c r="S173" s="2"/>
      <c r="T173" s="2"/>
      <c r="U173" s="2"/>
      <c r="V173" s="2"/>
      <c r="W173" s="2"/>
      <c r="X173" s="2"/>
      <c r="Y173" s="2"/>
    </row>
    <row r="174" spans="1:25" x14ac:dyDescent="0.25">
      <c r="A174" s="2"/>
      <c r="B174" s="17">
        <f t="shared" si="16"/>
        <v>11</v>
      </c>
      <c r="C174" s="38" t="s">
        <v>2254</v>
      </c>
      <c r="D174" s="39"/>
      <c r="E174" s="68">
        <f ca="1">IFERROR(VLOOKUP(LEFT(C174,(LEN(C174)-2)),VOC!$C$12:$K$61,9,FALSE),0)</f>
        <v>0.93913043478260883</v>
      </c>
      <c r="F174" s="40"/>
      <c r="G174" s="41"/>
      <c r="H174" s="42"/>
      <c r="I174" s="329">
        <v>1</v>
      </c>
      <c r="J174" s="415" t="str">
        <f ca="1">TEXT("[percent] Weight percent of NMVOC that is ","")&amp;INDIRECT("'Species Data'!D"&amp;MATCH(LEFT('Data Summary'!C174,LEN(C174)-2),'Species Data'!E:E,0))</f>
        <v>[percent] Weight percent of NMVOC that is 2,4-dimethylpentane</v>
      </c>
      <c r="K174" s="416"/>
      <c r="L174" s="416"/>
      <c r="M174" s="416"/>
      <c r="N174" s="416"/>
      <c r="O174" s="416"/>
      <c r="P174" s="417"/>
      <c r="Q174" s="2"/>
      <c r="R174" s="2"/>
      <c r="S174" s="2"/>
      <c r="T174" s="2"/>
      <c r="U174" s="2"/>
      <c r="V174" s="2"/>
      <c r="W174" s="2"/>
      <c r="X174" s="2"/>
      <c r="Y174" s="2"/>
    </row>
    <row r="175" spans="1:25" x14ac:dyDescent="0.25">
      <c r="A175" s="2"/>
      <c r="B175" s="17">
        <f t="shared" si="16"/>
        <v>9</v>
      </c>
      <c r="C175" s="38" t="s">
        <v>2255</v>
      </c>
      <c r="D175" s="39"/>
      <c r="E175" s="68">
        <f ca="1">IFERROR(VLOOKUP(LEFT(C175,(LEN(C175)-2)),VOC!$C$12:$K$61,9,FALSE),0)</f>
        <v>0.5565217391304349</v>
      </c>
      <c r="F175" s="40"/>
      <c r="G175" s="41"/>
      <c r="H175" s="42"/>
      <c r="I175" s="329">
        <v>1</v>
      </c>
      <c r="J175" s="415" t="str">
        <f ca="1">TEXT("[percent] Weight percent of NMVOC that is ","")&amp;INDIRECT("'Species Data'!D"&amp;MATCH(LEFT('Data Summary'!C175,LEN(C175)-2),'Species Data'!E:E,0))</f>
        <v>[percent] Weight percent of NMVOC that is 2-methylheptane</v>
      </c>
      <c r="K175" s="416"/>
      <c r="L175" s="416"/>
      <c r="M175" s="416"/>
      <c r="N175" s="416"/>
      <c r="O175" s="416"/>
      <c r="P175" s="417"/>
      <c r="Q175" s="2"/>
      <c r="R175" s="2"/>
      <c r="S175" s="2"/>
      <c r="T175" s="2"/>
      <c r="U175" s="2"/>
      <c r="V175" s="2"/>
      <c r="W175" s="2"/>
      <c r="X175" s="2"/>
      <c r="Y175" s="2"/>
    </row>
    <row r="176" spans="1:25" x14ac:dyDescent="0.25">
      <c r="A176" s="2"/>
      <c r="B176" s="17">
        <f t="shared" si="16"/>
        <v>11</v>
      </c>
      <c r="C176" s="38" t="s">
        <v>2256</v>
      </c>
      <c r="D176" s="39"/>
      <c r="E176" s="68">
        <f ca="1">IFERROR(VLOOKUP(LEFT(C176,(LEN(C176)-2)),VOC!$C$12:$K$61,9,FALSE),0)</f>
        <v>0.76521739130434796</v>
      </c>
      <c r="F176" s="40"/>
      <c r="G176" s="41"/>
      <c r="H176" s="42"/>
      <c r="I176" s="329">
        <v>1</v>
      </c>
      <c r="J176" s="415" t="str">
        <f ca="1">TEXT("[percent] Weight percent of NMVOC that is ","")&amp;INDIRECT("'Species Data'!D"&amp;MATCH(LEFT('Data Summary'!C176,LEN(C176)-2),'Species Data'!E:E,0))</f>
        <v>[percent] Weight percent of NMVOC that is 2-methylhexane</v>
      </c>
      <c r="K176" s="416"/>
      <c r="L176" s="416"/>
      <c r="M176" s="416"/>
      <c r="N176" s="416"/>
      <c r="O176" s="416"/>
      <c r="P176" s="417"/>
      <c r="Q176" s="2"/>
      <c r="R176" s="2"/>
      <c r="S176" s="2"/>
      <c r="T176" s="2"/>
      <c r="U176" s="2"/>
      <c r="V176" s="2"/>
      <c r="W176" s="2"/>
      <c r="X176" s="2"/>
      <c r="Y176" s="2"/>
    </row>
    <row r="177" spans="1:25" x14ac:dyDescent="0.25">
      <c r="A177" s="2"/>
      <c r="B177" s="17">
        <f t="shared" si="16"/>
        <v>11</v>
      </c>
      <c r="C177" s="38" t="s">
        <v>2257</v>
      </c>
      <c r="D177" s="39"/>
      <c r="E177" s="68">
        <f ca="1">IFERROR(VLOOKUP(LEFT(C177,(LEN(C177)-2)),VOC!$C$12:$K$61,9,FALSE),0)</f>
        <v>2.0347826086956529</v>
      </c>
      <c r="F177" s="40"/>
      <c r="G177" s="41"/>
      <c r="H177" s="42"/>
      <c r="I177" s="329">
        <v>1</v>
      </c>
      <c r="J177" s="415" t="str">
        <f ca="1">TEXT("[percent] Weight percent of NMVOC that is ","")&amp;INDIRECT("'Species Data'!D"&amp;MATCH(LEFT('Data Summary'!C177,LEN(C177)-2),'Species Data'!E:E,0))</f>
        <v>[percent] Weight percent of NMVOC that is 2-methylpentane (isohexane)</v>
      </c>
      <c r="K177" s="416"/>
      <c r="L177" s="416"/>
      <c r="M177" s="416"/>
      <c r="N177" s="416"/>
      <c r="O177" s="416"/>
      <c r="P177" s="417"/>
      <c r="Q177" s="2"/>
      <c r="R177" s="2"/>
      <c r="S177" s="2"/>
      <c r="T177" s="2"/>
      <c r="U177" s="2"/>
      <c r="V177" s="2"/>
      <c r="W177" s="2"/>
      <c r="X177" s="2"/>
      <c r="Y177" s="2"/>
    </row>
    <row r="178" spans="1:25" x14ac:dyDescent="0.25">
      <c r="A178" s="2"/>
      <c r="B178" s="17">
        <f t="shared" si="16"/>
        <v>9</v>
      </c>
      <c r="C178" s="38" t="s">
        <v>2258</v>
      </c>
      <c r="D178" s="39"/>
      <c r="E178" s="68">
        <f ca="1">IFERROR(VLOOKUP(LEFT(C178,(LEN(C178)-2)),VOC!$C$12:$K$61,9,FALSE),0)</f>
        <v>0.33043478260869569</v>
      </c>
      <c r="F178" s="40"/>
      <c r="G178" s="41"/>
      <c r="H178" s="42"/>
      <c r="I178" s="329">
        <v>1</v>
      </c>
      <c r="J178" s="415" t="str">
        <f ca="1">TEXT("[percent] Weight percent of NMVOC that is ","")&amp;INDIRECT("'Species Data'!D"&amp;MATCH(LEFT('Data Summary'!C178,LEN(C178)-2),'Species Data'!E:E,0))</f>
        <v>[percent] Weight percent of NMVOC that is 3-methylheptane</v>
      </c>
      <c r="K178" s="416"/>
      <c r="L178" s="416"/>
      <c r="M178" s="416"/>
      <c r="N178" s="416"/>
      <c r="O178" s="416"/>
      <c r="P178" s="417"/>
      <c r="Q178" s="2"/>
      <c r="R178" s="2"/>
      <c r="S178" s="2"/>
      <c r="T178" s="2"/>
      <c r="U178" s="2"/>
      <c r="V178" s="2"/>
      <c r="W178" s="2"/>
      <c r="X178" s="2"/>
      <c r="Y178" s="2"/>
    </row>
    <row r="179" spans="1:25" x14ac:dyDescent="0.25">
      <c r="A179" s="2"/>
      <c r="B179" s="17">
        <f t="shared" si="16"/>
        <v>13</v>
      </c>
      <c r="C179" s="38" t="s">
        <v>2259</v>
      </c>
      <c r="D179" s="39"/>
      <c r="E179" s="68">
        <f ca="1">IFERROR(VLOOKUP(LEFT(C179,(LEN(C179)-2)),VOC!$C$12:$K$61,9,FALSE),0)</f>
        <v>0.81739130434782625</v>
      </c>
      <c r="F179" s="40"/>
      <c r="G179" s="41"/>
      <c r="H179" s="42"/>
      <c r="I179" s="329">
        <v>1</v>
      </c>
      <c r="J179" s="415" t="str">
        <f ca="1">TEXT("[percent] Weight percent of NMVOC that is ","")&amp;INDIRECT("'Species Data'!D"&amp;MATCH(LEFT('Data Summary'!C179,LEN(C179)-2),'Species Data'!E:E,0))</f>
        <v>[percent] Weight percent of NMVOC that is 3-methylhexane</v>
      </c>
      <c r="K179" s="416"/>
      <c r="L179" s="416"/>
      <c r="M179" s="416"/>
      <c r="N179" s="416"/>
      <c r="O179" s="416"/>
      <c r="P179" s="417"/>
      <c r="Q179" s="2"/>
      <c r="R179" s="2"/>
      <c r="S179" s="2"/>
      <c r="T179" s="2"/>
      <c r="U179" s="2"/>
      <c r="V179" s="2"/>
      <c r="W179" s="2"/>
      <c r="X179" s="2"/>
      <c r="Y179" s="2"/>
    </row>
    <row r="180" spans="1:25" x14ac:dyDescent="0.25">
      <c r="A180" s="2"/>
      <c r="B180" s="17">
        <f t="shared" si="16"/>
        <v>13</v>
      </c>
      <c r="C180" s="38" t="s">
        <v>2260</v>
      </c>
      <c r="D180" s="39"/>
      <c r="E180" s="68">
        <f ca="1">IFERROR(VLOOKUP(LEFT(C180,(LEN(C180)-2)),VOC!$C$12:$K$61,9,FALSE),0)</f>
        <v>1.1826086956521742</v>
      </c>
      <c r="F180" s="40"/>
      <c r="G180" s="41"/>
      <c r="H180" s="42"/>
      <c r="I180" s="329">
        <v>1</v>
      </c>
      <c r="J180" s="415" t="str">
        <f ca="1">TEXT("[percent] Weight percent of NMVOC that is ","")&amp;INDIRECT("'Species Data'!D"&amp;MATCH(LEFT('Data Summary'!C180,LEN(C180)-2),'Species Data'!E:E,0))</f>
        <v>[percent] Weight percent of NMVOC that is 3-methylpentane</v>
      </c>
      <c r="K180" s="416"/>
      <c r="L180" s="416"/>
      <c r="M180" s="416"/>
      <c r="N180" s="416"/>
      <c r="O180" s="416"/>
      <c r="P180" s="417"/>
      <c r="Q180" s="2"/>
      <c r="R180" s="2"/>
      <c r="S180" s="2"/>
      <c r="T180" s="2"/>
      <c r="U180" s="2"/>
      <c r="V180" s="2"/>
      <c r="W180" s="2"/>
      <c r="X180" s="2"/>
      <c r="Y180" s="2"/>
    </row>
    <row r="181" spans="1:25" x14ac:dyDescent="0.25">
      <c r="A181" s="2"/>
      <c r="B181" s="17">
        <f t="shared" si="16"/>
        <v>9</v>
      </c>
      <c r="C181" s="38" t="s">
        <v>2261</v>
      </c>
      <c r="D181" s="39"/>
      <c r="E181" s="68">
        <f ca="1">IFERROR(VLOOKUP(LEFT(C181,(LEN(C181)-2)),VOC!$C$12:$K$61,9,FALSE),0)</f>
        <v>1.7913043478260873</v>
      </c>
      <c r="F181" s="40"/>
      <c r="G181" s="41"/>
      <c r="H181" s="42"/>
      <c r="I181" s="329">
        <v>1</v>
      </c>
      <c r="J181" s="415" t="str">
        <f ca="1">TEXT("[percent] Weight percent of NMVOC that is ","")&amp;INDIRECT("'Species Data'!D"&amp;MATCH(LEFT('Data Summary'!C181,LEN(C181)-2),'Species Data'!E:E,0))</f>
        <v>[percent] Weight percent of NMVOC that is Benzene</v>
      </c>
      <c r="K181" s="416"/>
      <c r="L181" s="416"/>
      <c r="M181" s="416"/>
      <c r="N181" s="416"/>
      <c r="O181" s="416"/>
      <c r="P181" s="417"/>
      <c r="Q181" s="2"/>
      <c r="R181" s="2"/>
      <c r="S181" s="2"/>
      <c r="T181" s="2"/>
      <c r="U181" s="2"/>
      <c r="V181" s="2"/>
      <c r="W181" s="2"/>
      <c r="X181" s="2"/>
      <c r="Y181" s="2"/>
    </row>
    <row r="182" spans="1:25" x14ac:dyDescent="0.25">
      <c r="A182" s="2"/>
      <c r="B182" s="17">
        <f t="shared" si="16"/>
        <v>13</v>
      </c>
      <c r="C182" s="38" t="s">
        <v>2262</v>
      </c>
      <c r="D182" s="39"/>
      <c r="E182" s="68">
        <f ca="1">IFERROR(VLOOKUP(LEFT(C182,(LEN(C182)-2)),VOC!$C$12:$K$61,9,FALSE),0)</f>
        <v>0.83478260869565246</v>
      </c>
      <c r="F182" s="40"/>
      <c r="G182" s="41"/>
      <c r="H182" s="42"/>
      <c r="I182" s="329">
        <v>1</v>
      </c>
      <c r="J182" s="415" t="str">
        <f ca="1">TEXT("[percent] Weight percent of NMVOC that is ","")&amp;INDIRECT("'Species Data'!D"&amp;MATCH(LEFT('Data Summary'!C182,LEN(C182)-2),'Species Data'!E:E,0))</f>
        <v>[percent] Weight percent of NMVOC that is Cyclohexane</v>
      </c>
      <c r="K182" s="416"/>
      <c r="L182" s="416"/>
      <c r="M182" s="416"/>
      <c r="N182" s="416"/>
      <c r="O182" s="416"/>
      <c r="P182" s="417"/>
      <c r="Q182" s="2"/>
      <c r="R182" s="2"/>
      <c r="S182" s="2"/>
      <c r="T182" s="2"/>
      <c r="U182" s="2"/>
      <c r="V182" s="2"/>
      <c r="W182" s="2"/>
      <c r="X182" s="2"/>
      <c r="Y182" s="2"/>
    </row>
    <row r="183" spans="1:25" x14ac:dyDescent="0.25">
      <c r="A183" s="2"/>
      <c r="B183" s="17">
        <f t="shared" si="16"/>
        <v>14</v>
      </c>
      <c r="C183" s="38" t="s">
        <v>2263</v>
      </c>
      <c r="D183" s="39"/>
      <c r="E183" s="68">
        <f ca="1">IFERROR(VLOOKUP(LEFT(C183,(LEN(C183)-2)),VOC!$C$12:$K$61,9,FALSE),0)</f>
        <v>0.66086956521739137</v>
      </c>
      <c r="F183" s="40"/>
      <c r="G183" s="41"/>
      <c r="H183" s="42"/>
      <c r="I183" s="329">
        <v>1</v>
      </c>
      <c r="J183" s="415" t="str">
        <f ca="1">TEXT("[percent] Weight percent of NMVOC that is ","")&amp;INDIRECT("'Species Data'!D"&amp;MATCH(LEFT('Data Summary'!C183,LEN(C183)-2),'Species Data'!E:E,0))</f>
        <v>[percent] Weight percent of NMVOC that is Cyclopentane</v>
      </c>
      <c r="K183" s="416"/>
      <c r="L183" s="416"/>
      <c r="M183" s="416"/>
      <c r="N183" s="416"/>
      <c r="O183" s="416"/>
      <c r="P183" s="417"/>
      <c r="Q183" s="2"/>
      <c r="R183" s="2"/>
      <c r="S183" s="2"/>
      <c r="T183" s="2"/>
      <c r="U183" s="2"/>
      <c r="V183" s="2"/>
      <c r="W183" s="2"/>
      <c r="X183" s="2"/>
      <c r="Y183" s="2"/>
    </row>
    <row r="184" spans="1:25" x14ac:dyDescent="0.25">
      <c r="A184" s="2"/>
      <c r="B184" s="17">
        <f>LEN(C184)</f>
        <v>12</v>
      </c>
      <c r="C184" s="38" t="s">
        <v>2264</v>
      </c>
      <c r="D184" s="39"/>
      <c r="E184" s="68">
        <f ca="1">IFERROR(VLOOKUP(LEFT(C184,(LEN(C184)-2)),VOC!$C$12:$K$61,9,FALSE),0)</f>
        <v>0.6434782608695655</v>
      </c>
      <c r="F184" s="40"/>
      <c r="G184" s="41"/>
      <c r="H184" s="42"/>
      <c r="I184" s="329">
        <v>1</v>
      </c>
      <c r="J184" s="415" t="str">
        <f ca="1">TEXT("[percent] Weight percent of NMVOC that is ","")&amp;INDIRECT("'Species Data'!D"&amp;MATCH(LEFT('Data Summary'!C184,LEN(C184)-2),'Species Data'!E:E,0))</f>
        <v>[percent] Weight percent of NMVOC that is Ethylbenzene</v>
      </c>
      <c r="K184" s="416"/>
      <c r="L184" s="416"/>
      <c r="M184" s="416"/>
      <c r="N184" s="416"/>
      <c r="O184" s="416"/>
      <c r="P184" s="417"/>
      <c r="Q184" s="2"/>
      <c r="R184" s="2"/>
      <c r="S184" s="2"/>
      <c r="T184" s="2"/>
      <c r="U184" s="2"/>
      <c r="V184" s="2"/>
      <c r="W184" s="2"/>
      <c r="X184" s="2"/>
      <c r="Y184" s="2"/>
    </row>
    <row r="185" spans="1:25" x14ac:dyDescent="0.25">
      <c r="A185" s="2"/>
      <c r="B185" s="17">
        <f>LEN(C185)</f>
        <v>12</v>
      </c>
      <c r="C185" s="38" t="s">
        <v>2265</v>
      </c>
      <c r="D185" s="39"/>
      <c r="E185" s="68">
        <f ca="1">IFERROR(VLOOKUP(LEFT(C185,(LEN(C185)-2)),VOC!$C$12:$K$61,9,FALSE),0)</f>
        <v>0</v>
      </c>
      <c r="F185" s="40"/>
      <c r="G185" s="41"/>
      <c r="H185" s="42"/>
      <c r="I185" s="329">
        <v>1</v>
      </c>
      <c r="J185" s="415" t="str">
        <f ca="1">TEXT("[percent] Weight percent of NMVOC that is ","")&amp;INDIRECT("'Species Data'!D"&amp;MATCH(LEFT('Data Summary'!C185,LEN(C185)-2),'Species Data'!E:E,0))</f>
        <v>[percent] Weight percent of NMVOC that is Ethylcyclohexane</v>
      </c>
      <c r="K185" s="416"/>
      <c r="L185" s="416"/>
      <c r="M185" s="416"/>
      <c r="N185" s="416"/>
      <c r="O185" s="416"/>
      <c r="P185" s="417"/>
      <c r="Q185" s="2"/>
      <c r="R185" s="2"/>
      <c r="S185" s="2"/>
      <c r="T185" s="2"/>
      <c r="U185" s="2"/>
      <c r="V185" s="2"/>
      <c r="W185" s="2"/>
      <c r="X185" s="2"/>
      <c r="Y185" s="2"/>
    </row>
    <row r="186" spans="1:25" x14ac:dyDescent="0.25">
      <c r="A186" s="2"/>
      <c r="B186" s="17">
        <f t="shared" si="16"/>
        <v>8</v>
      </c>
      <c r="C186" s="38" t="s">
        <v>2266</v>
      </c>
      <c r="D186" s="39"/>
      <c r="E186" s="68">
        <f ca="1">IFERROR(VLOOKUP(LEFT(C186,(LEN(C186)-2)),VOC!$C$12:$K$61,9,FALSE),0)</f>
        <v>6.2260869565217396</v>
      </c>
      <c r="F186" s="40"/>
      <c r="G186" s="41"/>
      <c r="H186" s="42"/>
      <c r="I186" s="329">
        <v>1</v>
      </c>
      <c r="J186" s="415" t="str">
        <f ca="1">TEXT("[percent] Weight percent of NMVOC that is ","")&amp;INDIRECT("'Species Data'!D"&amp;MATCH(LEFT('Data Summary'!C186,LEN(C186)-2),'Species Data'!E:E,0))</f>
        <v>[percent] Weight percent of NMVOC that is Isobutane</v>
      </c>
      <c r="K186" s="416"/>
      <c r="L186" s="416"/>
      <c r="M186" s="416"/>
      <c r="N186" s="416"/>
      <c r="O186" s="416"/>
      <c r="P186" s="417"/>
      <c r="Q186" s="2"/>
      <c r="R186" s="2"/>
      <c r="S186" s="2"/>
      <c r="T186" s="2"/>
      <c r="U186" s="2"/>
      <c r="V186" s="2"/>
      <c r="W186" s="2"/>
      <c r="X186" s="2"/>
      <c r="Y186" s="2"/>
    </row>
    <row r="187" spans="1:25" x14ac:dyDescent="0.25">
      <c r="A187" s="2"/>
      <c r="B187" s="17">
        <f t="shared" si="16"/>
        <v>12</v>
      </c>
      <c r="C187" s="38" t="s">
        <v>2267</v>
      </c>
      <c r="D187" s="39"/>
      <c r="E187" s="68">
        <f ca="1">IFERROR(VLOOKUP(LEFT(C187,(LEN(C187)-2)),VOC!$C$12:$K$61,9,FALSE),0)</f>
        <v>5.147826086956524</v>
      </c>
      <c r="F187" s="40"/>
      <c r="G187" s="41"/>
      <c r="H187" s="42"/>
      <c r="I187" s="329">
        <v>1</v>
      </c>
      <c r="J187" s="415" t="str">
        <f ca="1">TEXT("[percent] Weight percent of NMVOC that is ","")&amp;INDIRECT("'Species Data'!D"&amp;MATCH(LEFT('Data Summary'!C187,LEN(C187)-2),'Species Data'!E:E,0))</f>
        <v>[percent] Weight percent of NMVOC that is Isopentane (2-Methylbutane)</v>
      </c>
      <c r="K187" s="416"/>
      <c r="L187" s="416"/>
      <c r="M187" s="416"/>
      <c r="N187" s="416"/>
      <c r="O187" s="416"/>
      <c r="P187" s="417"/>
      <c r="Q187" s="2"/>
      <c r="R187" s="2"/>
      <c r="S187" s="2"/>
      <c r="T187" s="2"/>
      <c r="U187" s="2"/>
      <c r="V187" s="2"/>
      <c r="W187" s="2"/>
      <c r="X187" s="2"/>
      <c r="Y187" s="2"/>
    </row>
    <row r="188" spans="1:25" x14ac:dyDescent="0.25">
      <c r="A188" s="2"/>
      <c r="B188" s="17">
        <f t="shared" si="16"/>
        <v>9</v>
      </c>
      <c r="C188" s="38" t="s">
        <v>2268</v>
      </c>
      <c r="D188" s="39"/>
      <c r="E188" s="68">
        <f ca="1">IFERROR(VLOOKUP(LEFT(C188,(LEN(C188)-2)),VOC!$C$12:$K$61,9,FALSE),0)</f>
        <v>0.24347826086956528</v>
      </c>
      <c r="F188" s="40"/>
      <c r="G188" s="41"/>
      <c r="H188" s="42"/>
      <c r="I188" s="329">
        <v>1</v>
      </c>
      <c r="J188" s="415" t="str">
        <f ca="1">TEXT("[percent] Weight percent of NMVOC that is ","")&amp;INDIRECT("'Species Data'!D"&amp;MATCH(LEFT('Data Summary'!C188,LEN(C188)-2),'Species Data'!E:E,0))</f>
        <v>[percent] Weight percent of NMVOC that is Isopropylbenzene (cumene)</v>
      </c>
      <c r="K188" s="416"/>
      <c r="L188" s="416"/>
      <c r="M188" s="416"/>
      <c r="N188" s="416"/>
      <c r="O188" s="416"/>
      <c r="P188" s="417"/>
      <c r="Q188" s="2"/>
      <c r="R188" s="2"/>
      <c r="S188" s="2"/>
      <c r="T188" s="2"/>
      <c r="U188" s="2"/>
      <c r="V188" s="2"/>
      <c r="W188" s="2"/>
      <c r="X188" s="2"/>
      <c r="Y188" s="2"/>
    </row>
    <row r="189" spans="1:25" x14ac:dyDescent="0.25">
      <c r="A189" s="2"/>
      <c r="B189" s="17">
        <f t="shared" si="16"/>
        <v>8</v>
      </c>
      <c r="C189" s="38" t="s">
        <v>2269</v>
      </c>
      <c r="D189" s="39"/>
      <c r="E189" s="68">
        <f ca="1">IFERROR(VLOOKUP(LEFT(C189,(LEN(C189)-2)),VOC!$C$12:$K$61,9,FALSE),0)</f>
        <v>1.286956521739131</v>
      </c>
      <c r="F189" s="40"/>
      <c r="G189" s="41"/>
      <c r="H189" s="42"/>
      <c r="I189" s="329">
        <v>1</v>
      </c>
      <c r="J189" s="415" t="str">
        <f ca="1">TEXT("[percent] Weight percent of NMVOC that is ","")&amp;INDIRECT("'Species Data'!D"&amp;MATCH(LEFT('Data Summary'!C189,LEN(C189)-2),'Species Data'!E:E,0))</f>
        <v>[percent] Weight percent of NMVOC that is M &amp; p-xylene</v>
      </c>
      <c r="K189" s="416"/>
      <c r="L189" s="416"/>
      <c r="M189" s="416"/>
      <c r="N189" s="416"/>
      <c r="O189" s="416"/>
      <c r="P189" s="417"/>
      <c r="Q189" s="2"/>
      <c r="R189" s="2"/>
      <c r="S189" s="2"/>
      <c r="T189" s="2"/>
      <c r="U189" s="2"/>
      <c r="V189" s="2"/>
      <c r="W189" s="2"/>
      <c r="X189" s="2"/>
      <c r="Y189" s="2"/>
    </row>
    <row r="190" spans="1:25" x14ac:dyDescent="0.25">
      <c r="A190" s="2"/>
      <c r="B190" s="17">
        <f t="shared" si="16"/>
        <v>10</v>
      </c>
      <c r="C190" s="38" t="s">
        <v>2270</v>
      </c>
      <c r="D190" s="39"/>
      <c r="E190" s="68">
        <f ca="1">IFERROR(VLOOKUP(LEFT(C190,(LEN(C190)-2)),VOC!$C$12:$K$61,9,FALSE),0)</f>
        <v>0</v>
      </c>
      <c r="F190" s="40"/>
      <c r="G190" s="41"/>
      <c r="H190" s="42"/>
      <c r="I190" s="329">
        <v>1</v>
      </c>
      <c r="J190" s="415" t="str">
        <f ca="1">TEXT("[percent] Weight percent of NMVOC that is ","")&amp;INDIRECT("'Species Data'!D"&amp;MATCH(LEFT('Data Summary'!C190,LEN(C190)-2),'Species Data'!E:E,0))</f>
        <v>[percent] Weight percent of NMVOC that is M-xylene</v>
      </c>
      <c r="K190" s="416"/>
      <c r="L190" s="416"/>
      <c r="M190" s="416"/>
      <c r="N190" s="416"/>
      <c r="O190" s="416"/>
      <c r="P190" s="417"/>
      <c r="Q190" s="2"/>
      <c r="R190" s="2"/>
      <c r="S190" s="2"/>
      <c r="T190" s="2"/>
      <c r="U190" s="2"/>
      <c r="V190" s="2"/>
      <c r="W190" s="2"/>
      <c r="X190" s="2"/>
      <c r="Y190" s="2"/>
    </row>
    <row r="191" spans="1:25" x14ac:dyDescent="0.25">
      <c r="A191" s="2"/>
      <c r="B191" s="17">
        <f t="shared" si="16"/>
        <v>12</v>
      </c>
      <c r="C191" s="38" t="s">
        <v>2271</v>
      </c>
      <c r="D191" s="39"/>
      <c r="E191" s="68">
        <f ca="1">IFERROR(VLOOKUP(LEFT(C191,(LEN(C191)-2)),VOC!$C$12:$K$61,9,FALSE),0)</f>
        <v>1.0782608695652178</v>
      </c>
      <c r="F191" s="40"/>
      <c r="G191" s="41"/>
      <c r="H191" s="42"/>
      <c r="I191" s="329">
        <v>1</v>
      </c>
      <c r="J191" s="415" t="str">
        <f ca="1">TEXT("[percent] Weight percent of NMVOC that is ","")&amp;INDIRECT("'Species Data'!D"&amp;MATCH(LEFT('Data Summary'!C191,LEN(C191)-2),'Species Data'!E:E,0))</f>
        <v>[percent] Weight percent of NMVOC that is Methylcyclohexane</v>
      </c>
      <c r="K191" s="416"/>
      <c r="L191" s="416"/>
      <c r="M191" s="416"/>
      <c r="N191" s="416"/>
      <c r="O191" s="416"/>
      <c r="P191" s="417"/>
      <c r="Q191" s="2"/>
      <c r="R191" s="2"/>
      <c r="S191" s="2"/>
      <c r="T191" s="2"/>
      <c r="U191" s="2"/>
      <c r="V191" s="2"/>
      <c r="W191" s="2"/>
      <c r="X191" s="2"/>
      <c r="Y191" s="2"/>
    </row>
    <row r="192" spans="1:25" x14ac:dyDescent="0.25">
      <c r="A192" s="2"/>
      <c r="B192" s="17">
        <f t="shared" si="16"/>
        <v>12</v>
      </c>
      <c r="C192" s="38" t="s">
        <v>2272</v>
      </c>
      <c r="D192" s="39"/>
      <c r="E192" s="68">
        <f ca="1">IFERROR(VLOOKUP(LEFT(C192,(LEN(C192)-2)),VOC!$C$12:$K$61,9,FALSE),0)</f>
        <v>1.6521739130434785</v>
      </c>
      <c r="F192" s="40"/>
      <c r="G192" s="41"/>
      <c r="H192" s="42"/>
      <c r="I192" s="329">
        <v>1</v>
      </c>
      <c r="J192" s="415" t="str">
        <f ca="1">TEXT("[percent] Weight percent of NMVOC that is ","")&amp;INDIRECT("'Species Data'!D"&amp;MATCH(LEFT('Data Summary'!C192,LEN(C192)-2),'Species Data'!E:E,0))</f>
        <v>[percent] Weight percent of NMVOC that is Methylcyclopentane</v>
      </c>
      <c r="K192" s="416"/>
      <c r="L192" s="416"/>
      <c r="M192" s="416"/>
      <c r="N192" s="416"/>
      <c r="O192" s="416"/>
      <c r="P192" s="417"/>
      <c r="Q192" s="2"/>
      <c r="R192" s="2"/>
      <c r="S192" s="2"/>
      <c r="T192" s="2"/>
      <c r="U192" s="2"/>
      <c r="V192" s="2"/>
      <c r="W192" s="2"/>
      <c r="X192" s="2"/>
      <c r="Y192" s="2"/>
    </row>
    <row r="193" spans="1:25" x14ac:dyDescent="0.25">
      <c r="A193" s="2"/>
      <c r="B193" s="17">
        <f t="shared" si="16"/>
        <v>10</v>
      </c>
      <c r="C193" s="38" t="s">
        <v>2273</v>
      </c>
      <c r="D193" s="39"/>
      <c r="E193" s="68">
        <f ca="1">IFERROR(VLOOKUP(LEFT(C193,(LEN(C193)-2)),VOC!$C$12:$K$61,9,FALSE),0)</f>
        <v>0</v>
      </c>
      <c r="F193" s="40"/>
      <c r="G193" s="41"/>
      <c r="H193" s="42"/>
      <c r="I193" s="329">
        <v>1</v>
      </c>
      <c r="J193" s="415" t="str">
        <f ca="1">TEXT("[percent] Weight percent of NMVOC that is ","")&amp;INDIRECT("'Species Data'!D"&amp;MATCH(LEFT('Data Summary'!C193,LEN(C193)-2),'Species Data'!E:E,0))</f>
        <v>[percent] Weight percent of NMVOC that is Methylcyclopentane</v>
      </c>
      <c r="K193" s="416"/>
      <c r="L193" s="416"/>
      <c r="M193" s="416"/>
      <c r="N193" s="416"/>
      <c r="O193" s="416"/>
      <c r="P193" s="417"/>
      <c r="Q193" s="2"/>
      <c r="R193" s="2"/>
      <c r="S193" s="2"/>
      <c r="T193" s="2"/>
      <c r="U193" s="2"/>
      <c r="V193" s="2"/>
      <c r="W193" s="2"/>
      <c r="X193" s="2"/>
      <c r="Y193" s="2"/>
    </row>
    <row r="194" spans="1:25" x14ac:dyDescent="0.25">
      <c r="A194" s="2"/>
      <c r="B194" s="17">
        <f t="shared" si="16"/>
        <v>7</v>
      </c>
      <c r="C194" s="38" t="s">
        <v>2274</v>
      </c>
      <c r="D194" s="39"/>
      <c r="E194" s="68">
        <f ca="1">IFERROR(VLOOKUP(LEFT(C194,(LEN(C194)-2)),VOC!$C$12:$K$61,9,FALSE),0)</f>
        <v>16.452173913043485</v>
      </c>
      <c r="F194" s="40"/>
      <c r="G194" s="41"/>
      <c r="H194" s="42"/>
      <c r="I194" s="329">
        <v>1</v>
      </c>
      <c r="J194" s="415" t="str">
        <f ca="1">TEXT("[percent] Weight percent of NMVOC that is ","")&amp;INDIRECT("'Species Data'!D"&amp;MATCH(LEFT('Data Summary'!C194,LEN(C194)-2),'Species Data'!E:E,0))</f>
        <v>[percent] Weight percent of NMVOC that is N-butane</v>
      </c>
      <c r="K194" s="416"/>
      <c r="L194" s="416"/>
      <c r="M194" s="416"/>
      <c r="N194" s="416"/>
      <c r="O194" s="416"/>
      <c r="P194" s="417"/>
      <c r="Q194" s="2"/>
      <c r="R194" s="2"/>
      <c r="S194" s="2"/>
      <c r="T194" s="2"/>
      <c r="U194" s="2"/>
      <c r="V194" s="2"/>
      <c r="W194" s="2"/>
      <c r="X194" s="2"/>
      <c r="Y194" s="2"/>
    </row>
    <row r="195" spans="1:25" x14ac:dyDescent="0.25">
      <c r="A195" s="2"/>
      <c r="B195" s="17">
        <f t="shared" si="16"/>
        <v>7</v>
      </c>
      <c r="C195" s="38" t="s">
        <v>2275</v>
      </c>
      <c r="D195" s="39"/>
      <c r="E195" s="68">
        <f ca="1">IFERROR(VLOOKUP(LEFT(C195,(LEN(C195)-2)),VOC!$C$12:$K$61,9,FALSE),0)</f>
        <v>0.80000000000000016</v>
      </c>
      <c r="F195" s="40"/>
      <c r="G195" s="41"/>
      <c r="H195" s="42"/>
      <c r="I195" s="329">
        <v>1</v>
      </c>
      <c r="J195" s="415" t="str">
        <f ca="1">TEXT("[percent] Weight percent of NMVOC that is ","")&amp;INDIRECT("'Species Data'!D"&amp;MATCH(LEFT('Data Summary'!C195,LEN(C195)-2),'Species Data'!E:E,0))</f>
        <v>[percent] Weight percent of NMVOC that is N-decane</v>
      </c>
      <c r="K195" s="416"/>
      <c r="L195" s="416"/>
      <c r="M195" s="416"/>
      <c r="N195" s="416"/>
      <c r="O195" s="416"/>
      <c r="P195" s="417"/>
      <c r="Q195" s="2"/>
      <c r="R195" s="2"/>
      <c r="S195" s="2"/>
      <c r="T195" s="2"/>
      <c r="U195" s="2"/>
      <c r="V195" s="2"/>
      <c r="W195" s="2"/>
      <c r="X195" s="2"/>
      <c r="Y195" s="2"/>
    </row>
    <row r="196" spans="1:25" x14ac:dyDescent="0.25">
      <c r="A196" s="2"/>
      <c r="B196" s="17">
        <f t="shared" si="16"/>
        <v>7</v>
      </c>
      <c r="C196" s="38" t="s">
        <v>2276</v>
      </c>
      <c r="D196" s="39"/>
      <c r="E196" s="68">
        <f ca="1">IFERROR(VLOOKUP(LEFT(C196,(LEN(C196)-2)),VOC!$C$12:$K$61,9,FALSE),0)</f>
        <v>1.8782608695652177</v>
      </c>
      <c r="F196" s="40"/>
      <c r="G196" s="41"/>
      <c r="H196" s="42"/>
      <c r="I196" s="329">
        <v>1</v>
      </c>
      <c r="J196" s="415" t="str">
        <f ca="1">TEXT("[percent] Weight percent of NMVOC that is ","")&amp;INDIRECT("'Species Data'!D"&amp;MATCH(LEFT('Data Summary'!C196,LEN(C196)-2),'Species Data'!E:E,0))</f>
        <v>[percent] Weight percent of NMVOC that is N-heptane</v>
      </c>
      <c r="K196" s="416"/>
      <c r="L196" s="416"/>
      <c r="M196" s="416"/>
      <c r="N196" s="416"/>
      <c r="O196" s="416"/>
      <c r="P196" s="417"/>
      <c r="Q196" s="2"/>
      <c r="R196" s="2"/>
      <c r="S196" s="2"/>
      <c r="T196" s="2"/>
      <c r="U196" s="2"/>
      <c r="V196" s="2"/>
      <c r="W196" s="2"/>
      <c r="X196" s="2"/>
      <c r="Y196" s="2"/>
    </row>
    <row r="197" spans="1:25" x14ac:dyDescent="0.25">
      <c r="A197" s="2"/>
      <c r="B197" s="17">
        <f t="shared" si="16"/>
        <v>7</v>
      </c>
      <c r="C197" s="38" t="s">
        <v>2277</v>
      </c>
      <c r="D197" s="39"/>
      <c r="E197" s="68">
        <f ca="1">IFERROR(VLOOKUP(LEFT(C197,(LEN(C197)-2)),VOC!$C$12:$K$61,9,FALSE),0)</f>
        <v>2.8521739130434787</v>
      </c>
      <c r="F197" s="40"/>
      <c r="G197" s="41"/>
      <c r="H197" s="42"/>
      <c r="I197" s="329">
        <v>1</v>
      </c>
      <c r="J197" s="415" t="str">
        <f ca="1">TEXT("[percent] Weight percent of NMVOC that is ","")&amp;INDIRECT("'Species Data'!D"&amp;MATCH(LEFT('Data Summary'!C197,LEN(C197)-2),'Species Data'!E:E,0))</f>
        <v>[percent] Weight percent of NMVOC that is N-hexane</v>
      </c>
      <c r="K197" s="416"/>
      <c r="L197" s="416"/>
      <c r="M197" s="416"/>
      <c r="N197" s="416"/>
      <c r="O197" s="416"/>
      <c r="P197" s="417"/>
      <c r="Q197" s="2"/>
      <c r="R197" s="2"/>
      <c r="S197" s="2"/>
      <c r="T197" s="2"/>
      <c r="U197" s="2"/>
      <c r="V197" s="2"/>
      <c r="W197" s="2"/>
      <c r="X197" s="2"/>
      <c r="Y197" s="2"/>
    </row>
    <row r="198" spans="1:25" x14ac:dyDescent="0.25">
      <c r="A198" s="2"/>
      <c r="B198" s="17">
        <f t="shared" si="16"/>
        <v>10</v>
      </c>
      <c r="C198" s="38" t="s">
        <v>2278</v>
      </c>
      <c r="D198" s="39"/>
      <c r="E198" s="68">
        <f ca="1">IFERROR(VLOOKUP(LEFT(C198,(LEN(C198)-2)),VOC!$C$12:$K$61,9,FALSE),0)</f>
        <v>1.0782608695652178</v>
      </c>
      <c r="F198" s="40"/>
      <c r="G198" s="41"/>
      <c r="H198" s="42"/>
      <c r="I198" s="329">
        <v>1</v>
      </c>
      <c r="J198" s="415" t="str">
        <f ca="1">TEXT("[percent] Weight percent of NMVOC that is ","")&amp;INDIRECT("'Species Data'!D"&amp;MATCH(LEFT('Data Summary'!C198,LEN(C198)-2),'Species Data'!E:E,0))</f>
        <v>[percent] Weight percent of NMVOC that is N-nonane</v>
      </c>
      <c r="K198" s="416"/>
      <c r="L198" s="416"/>
      <c r="M198" s="416"/>
      <c r="N198" s="416"/>
      <c r="O198" s="416"/>
      <c r="P198" s="417"/>
      <c r="Q198" s="2"/>
      <c r="R198" s="2"/>
      <c r="S198" s="2"/>
      <c r="T198" s="2"/>
      <c r="U198" s="2"/>
      <c r="V198" s="2"/>
      <c r="W198" s="2"/>
      <c r="X198" s="2"/>
      <c r="Y198" s="2"/>
    </row>
    <row r="199" spans="1:25" x14ac:dyDescent="0.25">
      <c r="A199" s="2"/>
      <c r="B199" s="17">
        <f t="shared" si="16"/>
        <v>10</v>
      </c>
      <c r="C199" s="38" t="s">
        <v>2279</v>
      </c>
      <c r="D199" s="39"/>
      <c r="E199" s="68">
        <f ca="1">IFERROR(VLOOKUP(LEFT(C199,(LEN(C199)-2)),VOC!$C$12:$K$61,9,FALSE),0)</f>
        <v>1.3913043478260871</v>
      </c>
      <c r="F199" s="40"/>
      <c r="G199" s="41"/>
      <c r="H199" s="42"/>
      <c r="I199" s="329">
        <v>1</v>
      </c>
      <c r="J199" s="415" t="str">
        <f ca="1">TEXT("[percent] Weight percent of NMVOC that is ","")&amp;INDIRECT("'Species Data'!D"&amp;MATCH(LEFT('Data Summary'!C199,LEN(C199)-2),'Species Data'!E:E,0))</f>
        <v>[percent] Weight percent of NMVOC that is N-octane</v>
      </c>
      <c r="K199" s="416"/>
      <c r="L199" s="416"/>
      <c r="M199" s="416"/>
      <c r="N199" s="416"/>
      <c r="O199" s="416"/>
      <c r="P199" s="417"/>
      <c r="Q199" s="2"/>
      <c r="R199" s="2"/>
      <c r="S199" s="2"/>
      <c r="T199" s="2"/>
      <c r="U199" s="2"/>
      <c r="V199" s="2"/>
      <c r="W199" s="2"/>
      <c r="X199" s="2"/>
      <c r="Y199" s="2"/>
    </row>
    <row r="200" spans="1:25" x14ac:dyDescent="0.25">
      <c r="A200" s="2"/>
      <c r="B200" s="17">
        <f t="shared" si="16"/>
        <v>11</v>
      </c>
      <c r="C200" s="38" t="s">
        <v>2280</v>
      </c>
      <c r="D200" s="39"/>
      <c r="E200" s="68">
        <f ca="1">IFERROR(VLOOKUP(LEFT(C200,(LEN(C200)-2)),VOC!$C$12:$K$61,9,FALSE),0)</f>
        <v>5.7217391304347833</v>
      </c>
      <c r="F200" s="40"/>
      <c r="G200" s="41"/>
      <c r="H200" s="42"/>
      <c r="I200" s="329">
        <v>1</v>
      </c>
      <c r="J200" s="415" t="str">
        <f ca="1">TEXT("[percent] Weight percent of NMVOC that is ","")&amp;INDIRECT("'Species Data'!D"&amp;MATCH(LEFT('Data Summary'!C200,LEN(C200)-2),'Species Data'!E:E,0))</f>
        <v>[percent] Weight percent of NMVOC that is N-pentane</v>
      </c>
      <c r="K200" s="416"/>
      <c r="L200" s="416"/>
      <c r="M200" s="416"/>
      <c r="N200" s="416"/>
      <c r="O200" s="416"/>
      <c r="P200" s="417"/>
      <c r="Q200" s="2"/>
      <c r="R200" s="2"/>
      <c r="S200" s="2"/>
      <c r="T200" s="2"/>
      <c r="U200" s="2"/>
      <c r="V200" s="2"/>
      <c r="W200" s="2"/>
      <c r="X200" s="2"/>
      <c r="Y200" s="2"/>
    </row>
    <row r="201" spans="1:25" x14ac:dyDescent="0.25">
      <c r="A201" s="2"/>
      <c r="B201" s="17">
        <f t="shared" si="16"/>
        <v>10</v>
      </c>
      <c r="C201" s="38" t="s">
        <v>2281</v>
      </c>
      <c r="D201" s="39"/>
      <c r="E201" s="68">
        <f ca="1">IFERROR(VLOOKUP(LEFT(C201,(LEN(C201)-2)),VOC!$C$12:$K$61,9,FALSE),0)</f>
        <v>0.19130434782608699</v>
      </c>
      <c r="F201" s="40"/>
      <c r="G201" s="41"/>
      <c r="H201" s="42"/>
      <c r="I201" s="329">
        <v>1</v>
      </c>
      <c r="J201" s="415" t="str">
        <f ca="1">TEXT("[percent] Weight percent of NMVOC that is ","")&amp;INDIRECT("'Species Data'!D"&amp;MATCH(LEFT('Data Summary'!C201,LEN(C201)-2),'Species Data'!E:E,0))</f>
        <v>[percent] Weight percent of NMVOC that is N-propylbenzene</v>
      </c>
      <c r="K201" s="416"/>
      <c r="L201" s="416"/>
      <c r="M201" s="416"/>
      <c r="N201" s="416"/>
      <c r="O201" s="416"/>
      <c r="P201" s="417"/>
      <c r="Q201" s="2"/>
      <c r="R201" s="2"/>
      <c r="S201" s="2"/>
      <c r="T201" s="2"/>
      <c r="U201" s="2"/>
      <c r="V201" s="2"/>
      <c r="W201" s="2"/>
      <c r="X201" s="2"/>
      <c r="Y201" s="2"/>
    </row>
    <row r="202" spans="1:25" x14ac:dyDescent="0.25">
      <c r="A202" s="2"/>
      <c r="B202" s="17">
        <f t="shared" si="16"/>
        <v>10</v>
      </c>
      <c r="C202" s="38" t="s">
        <v>2282</v>
      </c>
      <c r="D202" s="39"/>
      <c r="E202" s="68">
        <f ca="1">IFERROR(VLOOKUP(LEFT(C202,(LEN(C202)-2)),VOC!$C$12:$K$61,9,FALSE),0)</f>
        <v>0.78260869565217395</v>
      </c>
      <c r="F202" s="40"/>
      <c r="G202" s="41"/>
      <c r="H202" s="42"/>
      <c r="I202" s="329">
        <v>1</v>
      </c>
      <c r="J202" s="415" t="str">
        <f ca="1">TEXT("[percent] Weight percent of NMVOC that is ","")&amp;INDIRECT("'Species Data'!D"&amp;MATCH(LEFT('Data Summary'!C202,LEN(C202)-2),'Species Data'!E:E,0))</f>
        <v>[percent] Weight percent of NMVOC that is O-xylene</v>
      </c>
      <c r="K202" s="416"/>
      <c r="L202" s="416"/>
      <c r="M202" s="416"/>
      <c r="N202" s="416"/>
      <c r="O202" s="416"/>
      <c r="P202" s="417"/>
      <c r="Q202" s="2"/>
      <c r="R202" s="2"/>
      <c r="S202" s="2"/>
      <c r="T202" s="2"/>
      <c r="U202" s="2"/>
      <c r="V202" s="2"/>
      <c r="W202" s="2"/>
      <c r="X202" s="2"/>
      <c r="Y202" s="2"/>
    </row>
    <row r="203" spans="1:25" x14ac:dyDescent="0.25">
      <c r="A203" s="2"/>
      <c r="B203" s="17">
        <f t="shared" si="16"/>
        <v>10</v>
      </c>
      <c r="C203" s="38" t="s">
        <v>2283</v>
      </c>
      <c r="D203" s="39"/>
      <c r="E203" s="68">
        <f ca="1">IFERROR(VLOOKUP(LEFT(C203,(LEN(C203)-2)),VOC!$C$12:$K$61,9,FALSE),0)</f>
        <v>0</v>
      </c>
      <c r="F203" s="40"/>
      <c r="G203" s="41"/>
      <c r="H203" s="42"/>
      <c r="I203" s="329">
        <v>1</v>
      </c>
      <c r="J203" s="415" t="str">
        <f ca="1">TEXT("[percent] Weight percent of NMVOC that is ","")&amp;INDIRECT("'Species Data'!D"&amp;MATCH(LEFT('Data Summary'!C203,LEN(C203)-2),'Species Data'!E:E,0))</f>
        <v>[percent] Weight percent of NMVOC that is P-xylene</v>
      </c>
      <c r="K203" s="416"/>
      <c r="L203" s="416"/>
      <c r="M203" s="416"/>
      <c r="N203" s="416"/>
      <c r="O203" s="416"/>
      <c r="P203" s="417"/>
      <c r="Q203" s="2"/>
      <c r="R203" s="2"/>
      <c r="S203" s="2"/>
      <c r="T203" s="2"/>
      <c r="U203" s="2"/>
      <c r="V203" s="2"/>
      <c r="W203" s="2"/>
      <c r="X203" s="2"/>
      <c r="Y203" s="2"/>
    </row>
    <row r="204" spans="1:25" x14ac:dyDescent="0.25">
      <c r="A204" s="2"/>
      <c r="B204" s="17">
        <f t="shared" si="16"/>
        <v>9</v>
      </c>
      <c r="C204" s="38" t="s">
        <v>2284</v>
      </c>
      <c r="D204" s="39"/>
      <c r="E204" s="68">
        <f ca="1">IFERROR(VLOOKUP(LEFT(C204,(LEN(C204)-2)),VOC!$C$12:$K$61,9,FALSE),0)</f>
        <v>0</v>
      </c>
      <c r="F204" s="40"/>
      <c r="G204" s="41"/>
      <c r="H204" s="42"/>
      <c r="I204" s="329">
        <v>1</v>
      </c>
      <c r="J204" s="415" t="str">
        <f ca="1">TEXT("[percent] Weight percent of NMVOC that is ","")&amp;INDIRECT("'Species Data'!D"&amp;MATCH(LEFT('Data Summary'!C204,LEN(C204)-2),'Species Data'!E:E,0))</f>
        <v>[percent] Weight percent of NMVOC that is Propane</v>
      </c>
      <c r="K204" s="416"/>
      <c r="L204" s="416"/>
      <c r="M204" s="416"/>
      <c r="N204" s="416"/>
      <c r="O204" s="416"/>
      <c r="P204" s="417"/>
      <c r="Q204" s="2"/>
      <c r="R204" s="2"/>
      <c r="S204" s="2"/>
      <c r="T204" s="2"/>
      <c r="U204" s="2"/>
      <c r="V204" s="2"/>
      <c r="W204" s="2"/>
      <c r="X204" s="2"/>
      <c r="Y204" s="2"/>
    </row>
    <row r="205" spans="1:25" x14ac:dyDescent="0.25">
      <c r="A205" s="2"/>
      <c r="B205" s="17">
        <f t="shared" si="16"/>
        <v>11</v>
      </c>
      <c r="C205" s="38" t="s">
        <v>2285</v>
      </c>
      <c r="D205" s="39"/>
      <c r="E205" s="68">
        <f ca="1">IFERROR(VLOOKUP(LEFT(C205,(LEN(C205)-2)),VOC!$C$12:$K$61,9,FALSE),0)</f>
        <v>0</v>
      </c>
      <c r="F205" s="40"/>
      <c r="G205" s="41"/>
      <c r="H205" s="42"/>
      <c r="I205" s="329">
        <v>1</v>
      </c>
      <c r="J205" s="415" t="str">
        <f ca="1">TEXT("[percent] Weight percent of NMVOC that is ","")&amp;INDIRECT("'Species Data'!D"&amp;MATCH(LEFT('Data Summary'!C205,LEN(C205)-2),'Species Data'!E:E,0))</f>
        <v>[percent] Weight percent of NMVOC that is Propylene</v>
      </c>
      <c r="K205" s="416"/>
      <c r="L205" s="416"/>
      <c r="M205" s="416"/>
      <c r="N205" s="416"/>
      <c r="O205" s="416"/>
      <c r="P205" s="417"/>
      <c r="Q205" s="2"/>
      <c r="R205" s="2"/>
      <c r="S205" s="2"/>
      <c r="T205" s="2"/>
      <c r="U205" s="2"/>
      <c r="V205" s="2"/>
      <c r="W205" s="2"/>
      <c r="X205" s="2"/>
      <c r="Y205" s="2"/>
    </row>
    <row r="206" spans="1:25" x14ac:dyDescent="0.25">
      <c r="A206" s="2"/>
      <c r="B206" s="17">
        <f t="shared" si="16"/>
        <v>9</v>
      </c>
      <c r="C206" s="38" t="s">
        <v>2286</v>
      </c>
      <c r="D206" s="39"/>
      <c r="E206" s="68">
        <f ca="1">IFERROR(VLOOKUP(LEFT(C206,(LEN(C206)-2)),VOC!$C$12:$K$61,9,FALSE),0)</f>
        <v>3.252173913043479</v>
      </c>
      <c r="F206" s="40"/>
      <c r="G206" s="41"/>
      <c r="H206" s="42"/>
      <c r="I206" s="329">
        <v>1</v>
      </c>
      <c r="J206" s="415" t="str">
        <f ca="1">TEXT("[percent] Weight percent of NMVOC that is ","")&amp;INDIRECT("'Species Data'!D"&amp;MATCH(LEFT('Data Summary'!C206,LEN(C206)-2),'Species Data'!E:E,0))</f>
        <v>[percent] Weight percent of NMVOC that is Toluene</v>
      </c>
      <c r="K206" s="416"/>
      <c r="L206" s="416"/>
      <c r="M206" s="416"/>
      <c r="N206" s="416"/>
      <c r="O206" s="416"/>
      <c r="P206" s="417"/>
      <c r="Q206" s="2"/>
      <c r="R206" s="2"/>
      <c r="S206" s="2"/>
      <c r="T206" s="2"/>
      <c r="U206" s="2"/>
      <c r="V206" s="2"/>
      <c r="W206" s="2"/>
      <c r="X206" s="2"/>
      <c r="Y206" s="2"/>
    </row>
    <row r="207" spans="1:25" x14ac:dyDescent="0.25">
      <c r="A207" s="2"/>
      <c r="B207" s="17">
        <f t="shared" si="16"/>
        <v>13</v>
      </c>
      <c r="C207" s="38" t="s">
        <v>2287</v>
      </c>
      <c r="D207" s="39"/>
      <c r="E207" s="68">
        <f ca="1">IFERROR(VLOOKUP(LEFT(C207,(LEN(C207)-2)),VOC!$C$12:$K$61,9,FALSE),0)</f>
        <v>0</v>
      </c>
      <c r="F207" s="40"/>
      <c r="G207" s="41"/>
      <c r="H207" s="42"/>
      <c r="I207" s="329">
        <v>1</v>
      </c>
      <c r="J207" s="415" t="str">
        <f ca="1">TEXT("[percent] Weight percent of NMVOC that is ","")&amp;INDIRECT("'Species Data'!D"&amp;MATCH(LEFT('Data Summary'!C207,LEN(C207)-2),'Species Data'!E:E,0))</f>
        <v>[percent] Weight percent of NMVOC that is Isomers of pentane</v>
      </c>
      <c r="K207" s="416"/>
      <c r="L207" s="416"/>
      <c r="M207" s="416"/>
      <c r="N207" s="416"/>
      <c r="O207" s="416"/>
      <c r="P207" s="417"/>
      <c r="Q207" s="2"/>
      <c r="R207" s="2"/>
      <c r="S207" s="2"/>
      <c r="T207" s="2"/>
      <c r="U207" s="2"/>
      <c r="V207" s="2"/>
      <c r="W207" s="2"/>
      <c r="X207" s="2"/>
      <c r="Y207" s="2"/>
    </row>
    <row r="208" spans="1:25" x14ac:dyDescent="0.25">
      <c r="A208" s="2"/>
      <c r="B208" s="17">
        <f t="shared" si="16"/>
        <v>11</v>
      </c>
      <c r="C208" s="38" t="s">
        <v>2288</v>
      </c>
      <c r="D208" s="39"/>
      <c r="E208" s="68">
        <f ca="1">IFERROR(VLOOKUP(LEFT(C208,(LEN(C208)-2)),VOC!$C$12:$K$61,9,FALSE),0)</f>
        <v>30.000000000000011</v>
      </c>
      <c r="F208" s="40"/>
      <c r="G208" s="41"/>
      <c r="H208" s="42"/>
      <c r="I208" s="329">
        <v>1</v>
      </c>
      <c r="J208" s="415" t="str">
        <f ca="1">TEXT("[percent] Weight percent of NMVOC that is ","")&amp;INDIRECT("'Species Data'!D"&amp;MATCH(LEFT('Data Summary'!C208,LEN(C208)-2),'Species Data'!E:E,0))</f>
        <v>[percent] Weight percent of NMVOC that is Undefined VOC</v>
      </c>
      <c r="K208" s="416"/>
      <c r="L208" s="416"/>
      <c r="M208" s="416"/>
      <c r="N208" s="416"/>
      <c r="O208" s="416"/>
      <c r="P208" s="417"/>
      <c r="Q208" s="2"/>
      <c r="R208" s="2"/>
      <c r="S208" s="2"/>
      <c r="T208" s="2"/>
      <c r="U208" s="2"/>
      <c r="V208" s="2"/>
      <c r="W208" s="2"/>
      <c r="X208" s="2"/>
      <c r="Y208" s="2"/>
    </row>
    <row r="209" spans="1:25" x14ac:dyDescent="0.25">
      <c r="A209" s="2"/>
      <c r="B209" s="17">
        <f t="shared" si="16"/>
        <v>11</v>
      </c>
      <c r="C209" s="38" t="s">
        <v>2289</v>
      </c>
      <c r="D209" s="39"/>
      <c r="E209" s="68">
        <f ca="1">IFERROR(VLOOKUP(LEFT(C209,(LEN(C209)-2)),VOC!$C$12:$K$61,9,FALSE),0)</f>
        <v>0</v>
      </c>
      <c r="F209" s="40"/>
      <c r="G209" s="41"/>
      <c r="H209" s="42"/>
      <c r="I209" s="329">
        <v>1</v>
      </c>
      <c r="J209" s="415" t="str">
        <f ca="1">TEXT("[percent] Weight percent of NMVOC that is ","")&amp;INDIRECT("'Species Data'!D"&amp;MATCH(LEFT('Data Summary'!C209,LEN(C209)-2),'Species Data'!E:E,0))</f>
        <v>[percent] Weight percent of NMVOC that is Isomers of hexane</v>
      </c>
      <c r="K209" s="416"/>
      <c r="L209" s="416"/>
      <c r="M209" s="416"/>
      <c r="N209" s="416"/>
      <c r="O209" s="416"/>
      <c r="P209" s="417"/>
      <c r="Q209" s="2"/>
      <c r="R209" s="2"/>
      <c r="S209" s="2"/>
      <c r="T209" s="2"/>
      <c r="U209" s="2"/>
      <c r="V209" s="2"/>
      <c r="W209" s="2"/>
      <c r="X209" s="2"/>
      <c r="Y209" s="2"/>
    </row>
    <row r="210" spans="1:25" x14ac:dyDescent="0.25">
      <c r="A210" s="2"/>
      <c r="B210" s="17">
        <f t="shared" ref="B210:B218" si="23">LEN(C210)</f>
        <v>12</v>
      </c>
      <c r="C210" s="38" t="s">
        <v>2290</v>
      </c>
      <c r="D210" s="39"/>
      <c r="E210" s="68">
        <f ca="1">IFERROR(VLOOKUP(LEFT(C210,(LEN(C210)-2)),VOC!$C$12:$K$61,9,FALSE),0)</f>
        <v>0</v>
      </c>
      <c r="F210" s="40"/>
      <c r="G210" s="41"/>
      <c r="H210" s="42"/>
      <c r="I210" s="329">
        <v>1</v>
      </c>
      <c r="J210" s="415" t="str">
        <f ca="1">TEXT("[percent] Weight percent of NMVOC that is ","")&amp;INDIRECT("'Species Data'!D"&amp;MATCH(LEFT('Data Summary'!C210,LEN(C210)-2),'Species Data'!E:E,0))</f>
        <v>[percent] Weight percent of NMVOC that is Isomers of heptane</v>
      </c>
      <c r="K210" s="416"/>
      <c r="L210" s="416"/>
      <c r="M210" s="416"/>
      <c r="N210" s="416"/>
      <c r="O210" s="416"/>
      <c r="P210" s="417"/>
      <c r="Q210" s="2"/>
      <c r="R210" s="2"/>
      <c r="S210" s="2"/>
      <c r="T210" s="2"/>
      <c r="U210" s="2"/>
      <c r="V210" s="2"/>
      <c r="W210" s="2"/>
      <c r="X210" s="2"/>
      <c r="Y210" s="2"/>
    </row>
    <row r="211" spans="1:25" x14ac:dyDescent="0.25">
      <c r="A211" s="2"/>
      <c r="B211" s="17">
        <f t="shared" si="23"/>
        <v>10</v>
      </c>
      <c r="C211" s="38" t="s">
        <v>2291</v>
      </c>
      <c r="D211" s="39"/>
      <c r="E211" s="68">
        <f ca="1">IFERROR(VLOOKUP(LEFT(C211,(LEN(C211)-2)),VOC!$C$12:$K$61,9,FALSE),0)</f>
        <v>1.5478260869565219</v>
      </c>
      <c r="F211" s="40"/>
      <c r="G211" s="41"/>
      <c r="H211" s="42"/>
      <c r="I211" s="329">
        <v>1</v>
      </c>
      <c r="J211" s="415" t="str">
        <f ca="1">TEXT("[percent] Weight percent of NMVOC that is ","")&amp;INDIRECT("'Species Data'!D"&amp;MATCH(LEFT('Data Summary'!C211,LEN(C211)-2),'Species Data'!E:E,0))</f>
        <v>[percent] Weight percent of NMVOC that is 1-butene</v>
      </c>
      <c r="K211" s="416"/>
      <c r="L211" s="416"/>
      <c r="M211" s="416"/>
      <c r="N211" s="416"/>
      <c r="O211" s="416"/>
      <c r="P211" s="417"/>
      <c r="Q211" s="2"/>
      <c r="R211" s="2"/>
      <c r="S211" s="2"/>
      <c r="T211" s="2"/>
      <c r="U211" s="2"/>
      <c r="V211" s="2"/>
      <c r="W211" s="2"/>
      <c r="X211" s="2"/>
      <c r="Y211" s="2"/>
    </row>
    <row r="212" spans="1:25" x14ac:dyDescent="0.25">
      <c r="A212" s="2"/>
      <c r="B212" s="17">
        <f t="shared" si="23"/>
        <v>11</v>
      </c>
      <c r="C212" s="38" t="s">
        <v>2292</v>
      </c>
      <c r="D212" s="39"/>
      <c r="E212" s="68">
        <f ca="1">IFERROR(VLOOKUP(LEFT(C212,(LEN(C212)-2)),VOC!$C$12:$K$61,9,FALSE),0)</f>
        <v>0.62608695652173929</v>
      </c>
      <c r="F212" s="40"/>
      <c r="G212" s="41"/>
      <c r="H212" s="42"/>
      <c r="I212" s="329">
        <v>1</v>
      </c>
      <c r="J212" s="415" t="str">
        <f ca="1">TEXT("[percent] Weight percent of NMVOC that is ","")&amp;INDIRECT("'Species Data'!D"&amp;MATCH(LEFT('Data Summary'!C212,LEN(C212)-2),'Species Data'!E:E,0))</f>
        <v>[percent] Weight percent of NMVOC that is 1-pentene</v>
      </c>
      <c r="K212" s="416"/>
      <c r="L212" s="416"/>
      <c r="M212" s="416"/>
      <c r="N212" s="416"/>
      <c r="O212" s="416"/>
      <c r="P212" s="417"/>
      <c r="Q212" s="2"/>
      <c r="R212" s="2"/>
      <c r="S212" s="2"/>
      <c r="T212" s="2"/>
      <c r="U212" s="2"/>
      <c r="V212" s="2"/>
      <c r="W212" s="2"/>
      <c r="X212" s="2"/>
      <c r="Y212" s="2"/>
    </row>
    <row r="213" spans="1:25" x14ac:dyDescent="0.25">
      <c r="A213" s="2"/>
      <c r="B213" s="17">
        <f t="shared" si="23"/>
        <v>12</v>
      </c>
      <c r="C213" s="38" t="s">
        <v>2293</v>
      </c>
      <c r="D213" s="39"/>
      <c r="E213" s="68">
        <f ca="1">IFERROR(VLOOKUP(LEFT(C213,(LEN(C213)-2)),VOC!$C$12:$K$61,9,FALSE),0)</f>
        <v>0.41739130434782623</v>
      </c>
      <c r="F213" s="40"/>
      <c r="G213" s="41"/>
      <c r="H213" s="42"/>
      <c r="I213" s="329">
        <v>1</v>
      </c>
      <c r="J213" s="415" t="str">
        <f ca="1">TEXT("[percent] Weight percent of NMVOC that is ","")&amp;INDIRECT("'Species Data'!D"&amp;MATCH(LEFT('Data Summary'!C213,LEN(C213)-2),'Species Data'!E:E,0))</f>
        <v>[percent] Weight percent of NMVOC that is Cis-2-butene</v>
      </c>
      <c r="K213" s="416"/>
      <c r="L213" s="416"/>
      <c r="M213" s="416"/>
      <c r="N213" s="416"/>
      <c r="O213" s="416"/>
      <c r="P213" s="417"/>
      <c r="Q213" s="2"/>
      <c r="R213" s="2"/>
      <c r="S213" s="2"/>
      <c r="T213" s="2"/>
      <c r="U213" s="2"/>
      <c r="V213" s="2"/>
      <c r="W213" s="2"/>
      <c r="X213" s="2"/>
      <c r="Y213" s="2"/>
    </row>
    <row r="214" spans="1:25" x14ac:dyDescent="0.25">
      <c r="A214" s="2"/>
      <c r="B214" s="17">
        <f t="shared" si="23"/>
        <v>13</v>
      </c>
      <c r="C214" s="38" t="s">
        <v>2294</v>
      </c>
      <c r="D214" s="39"/>
      <c r="E214" s="68">
        <f ca="1">IFERROR(VLOOKUP(LEFT(C214,(LEN(C214)-2)),VOC!$C$12:$K$61,9,FALSE),0)</f>
        <v>0.20869565217391312</v>
      </c>
      <c r="F214" s="40"/>
      <c r="G214" s="41"/>
      <c r="H214" s="42"/>
      <c r="I214" s="329">
        <v>1</v>
      </c>
      <c r="J214" s="415" t="str">
        <f ca="1">TEXT("[percent] Weight percent of NMVOC that is ","")&amp;INDIRECT("'Species Data'!D"&amp;MATCH(LEFT('Data Summary'!C214,LEN(C214)-2),'Species Data'!E:E,0))</f>
        <v>[percent] Weight percent of NMVOC that is Cis-2-pentene</v>
      </c>
      <c r="K214" s="416"/>
      <c r="L214" s="416"/>
      <c r="M214" s="416"/>
      <c r="N214" s="416"/>
      <c r="O214" s="416"/>
      <c r="P214" s="417"/>
      <c r="Q214" s="2"/>
      <c r="R214" s="2"/>
      <c r="S214" s="2"/>
      <c r="T214" s="2"/>
      <c r="U214" s="2"/>
      <c r="V214" s="2"/>
      <c r="W214" s="2"/>
      <c r="X214" s="2"/>
      <c r="Y214" s="2"/>
    </row>
    <row r="215" spans="1:25" x14ac:dyDescent="0.25">
      <c r="A215" s="2"/>
      <c r="B215" s="17">
        <f t="shared" si="23"/>
        <v>10</v>
      </c>
      <c r="C215" s="38" t="s">
        <v>2295</v>
      </c>
      <c r="D215" s="39"/>
      <c r="E215" s="68">
        <f ca="1">IFERROR(VLOOKUP(LEFT(C215,(LEN(C215)-2)),VOC!$C$12:$K$61,9,FALSE),0)</f>
        <v>3.4782608695652181E-2</v>
      </c>
      <c r="F215" s="40"/>
      <c r="G215" s="41"/>
      <c r="H215" s="42"/>
      <c r="I215" s="329">
        <v>1</v>
      </c>
      <c r="J215" s="415" t="str">
        <f ca="1">TEXT("[percent] Weight percent of NMVOC that is ","")&amp;INDIRECT("'Species Data'!D"&amp;MATCH(LEFT('Data Summary'!C215,LEN(C215)-2),'Species Data'!E:E,0))</f>
        <v>[percent] Weight percent of NMVOC that is Isoprene (2-methyl-1,3-butadiene)</v>
      </c>
      <c r="K215" s="416"/>
      <c r="L215" s="416"/>
      <c r="M215" s="416"/>
      <c r="N215" s="416"/>
      <c r="O215" s="416"/>
      <c r="P215" s="417"/>
      <c r="Q215" s="2"/>
      <c r="R215" s="2"/>
      <c r="S215" s="2"/>
      <c r="T215" s="2"/>
      <c r="U215" s="2"/>
      <c r="V215" s="2"/>
      <c r="W215" s="2"/>
      <c r="X215" s="2"/>
      <c r="Y215" s="2"/>
    </row>
    <row r="216" spans="1:25" x14ac:dyDescent="0.25">
      <c r="A216" s="2"/>
      <c r="B216" s="17">
        <f t="shared" si="23"/>
        <v>9</v>
      </c>
      <c r="C216" s="38" t="s">
        <v>2296</v>
      </c>
      <c r="D216" s="39"/>
      <c r="E216" s="68">
        <f ca="1">IFERROR(VLOOKUP(LEFT(C216,(LEN(C216)-2)),VOC!$C$12:$K$61,9,FALSE),0)</f>
        <v>0.38260869565217398</v>
      </c>
      <c r="F216" s="40"/>
      <c r="G216" s="41"/>
      <c r="H216" s="42"/>
      <c r="I216" s="329">
        <v>1</v>
      </c>
      <c r="J216" s="415" t="str">
        <f ca="1">TEXT("[percent] Weight percent of NMVOC that is ","")&amp;INDIRECT("'Species Data'!D"&amp;MATCH(LEFT('Data Summary'!C216,LEN(C216)-2),'Species Data'!E:E,0))</f>
        <v>[percent] Weight percent of NMVOC that is Styrene</v>
      </c>
      <c r="K216" s="416"/>
      <c r="L216" s="416"/>
      <c r="M216" s="416"/>
      <c r="N216" s="416"/>
      <c r="O216" s="416"/>
      <c r="P216" s="417"/>
      <c r="Q216" s="2"/>
      <c r="R216" s="2"/>
      <c r="S216" s="2"/>
      <c r="T216" s="2"/>
      <c r="U216" s="2"/>
      <c r="V216" s="2"/>
      <c r="W216" s="2"/>
      <c r="X216" s="2"/>
      <c r="Y216" s="2"/>
    </row>
    <row r="217" spans="1:25" x14ac:dyDescent="0.25">
      <c r="A217" s="2"/>
      <c r="B217" s="17">
        <f t="shared" si="23"/>
        <v>12</v>
      </c>
      <c r="C217" s="38" t="s">
        <v>2297</v>
      </c>
      <c r="D217" s="39"/>
      <c r="E217" s="68">
        <f ca="1">IFERROR(VLOOKUP(LEFT(C217,(LEN(C217)-2)),VOC!$C$12:$K$61,9,FALSE),0)</f>
        <v>0.45217391304347831</v>
      </c>
      <c r="F217" s="40"/>
      <c r="G217" s="41"/>
      <c r="H217" s="42"/>
      <c r="I217" s="329">
        <v>1</v>
      </c>
      <c r="J217" s="415" t="str">
        <f ca="1">TEXT("[percent] Weight percent of NMVOC that is ","")&amp;INDIRECT("'Species Data'!D"&amp;MATCH(LEFT('Data Summary'!C217,LEN(C217)-2),'Species Data'!E:E,0))</f>
        <v>[percent] Weight percent of NMVOC that is Trans-2-butene</v>
      </c>
      <c r="K217" s="416"/>
      <c r="L217" s="416"/>
      <c r="M217" s="416"/>
      <c r="N217" s="416"/>
      <c r="O217" s="416"/>
      <c r="P217" s="417"/>
      <c r="Q217" s="2"/>
      <c r="R217" s="2"/>
      <c r="S217" s="2"/>
      <c r="T217" s="2"/>
      <c r="U217" s="2"/>
      <c r="V217" s="2"/>
      <c r="W217" s="2"/>
      <c r="X217" s="2"/>
      <c r="Y217" s="2"/>
    </row>
    <row r="218" spans="1:25" x14ac:dyDescent="0.25">
      <c r="A218" s="2"/>
      <c r="B218" s="17">
        <f t="shared" si="23"/>
        <v>13</v>
      </c>
      <c r="C218" s="38" t="s">
        <v>2298</v>
      </c>
      <c r="D218" s="39"/>
      <c r="E218" s="68">
        <f ca="1">IFERROR(VLOOKUP(LEFT(C218,(LEN(C218)-2)),VOC!$C$12:$K$61,9,FALSE),0)</f>
        <v>0.41739130434782623</v>
      </c>
      <c r="F218" s="40"/>
      <c r="G218" s="41"/>
      <c r="H218" s="42"/>
      <c r="I218" s="329">
        <v>1</v>
      </c>
      <c r="J218" s="415" t="str">
        <f ca="1">TEXT("[percent] Weight percent of NMVOC that is ","")&amp;INDIRECT("'Species Data'!D"&amp;MATCH(LEFT('Data Summary'!C218,LEN(C218)-2),'Species Data'!E:E,0))</f>
        <v>[percent] Weight percent of NMVOC that is Trans-2-pentene</v>
      </c>
      <c r="K218" s="416"/>
      <c r="L218" s="416"/>
      <c r="M218" s="416"/>
      <c r="N218" s="416"/>
      <c r="O218" s="416"/>
      <c r="P218" s="417"/>
      <c r="Q218" s="2"/>
      <c r="R218" s="2"/>
      <c r="S218" s="2"/>
      <c r="T218" s="2"/>
      <c r="U218" s="2"/>
      <c r="V218" s="2"/>
      <c r="W218" s="2"/>
      <c r="X218" s="2"/>
      <c r="Y218" s="2"/>
    </row>
    <row r="219" spans="1:25" x14ac:dyDescent="0.25">
      <c r="A219" s="2"/>
      <c r="B219" s="17">
        <f t="shared" ref="B219:B245" si="24">LEN(C219)</f>
        <v>12</v>
      </c>
      <c r="C219" s="38" t="str">
        <f>LEFT(C163,LEN(C163)-2)</f>
        <v>trimetben124</v>
      </c>
      <c r="D219" s="39" t="str">
        <f t="shared" ref="D219:D250" si="25">C163&amp;"/100*"&amp;$C$141</f>
        <v>trimetben124_p/100*VOC</v>
      </c>
      <c r="E219" s="68">
        <f ca="1">E163/100*$E$141</f>
        <v>3.532396301311506E-7</v>
      </c>
      <c r="F219" s="40"/>
      <c r="G219" s="41"/>
      <c r="H219" s="42" t="s">
        <v>489</v>
      </c>
      <c r="I219" s="40" t="s">
        <v>2235</v>
      </c>
      <c r="J219" s="415" t="str">
        <f ca="1">TEXT("[kg/kg] kg ","")&amp;INDIRECT("'Species Data'!D"&amp;MATCH('Data Summary'!C219,'Species Data'!E:E,0)) &amp; " per kg crude throughput"</f>
        <v>[kg/kg] kg 1,2,4-trimethylbenzene  (1,3,4-trimethylbenzene) per kg crude throughput</v>
      </c>
      <c r="K219" s="416"/>
      <c r="L219" s="416"/>
      <c r="M219" s="416"/>
      <c r="N219" s="416"/>
      <c r="O219" s="416"/>
      <c r="P219" s="417"/>
      <c r="Q219" s="2"/>
      <c r="R219" s="2"/>
      <c r="S219" s="2"/>
      <c r="T219" s="2"/>
      <c r="U219" s="2"/>
      <c r="V219" s="2"/>
      <c r="W219" s="2"/>
      <c r="X219" s="2"/>
      <c r="Y219" s="2"/>
    </row>
    <row r="220" spans="1:25" x14ac:dyDescent="0.25">
      <c r="A220" s="2"/>
      <c r="B220" s="17">
        <f t="shared" si="24"/>
        <v>13</v>
      </c>
      <c r="C220" s="38" t="str">
        <f t="shared" ref="C220:C274" si="26">LEFT(C164,LEN(C164)-2)</f>
        <v>trimethben135</v>
      </c>
      <c r="D220" s="39" t="str">
        <f t="shared" si="25"/>
        <v>trimethben135_p/100*VOC</v>
      </c>
      <c r="E220" s="68">
        <f t="shared" ref="E220:E274" ca="1" si="27">E164/100*$E$141</f>
        <v>1.9371205523321157E-7</v>
      </c>
      <c r="F220" s="40"/>
      <c r="G220" s="41"/>
      <c r="H220" s="42" t="s">
        <v>489</v>
      </c>
      <c r="I220" s="40" t="s">
        <v>2235</v>
      </c>
      <c r="J220" s="415" t="str">
        <f ca="1">TEXT("[kg/kg] kg ","")&amp;INDIRECT("'Species Data'!D"&amp;MATCH('Data Summary'!C220,'Species Data'!E:E,0)) &amp; " per kg crude throughput"</f>
        <v>[kg/kg] kg 1,3,5-trimethylbenzene per kg crude throughput</v>
      </c>
      <c r="K220" s="416"/>
      <c r="L220" s="416"/>
      <c r="M220" s="416"/>
      <c r="N220" s="416"/>
      <c r="O220" s="416"/>
      <c r="P220" s="417"/>
      <c r="Q220" s="2"/>
      <c r="R220" s="2"/>
      <c r="S220" s="2"/>
      <c r="T220" s="2"/>
      <c r="U220" s="2"/>
      <c r="V220" s="2"/>
      <c r="W220" s="2"/>
      <c r="X220" s="2"/>
      <c r="Y220" s="2"/>
    </row>
    <row r="221" spans="1:25" x14ac:dyDescent="0.25">
      <c r="A221" s="2"/>
      <c r="B221" s="17">
        <f t="shared" si="24"/>
        <v>8</v>
      </c>
      <c r="C221" s="38" t="str">
        <f t="shared" si="26"/>
        <v>ethben12</v>
      </c>
      <c r="D221" s="39" t="str">
        <f t="shared" si="25"/>
        <v>ethben12_p/100*VOC</v>
      </c>
      <c r="E221" s="68">
        <f t="shared" ca="1" si="27"/>
        <v>1.1394826778424209E-7</v>
      </c>
      <c r="F221" s="40"/>
      <c r="G221" s="41"/>
      <c r="H221" s="42" t="s">
        <v>489</v>
      </c>
      <c r="I221" s="40" t="s">
        <v>2235</v>
      </c>
      <c r="J221" s="415" t="str">
        <f ca="1">TEXT("[kg/kg] kg ","")&amp;INDIRECT("'Species Data'!D"&amp;MATCH('Data Summary'!C221,'Species Data'!E:E,0)) &amp; " per kg crude throughput"</f>
        <v>[kg/kg] kg 1-Methyl-2-ethylbenzene per kg crude throughput</v>
      </c>
      <c r="K221" s="416"/>
      <c r="L221" s="416"/>
      <c r="M221" s="416"/>
      <c r="N221" s="416"/>
      <c r="O221" s="416"/>
      <c r="P221" s="417"/>
      <c r="Q221" s="2"/>
      <c r="R221" s="2"/>
      <c r="S221" s="2"/>
      <c r="T221" s="2"/>
      <c r="U221" s="2"/>
      <c r="V221" s="2"/>
      <c r="W221" s="2"/>
      <c r="X221" s="2"/>
      <c r="Y221" s="2"/>
    </row>
    <row r="222" spans="1:25" x14ac:dyDescent="0.25">
      <c r="A222" s="2"/>
      <c r="B222" s="17">
        <f t="shared" si="24"/>
        <v>8</v>
      </c>
      <c r="C222" s="38" t="str">
        <f t="shared" si="26"/>
        <v>ethben13</v>
      </c>
      <c r="D222" s="39" t="str">
        <f t="shared" si="25"/>
        <v>ethben13_p/100*VOC</v>
      </c>
      <c r="E222" s="68">
        <f t="shared" ca="1" si="27"/>
        <v>2.5068618912533258E-7</v>
      </c>
      <c r="F222" s="40"/>
      <c r="G222" s="41"/>
      <c r="H222" s="42" t="s">
        <v>489</v>
      </c>
      <c r="I222" s="40" t="s">
        <v>2235</v>
      </c>
      <c r="J222" s="415" t="str">
        <f ca="1">TEXT("[kg/kg] kg ","")&amp;INDIRECT("'Species Data'!D"&amp;MATCH('Data Summary'!C222,'Species Data'!E:E,0)) &amp; " per kg crude throughput"</f>
        <v>[kg/kg] kg 1-Methyl-3-ethylbenzene (3-Ethyltoluene) per kg crude throughput</v>
      </c>
      <c r="K222" s="416"/>
      <c r="L222" s="416"/>
      <c r="M222" s="416"/>
      <c r="N222" s="416"/>
      <c r="O222" s="416"/>
      <c r="P222" s="417"/>
      <c r="Q222" s="2"/>
      <c r="R222" s="2"/>
      <c r="S222" s="2"/>
      <c r="T222" s="2"/>
      <c r="U222" s="2"/>
      <c r="V222" s="2"/>
      <c r="W222" s="2"/>
      <c r="X222" s="2"/>
      <c r="Y222" s="2"/>
    </row>
    <row r="223" spans="1:25" x14ac:dyDescent="0.25">
      <c r="A223" s="2"/>
      <c r="B223" s="17">
        <f t="shared" si="24"/>
        <v>10</v>
      </c>
      <c r="C223" s="38" t="str">
        <f t="shared" si="26"/>
        <v>trimetpen2</v>
      </c>
      <c r="D223" s="39" t="str">
        <f t="shared" si="25"/>
        <v>trimetpen2_p/100*VOC</v>
      </c>
      <c r="E223" s="68">
        <f t="shared" ca="1" si="27"/>
        <v>0</v>
      </c>
      <c r="F223" s="40"/>
      <c r="G223" s="41"/>
      <c r="H223" s="42" t="s">
        <v>489</v>
      </c>
      <c r="I223" s="40" t="s">
        <v>2235</v>
      </c>
      <c r="J223" s="415" t="str">
        <f ca="1">TEXT("[kg/kg] kg ","")&amp;INDIRECT("'Species Data'!D"&amp;MATCH('Data Summary'!C223,'Species Data'!E:E,0)) &amp; " per kg crude throughput"</f>
        <v>[kg/kg] kg 2,2,4-trimethylpentane per kg crude throughput</v>
      </c>
      <c r="K223" s="416"/>
      <c r="L223" s="416"/>
      <c r="M223" s="416"/>
      <c r="N223" s="416"/>
      <c r="O223" s="416"/>
      <c r="P223" s="417"/>
      <c r="Q223" s="2"/>
      <c r="R223" s="2"/>
      <c r="S223" s="2"/>
      <c r="T223" s="2"/>
      <c r="U223" s="2"/>
      <c r="V223" s="2"/>
      <c r="W223" s="2"/>
      <c r="X223" s="2"/>
      <c r="Y223" s="2"/>
    </row>
    <row r="224" spans="1:25" x14ac:dyDescent="0.25">
      <c r="A224" s="2"/>
      <c r="B224" s="17">
        <f t="shared" si="24"/>
        <v>10</v>
      </c>
      <c r="C224" s="38" t="str">
        <f t="shared" si="26"/>
        <v>dimetbut22</v>
      </c>
      <c r="D224" s="39" t="str">
        <f t="shared" si="25"/>
        <v>dimetbut22_p/100*VOC</v>
      </c>
      <c r="E224" s="68">
        <f t="shared" ca="1" si="27"/>
        <v>7.9763787448969477E-8</v>
      </c>
      <c r="F224" s="40"/>
      <c r="G224" s="41"/>
      <c r="H224" s="42" t="s">
        <v>489</v>
      </c>
      <c r="I224" s="40" t="s">
        <v>2235</v>
      </c>
      <c r="J224" s="415" t="str">
        <f ca="1">TEXT("[kg/kg] kg ","")&amp;INDIRECT("'Species Data'!D"&amp;MATCH('Data Summary'!C224,'Species Data'!E:E,0)) &amp; " per kg crude throughput"</f>
        <v>[kg/kg] kg 2,2-dimethylbutane per kg crude throughput</v>
      </c>
      <c r="K224" s="416"/>
      <c r="L224" s="416"/>
      <c r="M224" s="416"/>
      <c r="N224" s="416"/>
      <c r="O224" s="416"/>
      <c r="P224" s="417"/>
      <c r="Q224" s="2"/>
      <c r="R224" s="2"/>
      <c r="S224" s="2"/>
      <c r="T224" s="2"/>
      <c r="U224" s="2"/>
      <c r="V224" s="2"/>
      <c r="W224" s="2"/>
      <c r="X224" s="2"/>
      <c r="Y224" s="2"/>
    </row>
    <row r="225" spans="1:25" x14ac:dyDescent="0.25">
      <c r="A225" s="2"/>
      <c r="B225" s="17">
        <f t="shared" si="24"/>
        <v>11</v>
      </c>
      <c r="C225" s="38" t="str">
        <f t="shared" si="26"/>
        <v>trimentpen3</v>
      </c>
      <c r="D225" s="39" t="str">
        <f t="shared" si="25"/>
        <v>trimentpen3_p/100*VOC</v>
      </c>
      <c r="E225" s="68">
        <f t="shared" ca="1" si="27"/>
        <v>6.8368960670545266E-7</v>
      </c>
      <c r="F225" s="40"/>
      <c r="G225" s="41"/>
      <c r="H225" s="42" t="s">
        <v>489</v>
      </c>
      <c r="I225" s="40" t="s">
        <v>2235</v>
      </c>
      <c r="J225" s="415" t="str">
        <f ca="1">TEXT("[kg/kg] kg ","")&amp;INDIRECT("'Species Data'!D"&amp;MATCH('Data Summary'!C225,'Species Data'!E:E,0)) &amp; " per kg crude throughput"</f>
        <v>[kg/kg] kg 2,3,4-trimethylpentane per kg crude throughput</v>
      </c>
      <c r="K225" s="416"/>
      <c r="L225" s="416"/>
      <c r="M225" s="416"/>
      <c r="N225" s="416"/>
      <c r="O225" s="416"/>
      <c r="P225" s="417"/>
      <c r="Q225" s="2"/>
      <c r="R225" s="2"/>
      <c r="S225" s="2"/>
      <c r="T225" s="2"/>
      <c r="U225" s="2"/>
      <c r="V225" s="2"/>
      <c r="W225" s="2"/>
      <c r="X225" s="2"/>
      <c r="Y225" s="2"/>
    </row>
    <row r="226" spans="1:25" x14ac:dyDescent="0.25">
      <c r="A226" s="2"/>
      <c r="B226" s="17">
        <f t="shared" si="24"/>
        <v>8</v>
      </c>
      <c r="C226" s="38" t="str">
        <f t="shared" si="26"/>
        <v>dimetbut</v>
      </c>
      <c r="D226" s="39" t="str">
        <f t="shared" si="25"/>
        <v>dimetbut_p/100*VOC</v>
      </c>
      <c r="E226" s="68">
        <f t="shared" ca="1" si="27"/>
        <v>3.532396301311506E-7</v>
      </c>
      <c r="F226" s="40"/>
      <c r="G226" s="41"/>
      <c r="H226" s="42" t="s">
        <v>489</v>
      </c>
      <c r="I226" s="40" t="s">
        <v>2235</v>
      </c>
      <c r="J226" s="415" t="str">
        <f ca="1">TEXT("[kg/kg] kg ","")&amp;INDIRECT("'Species Data'!D"&amp;MATCH('Data Summary'!C226,'Species Data'!E:E,0)) &amp; " per kg crude throughput"</f>
        <v>[kg/kg] kg 2,3-dimethylbutane per kg crude throughput</v>
      </c>
      <c r="K226" s="416"/>
      <c r="L226" s="416"/>
      <c r="M226" s="416"/>
      <c r="N226" s="416"/>
      <c r="O226" s="416"/>
      <c r="P226" s="417"/>
      <c r="Q226" s="2"/>
      <c r="R226" s="2"/>
      <c r="S226" s="2"/>
      <c r="T226" s="2"/>
      <c r="U226" s="2"/>
      <c r="V226" s="2"/>
      <c r="W226" s="2"/>
      <c r="X226" s="2"/>
      <c r="Y226" s="2"/>
    </row>
    <row r="227" spans="1:25" x14ac:dyDescent="0.25">
      <c r="A227" s="2"/>
      <c r="B227" s="17">
        <f t="shared" si="24"/>
        <v>11</v>
      </c>
      <c r="C227" s="38" t="str">
        <f t="shared" si="26"/>
        <v>dimethhex23</v>
      </c>
      <c r="D227" s="39" t="str">
        <f t="shared" si="25"/>
        <v>dimethhex23_p/100*VOC</v>
      </c>
      <c r="E227" s="68">
        <f t="shared" ca="1" si="27"/>
        <v>0</v>
      </c>
      <c r="F227" s="40"/>
      <c r="G227" s="41"/>
      <c r="H227" s="42" t="s">
        <v>489</v>
      </c>
      <c r="I227" s="40" t="s">
        <v>2235</v>
      </c>
      <c r="J227" s="415" t="str">
        <f ca="1">TEXT("[kg/kg] kg ","")&amp;INDIRECT("'Species Data'!D"&amp;MATCH('Data Summary'!C227,'Species Data'!E:E,0)) &amp; " per kg crude throughput"</f>
        <v>[kg/kg] kg 2,3-dimethylhexane per kg crude throughput</v>
      </c>
      <c r="K227" s="416"/>
      <c r="L227" s="416"/>
      <c r="M227" s="416"/>
      <c r="N227" s="416"/>
      <c r="O227" s="416"/>
      <c r="P227" s="417"/>
      <c r="Q227" s="2"/>
      <c r="R227" s="2"/>
      <c r="S227" s="2"/>
      <c r="T227" s="2"/>
      <c r="U227" s="2"/>
      <c r="V227" s="2"/>
      <c r="W227" s="2"/>
      <c r="X227" s="2"/>
      <c r="Y227" s="2"/>
    </row>
    <row r="228" spans="1:25" x14ac:dyDescent="0.25">
      <c r="A228" s="2"/>
      <c r="B228" s="17">
        <f t="shared" si="24"/>
        <v>9</v>
      </c>
      <c r="C228" s="38" t="str">
        <f t="shared" si="26"/>
        <v>dimetpen3</v>
      </c>
      <c r="D228" s="39" t="str">
        <f t="shared" si="25"/>
        <v>dimetpen3_p/100*VOC</v>
      </c>
      <c r="E228" s="68">
        <f t="shared" ca="1" si="27"/>
        <v>1.1052981975071484E-6</v>
      </c>
      <c r="F228" s="40"/>
      <c r="G228" s="41"/>
      <c r="H228" s="42" t="s">
        <v>489</v>
      </c>
      <c r="I228" s="40" t="s">
        <v>2235</v>
      </c>
      <c r="J228" s="415" t="str">
        <f ca="1">TEXT("[kg/kg] kg ","")&amp;INDIRECT("'Species Data'!D"&amp;MATCH('Data Summary'!C228,'Species Data'!E:E,0)) &amp; " per kg crude throughput"</f>
        <v>[kg/kg] kg 2,3-dimethylpentane per kg crude throughput</v>
      </c>
      <c r="K228" s="416"/>
      <c r="L228" s="416"/>
      <c r="M228" s="416"/>
      <c r="N228" s="416"/>
      <c r="O228" s="416"/>
      <c r="P228" s="417"/>
      <c r="Q228" s="2"/>
      <c r="R228" s="2"/>
      <c r="S228" s="2"/>
      <c r="T228" s="2"/>
      <c r="U228" s="2"/>
      <c r="V228" s="2"/>
      <c r="W228" s="2"/>
      <c r="X228" s="2"/>
      <c r="Y228" s="2"/>
    </row>
    <row r="229" spans="1:25" x14ac:dyDescent="0.25">
      <c r="A229" s="2"/>
      <c r="B229" s="17">
        <f t="shared" si="24"/>
        <v>11</v>
      </c>
      <c r="C229" s="38" t="str">
        <f t="shared" si="26"/>
        <v>dimethhex24</v>
      </c>
      <c r="D229" s="39" t="str">
        <f t="shared" si="25"/>
        <v>dimethhex24_p/100*VOC</v>
      </c>
      <c r="E229" s="68">
        <f t="shared" ca="1" si="27"/>
        <v>0</v>
      </c>
      <c r="F229" s="40"/>
      <c r="G229" s="41"/>
      <c r="H229" s="42" t="s">
        <v>489</v>
      </c>
      <c r="I229" s="40" t="s">
        <v>2235</v>
      </c>
      <c r="J229" s="415" t="str">
        <f ca="1">TEXT("[kg/kg] kg ","")&amp;INDIRECT("'Species Data'!D"&amp;MATCH('Data Summary'!C229,'Species Data'!E:E,0)) &amp; " per kg crude throughput"</f>
        <v>[kg/kg] kg 2,4-dimethylhexane per kg crude throughput</v>
      </c>
      <c r="K229" s="416"/>
      <c r="L229" s="416"/>
      <c r="M229" s="416"/>
      <c r="N229" s="416"/>
      <c r="O229" s="416"/>
      <c r="P229" s="417"/>
      <c r="Q229" s="2"/>
      <c r="R229" s="2"/>
      <c r="S229" s="2"/>
      <c r="T229" s="2"/>
      <c r="U229" s="2"/>
      <c r="V229" s="2"/>
      <c r="W229" s="2"/>
      <c r="X229" s="2"/>
      <c r="Y229" s="2"/>
    </row>
    <row r="230" spans="1:25" x14ac:dyDescent="0.25">
      <c r="A230" s="2"/>
      <c r="B230" s="17">
        <f t="shared" si="24"/>
        <v>9</v>
      </c>
      <c r="C230" s="38" t="str">
        <f t="shared" si="26"/>
        <v>dimetpen4</v>
      </c>
      <c r="D230" s="39" t="str">
        <f t="shared" si="25"/>
        <v>dimetpen4_p/100*VOC</v>
      </c>
      <c r="E230" s="68">
        <f t="shared" ca="1" si="27"/>
        <v>6.1532064603490728E-7</v>
      </c>
      <c r="F230" s="40"/>
      <c r="G230" s="41"/>
      <c r="H230" s="42" t="s">
        <v>489</v>
      </c>
      <c r="I230" s="40" t="s">
        <v>2235</v>
      </c>
      <c r="J230" s="415" t="str">
        <f ca="1">TEXT("[kg/kg] kg ","")&amp;INDIRECT("'Species Data'!D"&amp;MATCH('Data Summary'!C230,'Species Data'!E:E,0)) &amp; " per kg crude throughput"</f>
        <v>[kg/kg] kg 2,4-dimethylpentane per kg crude throughput</v>
      </c>
      <c r="K230" s="416"/>
      <c r="L230" s="416"/>
      <c r="M230" s="416"/>
      <c r="N230" s="416"/>
      <c r="O230" s="416"/>
      <c r="P230" s="417"/>
      <c r="Q230" s="2"/>
      <c r="R230" s="2"/>
      <c r="S230" s="2"/>
      <c r="T230" s="2"/>
      <c r="U230" s="2"/>
      <c r="V230" s="2"/>
      <c r="W230" s="2"/>
      <c r="X230" s="2"/>
      <c r="Y230" s="2"/>
    </row>
    <row r="231" spans="1:25" x14ac:dyDescent="0.25">
      <c r="A231" s="2"/>
      <c r="B231" s="17">
        <f t="shared" si="24"/>
        <v>7</v>
      </c>
      <c r="C231" s="38" t="str">
        <f t="shared" si="26"/>
        <v>methep2</v>
      </c>
      <c r="D231" s="39" t="str">
        <f t="shared" si="25"/>
        <v>methep2_p/100*VOC</v>
      </c>
      <c r="E231" s="68">
        <f t="shared" ca="1" si="27"/>
        <v>3.646344569095747E-7</v>
      </c>
      <c r="F231" s="40"/>
      <c r="G231" s="41"/>
      <c r="H231" s="42" t="s">
        <v>489</v>
      </c>
      <c r="I231" s="40" t="s">
        <v>2235</v>
      </c>
      <c r="J231" s="415" t="str">
        <f ca="1">TEXT("[kg/kg] kg ","")&amp;INDIRECT("'Species Data'!D"&amp;MATCH('Data Summary'!C231,'Species Data'!E:E,0)) &amp; " per kg crude throughput"</f>
        <v>[kg/kg] kg 2-methylheptane per kg crude throughput</v>
      </c>
      <c r="K231" s="416"/>
      <c r="L231" s="416"/>
      <c r="M231" s="416"/>
      <c r="N231" s="416"/>
      <c r="O231" s="416"/>
      <c r="P231" s="417"/>
      <c r="Q231" s="2"/>
      <c r="R231" s="2"/>
      <c r="S231" s="2"/>
      <c r="T231" s="2"/>
      <c r="U231" s="2"/>
      <c r="V231" s="2"/>
      <c r="W231" s="2"/>
      <c r="X231" s="2"/>
      <c r="Y231" s="2"/>
    </row>
    <row r="232" spans="1:25" x14ac:dyDescent="0.25">
      <c r="A232" s="2"/>
      <c r="B232" s="17">
        <f t="shared" si="24"/>
        <v>9</v>
      </c>
      <c r="C232" s="38" t="str">
        <f t="shared" si="26"/>
        <v>twomethex</v>
      </c>
      <c r="D232" s="39" t="str">
        <f t="shared" si="25"/>
        <v>twomethex_p/100*VOC</v>
      </c>
      <c r="E232" s="68">
        <f t="shared" ca="1" si="27"/>
        <v>5.0137237825066515E-7</v>
      </c>
      <c r="F232" s="40"/>
      <c r="G232" s="41"/>
      <c r="H232" s="42" t="s">
        <v>489</v>
      </c>
      <c r="I232" s="40" t="s">
        <v>2235</v>
      </c>
      <c r="J232" s="415" t="str">
        <f ca="1">TEXT("[kg/kg] kg ","")&amp;INDIRECT("'Species Data'!D"&amp;MATCH('Data Summary'!C232,'Species Data'!E:E,0)) &amp; " per kg crude throughput"</f>
        <v>[kg/kg] kg 2-methylhexane per kg crude throughput</v>
      </c>
      <c r="K232" s="416"/>
      <c r="L232" s="416"/>
      <c r="M232" s="416"/>
      <c r="N232" s="416"/>
      <c r="O232" s="416"/>
      <c r="P232" s="417"/>
      <c r="Q232" s="2"/>
      <c r="R232" s="2"/>
      <c r="S232" s="2"/>
      <c r="T232" s="2"/>
      <c r="U232" s="2"/>
      <c r="V232" s="2"/>
      <c r="W232" s="2"/>
      <c r="X232" s="2"/>
      <c r="Y232" s="2"/>
    </row>
    <row r="233" spans="1:25" x14ac:dyDescent="0.25">
      <c r="A233" s="2"/>
      <c r="B233" s="17">
        <f t="shared" si="24"/>
        <v>9</v>
      </c>
      <c r="C233" s="38" t="str">
        <f t="shared" si="26"/>
        <v>twometpen</v>
      </c>
      <c r="D233" s="39" t="str">
        <f t="shared" si="25"/>
        <v>twometpen_p/100*VOC</v>
      </c>
      <c r="E233" s="68">
        <f t="shared" ca="1" si="27"/>
        <v>1.3331947330756327E-6</v>
      </c>
      <c r="F233" s="40"/>
      <c r="G233" s="41"/>
      <c r="H233" s="42" t="s">
        <v>489</v>
      </c>
      <c r="I233" s="40" t="s">
        <v>2235</v>
      </c>
      <c r="J233" s="415" t="str">
        <f ca="1">TEXT("[kg/kg] kg ","")&amp;INDIRECT("'Species Data'!D"&amp;MATCH('Data Summary'!C233,'Species Data'!E:E,0)) &amp; " per kg crude throughput"</f>
        <v>[kg/kg] kg 2-methylpentane (isohexane) per kg crude throughput</v>
      </c>
      <c r="K233" s="416"/>
      <c r="L233" s="416"/>
      <c r="M233" s="416"/>
      <c r="N233" s="416"/>
      <c r="O233" s="416"/>
      <c r="P233" s="417"/>
      <c r="Q233" s="2"/>
      <c r="R233" s="2"/>
      <c r="S233" s="2"/>
      <c r="T233" s="2"/>
      <c r="U233" s="2"/>
      <c r="V233" s="2"/>
      <c r="W233" s="2"/>
      <c r="X233" s="2"/>
      <c r="Y233" s="2"/>
    </row>
    <row r="234" spans="1:25" x14ac:dyDescent="0.25">
      <c r="A234" s="2"/>
      <c r="B234" s="17">
        <f t="shared" si="24"/>
        <v>7</v>
      </c>
      <c r="C234" s="38" t="str">
        <f t="shared" si="26"/>
        <v>methep3</v>
      </c>
      <c r="D234" s="39" t="str">
        <f t="shared" si="25"/>
        <v>methep3_p/100*VOC</v>
      </c>
      <c r="E234" s="68">
        <f t="shared" ca="1" si="27"/>
        <v>2.1650170879005996E-7</v>
      </c>
      <c r="F234" s="40"/>
      <c r="G234" s="41"/>
      <c r="H234" s="42" t="s">
        <v>489</v>
      </c>
      <c r="I234" s="40" t="s">
        <v>2235</v>
      </c>
      <c r="J234" s="415" t="str">
        <f ca="1">TEXT("[kg/kg] kg ","")&amp;INDIRECT("'Species Data'!D"&amp;MATCH('Data Summary'!C234,'Species Data'!E:E,0)) &amp; " per kg crude throughput"</f>
        <v>[kg/kg] kg 3-methylheptane per kg crude throughput</v>
      </c>
      <c r="K234" s="416"/>
      <c r="L234" s="416"/>
      <c r="M234" s="416"/>
      <c r="N234" s="416"/>
      <c r="O234" s="416"/>
      <c r="P234" s="417"/>
      <c r="Q234" s="2"/>
      <c r="R234" s="2"/>
      <c r="S234" s="2"/>
      <c r="T234" s="2"/>
      <c r="U234" s="2"/>
      <c r="V234" s="2"/>
      <c r="W234" s="2"/>
      <c r="X234" s="2"/>
      <c r="Y234" s="2"/>
    </row>
    <row r="235" spans="1:25" x14ac:dyDescent="0.25">
      <c r="A235" s="2"/>
      <c r="B235" s="17">
        <f t="shared" si="24"/>
        <v>11</v>
      </c>
      <c r="C235" s="38" t="str">
        <f t="shared" si="26"/>
        <v>threemethex</v>
      </c>
      <c r="D235" s="39" t="str">
        <f t="shared" si="25"/>
        <v>threemethex_p/100*VOC</v>
      </c>
      <c r="E235" s="68">
        <f t="shared" ca="1" si="27"/>
        <v>5.355568585859379E-7</v>
      </c>
      <c r="F235" s="40"/>
      <c r="G235" s="41"/>
      <c r="H235" s="42" t="s">
        <v>489</v>
      </c>
      <c r="I235" s="40" t="s">
        <v>2235</v>
      </c>
      <c r="J235" s="415" t="str">
        <f ca="1">TEXT("[kg/kg] kg ","")&amp;INDIRECT("'Species Data'!D"&amp;MATCH('Data Summary'!C235,'Species Data'!E:E,0)) &amp; " per kg crude throughput"</f>
        <v>[kg/kg] kg 3-methylhexane per kg crude throughput</v>
      </c>
      <c r="K235" s="416"/>
      <c r="L235" s="416"/>
      <c r="M235" s="416"/>
      <c r="N235" s="416"/>
      <c r="O235" s="416"/>
      <c r="P235" s="417"/>
      <c r="Q235" s="2"/>
      <c r="R235" s="2"/>
      <c r="S235" s="2"/>
      <c r="T235" s="2"/>
      <c r="U235" s="2"/>
      <c r="V235" s="2"/>
      <c r="W235" s="2"/>
      <c r="X235" s="2"/>
      <c r="Y235" s="2"/>
    </row>
    <row r="236" spans="1:25" x14ac:dyDescent="0.25">
      <c r="A236" s="2"/>
      <c r="B236" s="17">
        <f t="shared" si="24"/>
        <v>11</v>
      </c>
      <c r="C236" s="38" t="str">
        <f t="shared" si="26"/>
        <v>threemetpen</v>
      </c>
      <c r="D236" s="39" t="str">
        <f t="shared" si="25"/>
        <v>threemetpen_p/100*VOC</v>
      </c>
      <c r="E236" s="68">
        <f t="shared" ca="1" si="27"/>
        <v>7.7484822093284626E-7</v>
      </c>
      <c r="F236" s="40"/>
      <c r="G236" s="41"/>
      <c r="H236" s="42" t="s">
        <v>489</v>
      </c>
      <c r="I236" s="40" t="s">
        <v>2235</v>
      </c>
      <c r="J236" s="415" t="str">
        <f ca="1">TEXT("[kg/kg] kg ","")&amp;INDIRECT("'Species Data'!D"&amp;MATCH('Data Summary'!C236,'Species Data'!E:E,0)) &amp; " per kg crude throughput"</f>
        <v>[kg/kg] kg 3-methylpentane per kg crude throughput</v>
      </c>
      <c r="K236" s="416"/>
      <c r="L236" s="416"/>
      <c r="M236" s="416"/>
      <c r="N236" s="416"/>
      <c r="O236" s="416"/>
      <c r="P236" s="417"/>
      <c r="Q236" s="2"/>
      <c r="R236" s="2"/>
      <c r="S236" s="2"/>
      <c r="T236" s="2"/>
      <c r="U236" s="2"/>
      <c r="V236" s="2"/>
      <c r="W236" s="2"/>
      <c r="X236" s="2"/>
      <c r="Y236" s="2"/>
    </row>
    <row r="237" spans="1:25" x14ac:dyDescent="0.25">
      <c r="A237" s="2"/>
      <c r="B237" s="17">
        <f t="shared" si="24"/>
        <v>7</v>
      </c>
      <c r="C237" s="38" t="str">
        <f t="shared" si="26"/>
        <v>benzene</v>
      </c>
      <c r="D237" s="39" t="str">
        <f t="shared" si="25"/>
        <v>benzene_p/100*VOC</v>
      </c>
      <c r="E237" s="68">
        <f t="shared" ca="1" si="27"/>
        <v>1.1736671581776935E-6</v>
      </c>
      <c r="F237" s="40"/>
      <c r="G237" s="41"/>
      <c r="H237" s="42" t="s">
        <v>489</v>
      </c>
      <c r="I237" s="40" t="s">
        <v>2235</v>
      </c>
      <c r="J237" s="415" t="str">
        <f ca="1">TEXT("[kg/kg] kg ","")&amp;INDIRECT("'Species Data'!D"&amp;MATCH('Data Summary'!C237,'Species Data'!E:E,0)) &amp; " per kg crude throughput"</f>
        <v>[kg/kg] kg Benzene per kg crude throughput</v>
      </c>
      <c r="K237" s="416"/>
      <c r="L237" s="416"/>
      <c r="M237" s="416"/>
      <c r="N237" s="416"/>
      <c r="O237" s="416"/>
      <c r="P237" s="417"/>
      <c r="Q237" s="2"/>
      <c r="R237" s="2"/>
      <c r="S237" s="2"/>
      <c r="T237" s="2"/>
      <c r="U237" s="2"/>
      <c r="V237" s="2"/>
      <c r="W237" s="2"/>
      <c r="X237" s="2"/>
      <c r="Y237" s="2"/>
    </row>
    <row r="238" spans="1:25" x14ac:dyDescent="0.25">
      <c r="A238" s="2"/>
      <c r="B238" s="17">
        <f t="shared" si="24"/>
        <v>11</v>
      </c>
      <c r="C238" s="38" t="str">
        <f t="shared" si="26"/>
        <v>cyclohexane</v>
      </c>
      <c r="D238" s="39" t="str">
        <f t="shared" si="25"/>
        <v>cyclohexane_p/100*VOC</v>
      </c>
      <c r="E238" s="68">
        <f t="shared" ca="1" si="27"/>
        <v>5.4695168536436211E-7</v>
      </c>
      <c r="F238" s="40"/>
      <c r="G238" s="41"/>
      <c r="H238" s="42" t="s">
        <v>489</v>
      </c>
      <c r="I238" s="40" t="s">
        <v>2235</v>
      </c>
      <c r="J238" s="415" t="str">
        <f ca="1">TEXT("[kg/kg] kg ","")&amp;INDIRECT("'Species Data'!D"&amp;MATCH('Data Summary'!C238,'Species Data'!E:E,0)) &amp; " per kg crude throughput"</f>
        <v>[kg/kg] kg Cyclohexane per kg crude throughput</v>
      </c>
      <c r="K238" s="416"/>
      <c r="L238" s="416"/>
      <c r="M238" s="416"/>
      <c r="N238" s="416"/>
      <c r="O238" s="416"/>
      <c r="P238" s="417"/>
      <c r="Q238" s="2"/>
      <c r="R238" s="2"/>
      <c r="S238" s="2"/>
      <c r="T238" s="2"/>
      <c r="U238" s="2"/>
      <c r="V238" s="2"/>
      <c r="W238" s="2"/>
      <c r="X238" s="2"/>
      <c r="Y238" s="2"/>
    </row>
    <row r="239" spans="1:25" x14ac:dyDescent="0.25">
      <c r="A239" s="2"/>
      <c r="B239" s="17">
        <f t="shared" si="24"/>
        <v>12</v>
      </c>
      <c r="C239" s="38" t="str">
        <f t="shared" si="26"/>
        <v>cyclopentane</v>
      </c>
      <c r="D239" s="39" t="str">
        <f t="shared" si="25"/>
        <v>cyclopentane_p/100*VOC</v>
      </c>
      <c r="E239" s="68">
        <f t="shared" ca="1" si="27"/>
        <v>4.3300341758011993E-7</v>
      </c>
      <c r="F239" s="40"/>
      <c r="G239" s="41"/>
      <c r="H239" s="42" t="s">
        <v>489</v>
      </c>
      <c r="I239" s="40" t="s">
        <v>2235</v>
      </c>
      <c r="J239" s="415" t="str">
        <f ca="1">TEXT("[kg/kg] kg ","")&amp;INDIRECT("'Species Data'!D"&amp;MATCH('Data Summary'!C239,'Species Data'!E:E,0)) &amp; " per kg crude throughput"</f>
        <v>[kg/kg] kg Cyclopentane per kg crude throughput</v>
      </c>
      <c r="K239" s="416"/>
      <c r="L239" s="416"/>
      <c r="M239" s="416"/>
      <c r="N239" s="416"/>
      <c r="O239" s="416"/>
      <c r="P239" s="417"/>
      <c r="Q239" s="2"/>
      <c r="R239" s="2"/>
      <c r="S239" s="2"/>
      <c r="T239" s="2"/>
      <c r="U239" s="2"/>
      <c r="V239" s="2"/>
      <c r="W239" s="2"/>
      <c r="X239" s="2"/>
      <c r="Y239" s="2"/>
    </row>
    <row r="240" spans="1:25" x14ac:dyDescent="0.25">
      <c r="A240" s="2"/>
      <c r="B240" s="17">
        <f t="shared" si="24"/>
        <v>10</v>
      </c>
      <c r="C240" s="38" t="str">
        <f t="shared" si="26"/>
        <v>ethyl_benz</v>
      </c>
      <c r="D240" s="39" t="str">
        <f t="shared" si="25"/>
        <v>ethyl_benz_p/100*VOC</v>
      </c>
      <c r="E240" s="68">
        <f t="shared" ca="1" si="27"/>
        <v>4.2160859080169582E-7</v>
      </c>
      <c r="F240" s="40"/>
      <c r="G240" s="41"/>
      <c r="H240" s="42" t="s">
        <v>489</v>
      </c>
      <c r="I240" s="40" t="s">
        <v>2235</v>
      </c>
      <c r="J240" s="415" t="str">
        <f ca="1">TEXT("[kg/kg] kg ","")&amp;INDIRECT("'Species Data'!D"&amp;MATCH('Data Summary'!C240,'Species Data'!E:E,0)) &amp; " per kg crude throughput"</f>
        <v>[kg/kg] kg Ethylbenzene per kg crude throughput</v>
      </c>
      <c r="K240" s="416"/>
      <c r="L240" s="416"/>
      <c r="M240" s="416"/>
      <c r="N240" s="416"/>
      <c r="O240" s="416"/>
      <c r="P240" s="417"/>
      <c r="Q240" s="2"/>
      <c r="R240" s="2"/>
      <c r="S240" s="2"/>
      <c r="T240" s="2"/>
      <c r="U240" s="2"/>
      <c r="V240" s="2"/>
      <c r="W240" s="2"/>
      <c r="X240" s="2"/>
      <c r="Y240" s="2"/>
    </row>
    <row r="241" spans="1:25" x14ac:dyDescent="0.25">
      <c r="A241" s="2"/>
      <c r="B241" s="17">
        <f t="shared" si="24"/>
        <v>10</v>
      </c>
      <c r="C241" s="38" t="str">
        <f t="shared" si="26"/>
        <v>ethcyclhex</v>
      </c>
      <c r="D241" s="39" t="str">
        <f t="shared" si="25"/>
        <v>ethcyclhex_p/100*VOC</v>
      </c>
      <c r="E241" s="68">
        <f t="shared" ca="1" si="27"/>
        <v>0</v>
      </c>
      <c r="F241" s="40"/>
      <c r="G241" s="41"/>
      <c r="H241" s="42" t="s">
        <v>489</v>
      </c>
      <c r="I241" s="40" t="s">
        <v>2235</v>
      </c>
      <c r="J241" s="415" t="str">
        <f ca="1">TEXT("[kg/kg] kg ","")&amp;INDIRECT("'Species Data'!D"&amp;MATCH('Data Summary'!C241,'Species Data'!E:E,0)) &amp; " per kg crude throughput"</f>
        <v>[kg/kg] kg Ethylcyclohexane per kg crude throughput</v>
      </c>
      <c r="K241" s="416"/>
      <c r="L241" s="416"/>
      <c r="M241" s="416"/>
      <c r="N241" s="416"/>
      <c r="O241" s="416"/>
      <c r="P241" s="417"/>
      <c r="Q241" s="2"/>
      <c r="R241" s="2"/>
      <c r="S241" s="2"/>
      <c r="T241" s="2"/>
      <c r="U241" s="2"/>
      <c r="V241" s="2"/>
      <c r="W241" s="2"/>
      <c r="X241" s="2"/>
      <c r="Y241" s="2"/>
    </row>
    <row r="242" spans="1:25" x14ac:dyDescent="0.25">
      <c r="A242" s="2"/>
      <c r="B242" s="17">
        <f t="shared" si="24"/>
        <v>6</v>
      </c>
      <c r="C242" s="38" t="str">
        <f t="shared" si="26"/>
        <v>isobut</v>
      </c>
      <c r="D242" s="39" t="str">
        <f t="shared" si="25"/>
        <v>isobut_p/100*VOC</v>
      </c>
      <c r="E242" s="68">
        <f t="shared" ca="1" si="27"/>
        <v>4.0793479866758665E-6</v>
      </c>
      <c r="F242" s="40"/>
      <c r="G242" s="41"/>
      <c r="H242" s="42" t="s">
        <v>489</v>
      </c>
      <c r="I242" s="40" t="s">
        <v>2235</v>
      </c>
      <c r="J242" s="415" t="str">
        <f ca="1">TEXT("[kg/kg] kg ","")&amp;INDIRECT("'Species Data'!D"&amp;MATCH('Data Summary'!C242,'Species Data'!E:E,0)) &amp; " per kg crude throughput"</f>
        <v>[kg/kg] kg Isobutane per kg crude throughput</v>
      </c>
      <c r="K242" s="416"/>
      <c r="L242" s="416"/>
      <c r="M242" s="416"/>
      <c r="N242" s="416"/>
      <c r="O242" s="416"/>
      <c r="P242" s="417"/>
      <c r="Q242" s="2"/>
      <c r="R242" s="2"/>
      <c r="S242" s="2"/>
      <c r="T242" s="2"/>
      <c r="U242" s="2"/>
      <c r="V242" s="2"/>
      <c r="W242" s="2"/>
      <c r="X242" s="2"/>
      <c r="Y242" s="2"/>
    </row>
    <row r="243" spans="1:25" x14ac:dyDescent="0.25">
      <c r="A243" s="2"/>
      <c r="B243" s="17">
        <f t="shared" si="24"/>
        <v>10</v>
      </c>
      <c r="C243" s="38" t="str">
        <f t="shared" si="26"/>
        <v>isopentane</v>
      </c>
      <c r="D243" s="39" t="str">
        <f t="shared" si="25"/>
        <v>isopentane_p/100*VOC</v>
      </c>
      <c r="E243" s="68">
        <f t="shared" ca="1" si="27"/>
        <v>3.3728687264135666E-6</v>
      </c>
      <c r="F243" s="40"/>
      <c r="G243" s="41"/>
      <c r="H243" s="42" t="s">
        <v>489</v>
      </c>
      <c r="I243" s="40" t="s">
        <v>2235</v>
      </c>
      <c r="J243" s="415" t="str">
        <f ca="1">TEXT("[kg/kg] kg ","")&amp;INDIRECT("'Species Data'!D"&amp;MATCH('Data Summary'!C243,'Species Data'!E:E,0)) &amp; " per kg crude throughput"</f>
        <v>[kg/kg] kg Isopentane (2-Methylbutane) per kg crude throughput</v>
      </c>
      <c r="K243" s="416"/>
      <c r="L243" s="416"/>
      <c r="M243" s="416"/>
      <c r="N243" s="416"/>
      <c r="O243" s="416"/>
      <c r="P243" s="417"/>
      <c r="Q243" s="2"/>
      <c r="R243" s="2"/>
      <c r="S243" s="2"/>
      <c r="T243" s="2"/>
      <c r="U243" s="2"/>
      <c r="V243" s="2"/>
      <c r="W243" s="2"/>
      <c r="X243" s="2"/>
      <c r="Y243" s="2"/>
    </row>
    <row r="244" spans="1:25" x14ac:dyDescent="0.25">
      <c r="A244" s="2"/>
      <c r="B244" s="17">
        <f t="shared" si="24"/>
        <v>7</v>
      </c>
      <c r="C244" s="38" t="str">
        <f t="shared" si="26"/>
        <v>isopben</v>
      </c>
      <c r="D244" s="39" t="str">
        <f t="shared" si="25"/>
        <v>isopben_p/100*VOC</v>
      </c>
      <c r="E244" s="68">
        <f t="shared" ca="1" si="27"/>
        <v>1.5952757489793895E-7</v>
      </c>
      <c r="F244" s="40"/>
      <c r="G244" s="41"/>
      <c r="H244" s="42" t="s">
        <v>489</v>
      </c>
      <c r="I244" s="40" t="s">
        <v>2235</v>
      </c>
      <c r="J244" s="415" t="str">
        <f ca="1">TEXT("[kg/kg] kg ","")&amp;INDIRECT("'Species Data'!D"&amp;MATCH('Data Summary'!C244,'Species Data'!E:E,0)) &amp; " per kg crude throughput"</f>
        <v>[kg/kg] kg Isopropylbenzene (cumene) per kg crude throughput</v>
      </c>
      <c r="K244" s="416"/>
      <c r="L244" s="416"/>
      <c r="M244" s="416"/>
      <c r="N244" s="416"/>
      <c r="O244" s="416"/>
      <c r="P244" s="417"/>
      <c r="Q244" s="2"/>
      <c r="R244" s="2"/>
      <c r="S244" s="2"/>
      <c r="T244" s="2"/>
      <c r="U244" s="2"/>
      <c r="V244" s="2"/>
      <c r="W244" s="2"/>
      <c r="X244" s="2"/>
      <c r="Y244" s="2"/>
    </row>
    <row r="245" spans="1:25" x14ac:dyDescent="0.25">
      <c r="A245" s="2"/>
      <c r="B245" s="17">
        <f t="shared" si="24"/>
        <v>6</v>
      </c>
      <c r="C245" s="38" t="str">
        <f t="shared" si="26"/>
        <v>xylene</v>
      </c>
      <c r="D245" s="39" t="str">
        <f t="shared" si="25"/>
        <v>xylene_p/100*VOC</v>
      </c>
      <c r="E245" s="68">
        <f t="shared" ca="1" si="27"/>
        <v>8.4321718160339164E-7</v>
      </c>
      <c r="F245" s="40"/>
      <c r="G245" s="41"/>
      <c r="H245" s="42" t="s">
        <v>489</v>
      </c>
      <c r="I245" s="40" t="s">
        <v>2235</v>
      </c>
      <c r="J245" s="415" t="str">
        <f ca="1">TEXT("[kg/kg] kg ","")&amp;INDIRECT("'Species Data'!D"&amp;MATCH('Data Summary'!C245,'Species Data'!E:E,0)) &amp; " per kg crude throughput"</f>
        <v>[kg/kg] kg M &amp; p-xylene per kg crude throughput</v>
      </c>
      <c r="K245" s="416"/>
      <c r="L245" s="416"/>
      <c r="M245" s="416"/>
      <c r="N245" s="416"/>
      <c r="O245" s="416"/>
      <c r="P245" s="417"/>
      <c r="Q245" s="2"/>
      <c r="R245" s="2"/>
      <c r="S245" s="2"/>
      <c r="T245" s="2"/>
      <c r="U245" s="2"/>
      <c r="V245" s="2"/>
      <c r="W245" s="2"/>
      <c r="X245" s="2"/>
      <c r="Y245" s="2"/>
    </row>
    <row r="246" spans="1:25" x14ac:dyDescent="0.25">
      <c r="A246" s="2"/>
      <c r="B246" s="17">
        <f t="shared" si="16"/>
        <v>8</v>
      </c>
      <c r="C246" s="38" t="str">
        <f t="shared" si="26"/>
        <v>M_xylene</v>
      </c>
      <c r="D246" s="39" t="str">
        <f t="shared" si="25"/>
        <v>M_xylene_p/100*VOC</v>
      </c>
      <c r="E246" s="68">
        <f t="shared" ca="1" si="27"/>
        <v>0</v>
      </c>
      <c r="F246" s="40"/>
      <c r="G246" s="41"/>
      <c r="H246" s="42" t="s">
        <v>489</v>
      </c>
      <c r="I246" s="40" t="s">
        <v>2235</v>
      </c>
      <c r="J246" s="415" t="str">
        <f ca="1">TEXT("[kg/kg] kg ","")&amp;INDIRECT("'Species Data'!D"&amp;MATCH('Data Summary'!C246,'Species Data'!E:E,0)) &amp; " per kg crude throughput"</f>
        <v>[kg/kg] kg M-xylene per kg crude throughput</v>
      </c>
      <c r="K246" s="416"/>
      <c r="L246" s="416"/>
      <c r="M246" s="416"/>
      <c r="N246" s="416"/>
      <c r="O246" s="416"/>
      <c r="P246" s="417"/>
      <c r="Q246" s="2"/>
      <c r="R246" s="2"/>
      <c r="S246" s="2"/>
      <c r="T246" s="2"/>
      <c r="U246" s="2"/>
      <c r="V246" s="2"/>
      <c r="W246" s="2"/>
      <c r="X246" s="2"/>
      <c r="Y246" s="2"/>
    </row>
    <row r="247" spans="1:25" x14ac:dyDescent="0.25">
      <c r="A247" s="2"/>
      <c r="B247" s="17">
        <f t="shared" si="16"/>
        <v>10</v>
      </c>
      <c r="C247" s="38" t="str">
        <f t="shared" si="26"/>
        <v>methcychex</v>
      </c>
      <c r="D247" s="39" t="str">
        <f t="shared" si="25"/>
        <v>methcychex_p/100*VOC</v>
      </c>
      <c r="E247" s="68">
        <f t="shared" ca="1" si="27"/>
        <v>7.064792602623012E-7</v>
      </c>
      <c r="F247" s="40"/>
      <c r="G247" s="41"/>
      <c r="H247" s="42" t="s">
        <v>489</v>
      </c>
      <c r="I247" s="40" t="s">
        <v>2235</v>
      </c>
      <c r="J247" s="415" t="str">
        <f ca="1">TEXT("[kg/kg] kg ","")&amp;INDIRECT("'Species Data'!D"&amp;MATCH('Data Summary'!C247,'Species Data'!E:E,0)) &amp; " per kg crude throughput"</f>
        <v>[kg/kg] kg Methylcyclohexane per kg crude throughput</v>
      </c>
      <c r="K247" s="416"/>
      <c r="L247" s="416"/>
      <c r="M247" s="416"/>
      <c r="N247" s="416"/>
      <c r="O247" s="416"/>
      <c r="P247" s="417"/>
      <c r="Q247" s="2"/>
      <c r="R247" s="2"/>
      <c r="S247" s="2"/>
      <c r="T247" s="2"/>
      <c r="U247" s="2"/>
      <c r="V247" s="2"/>
      <c r="W247" s="2"/>
      <c r="X247" s="2"/>
      <c r="Y247" s="2"/>
    </row>
    <row r="248" spans="1:25" x14ac:dyDescent="0.25">
      <c r="A248" s="2"/>
      <c r="B248" s="17">
        <f t="shared" si="16"/>
        <v>10</v>
      </c>
      <c r="C248" s="38" t="str">
        <f t="shared" si="26"/>
        <v>methcycpen</v>
      </c>
      <c r="D248" s="39" t="str">
        <f t="shared" si="25"/>
        <v>methcycpen_p/100*VOC</v>
      </c>
      <c r="E248" s="68">
        <f t="shared" ca="1" si="27"/>
        <v>1.0825085439502998E-6</v>
      </c>
      <c r="F248" s="40"/>
      <c r="G248" s="41"/>
      <c r="H248" s="42" t="s">
        <v>489</v>
      </c>
      <c r="I248" s="40" t="s">
        <v>2235</v>
      </c>
      <c r="J248" s="415" t="str">
        <f ca="1">TEXT("[kg/kg] kg ","")&amp;INDIRECT("'Species Data'!D"&amp;MATCH('Data Summary'!C248,'Species Data'!E:E,0)) &amp; " per kg crude throughput"</f>
        <v>[kg/kg] kg Methylcyclopentane per kg crude throughput</v>
      </c>
      <c r="K248" s="416"/>
      <c r="L248" s="416"/>
      <c r="M248" s="416"/>
      <c r="N248" s="416"/>
      <c r="O248" s="416"/>
      <c r="P248" s="417"/>
      <c r="Q248" s="2"/>
      <c r="R248" s="2"/>
      <c r="S248" s="2"/>
      <c r="T248" s="2"/>
      <c r="U248" s="2"/>
      <c r="V248" s="2"/>
      <c r="W248" s="2"/>
      <c r="X248" s="2"/>
      <c r="Y248" s="2"/>
    </row>
    <row r="249" spans="1:25" x14ac:dyDescent="0.25">
      <c r="A249" s="2"/>
      <c r="B249" s="17">
        <f t="shared" si="16"/>
        <v>8</v>
      </c>
      <c r="C249" s="38" t="str">
        <f t="shared" si="26"/>
        <v>methpent</v>
      </c>
      <c r="D249" s="39" t="str">
        <f t="shared" si="25"/>
        <v>methpent_p/100*VOC</v>
      </c>
      <c r="E249" s="68">
        <f t="shared" ca="1" si="27"/>
        <v>0</v>
      </c>
      <c r="F249" s="40"/>
      <c r="G249" s="41"/>
      <c r="H249" s="42" t="s">
        <v>489</v>
      </c>
      <c r="I249" s="40" t="s">
        <v>2235</v>
      </c>
      <c r="J249" s="415" t="str">
        <f ca="1">TEXT("[kg/kg] kg ","")&amp;INDIRECT("'Species Data'!D"&amp;MATCH('Data Summary'!C249,'Species Data'!E:E,0)) &amp; " per kg crude throughput"</f>
        <v>[kg/kg] kg Methylcyclopentane per kg crude throughput</v>
      </c>
      <c r="K249" s="416"/>
      <c r="L249" s="416"/>
      <c r="M249" s="416"/>
      <c r="N249" s="416"/>
      <c r="O249" s="416"/>
      <c r="P249" s="417"/>
      <c r="Q249" s="2"/>
      <c r="R249" s="2"/>
      <c r="S249" s="2"/>
      <c r="T249" s="2"/>
      <c r="U249" s="2"/>
      <c r="V249" s="2"/>
      <c r="W249" s="2"/>
      <c r="X249" s="2"/>
      <c r="Y249" s="2"/>
    </row>
    <row r="250" spans="1:25" x14ac:dyDescent="0.25">
      <c r="A250" s="2"/>
      <c r="B250" s="17">
        <f t="shared" si="16"/>
        <v>5</v>
      </c>
      <c r="C250" s="38" t="str">
        <f t="shared" si="26"/>
        <v>N_but</v>
      </c>
      <c r="D250" s="39" t="str">
        <f t="shared" si="25"/>
        <v>N_but_p/100*VOC</v>
      </c>
      <c r="E250" s="68">
        <f t="shared" ca="1" si="27"/>
        <v>1.0779506132389305E-5</v>
      </c>
      <c r="F250" s="40"/>
      <c r="G250" s="41"/>
      <c r="H250" s="42" t="s">
        <v>489</v>
      </c>
      <c r="I250" s="40" t="s">
        <v>2235</v>
      </c>
      <c r="J250" s="415" t="str">
        <f ca="1">TEXT("[kg/kg] kg ","")&amp;INDIRECT("'Species Data'!D"&amp;MATCH('Data Summary'!C250,'Species Data'!E:E,0)) &amp; " per kg crude throughput"</f>
        <v>[kg/kg] kg N-butane per kg crude throughput</v>
      </c>
      <c r="K250" s="416"/>
      <c r="L250" s="416"/>
      <c r="M250" s="416"/>
      <c r="N250" s="416"/>
      <c r="O250" s="416"/>
      <c r="P250" s="417"/>
      <c r="Q250" s="2"/>
      <c r="R250" s="2"/>
      <c r="S250" s="2"/>
      <c r="T250" s="2"/>
      <c r="U250" s="2"/>
      <c r="V250" s="2"/>
      <c r="W250" s="2"/>
      <c r="X250" s="2"/>
      <c r="Y250" s="2"/>
    </row>
    <row r="251" spans="1:25" x14ac:dyDescent="0.25">
      <c r="A251" s="2"/>
      <c r="B251" s="17">
        <f t="shared" si="16"/>
        <v>5</v>
      </c>
      <c r="C251" s="38" t="str">
        <f t="shared" si="26"/>
        <v>N_dec</v>
      </c>
      <c r="D251" s="39" t="str">
        <f t="shared" ref="D251:D274" si="28">C195&amp;"/100*"&amp;$C$141</f>
        <v>N_dec_p/100*VOC</v>
      </c>
      <c r="E251" s="68">
        <f t="shared" ca="1" si="27"/>
        <v>5.2416203180751368E-7</v>
      </c>
      <c r="F251" s="40"/>
      <c r="G251" s="41"/>
      <c r="H251" s="42" t="s">
        <v>489</v>
      </c>
      <c r="I251" s="40" t="s">
        <v>2235</v>
      </c>
      <c r="J251" s="415" t="str">
        <f ca="1">TEXT("[kg/kg] kg ","")&amp;INDIRECT("'Species Data'!D"&amp;MATCH('Data Summary'!C251,'Species Data'!E:E,0)) &amp; " per kg crude throughput"</f>
        <v>[kg/kg] kg N-decane per kg crude throughput</v>
      </c>
      <c r="K251" s="416"/>
      <c r="L251" s="416"/>
      <c r="M251" s="416"/>
      <c r="N251" s="416"/>
      <c r="O251" s="416"/>
      <c r="P251" s="417"/>
      <c r="Q251" s="2"/>
      <c r="R251" s="2"/>
      <c r="S251" s="2"/>
      <c r="T251" s="2"/>
      <c r="U251" s="2"/>
      <c r="V251" s="2"/>
      <c r="W251" s="2"/>
      <c r="X251" s="2"/>
      <c r="Y251" s="2"/>
    </row>
    <row r="252" spans="1:25" x14ac:dyDescent="0.25">
      <c r="A252" s="2"/>
      <c r="B252" s="17">
        <f t="shared" si="16"/>
        <v>5</v>
      </c>
      <c r="C252" s="38" t="str">
        <f t="shared" si="26"/>
        <v>N_hep</v>
      </c>
      <c r="D252" s="39" t="str">
        <f t="shared" si="28"/>
        <v>N_hep_p/100*VOC</v>
      </c>
      <c r="E252" s="68">
        <f t="shared" ca="1" si="27"/>
        <v>1.2306412920698146E-6</v>
      </c>
      <c r="F252" s="40"/>
      <c r="G252" s="41"/>
      <c r="H252" s="42" t="s">
        <v>489</v>
      </c>
      <c r="I252" s="40" t="s">
        <v>2235</v>
      </c>
      <c r="J252" s="415" t="str">
        <f ca="1">TEXT("[kg/kg] kg ","")&amp;INDIRECT("'Species Data'!D"&amp;MATCH('Data Summary'!C252,'Species Data'!E:E,0)) &amp; " per kg crude throughput"</f>
        <v>[kg/kg] kg N-heptane per kg crude throughput</v>
      </c>
      <c r="K252" s="416"/>
      <c r="L252" s="416"/>
      <c r="M252" s="416"/>
      <c r="N252" s="416"/>
      <c r="O252" s="416"/>
      <c r="P252" s="417"/>
      <c r="Q252" s="2"/>
      <c r="R252" s="2"/>
      <c r="S252" s="2"/>
      <c r="T252" s="2"/>
      <c r="U252" s="2"/>
      <c r="V252" s="2"/>
      <c r="W252" s="2"/>
      <c r="X252" s="2"/>
      <c r="Y252" s="2"/>
    </row>
    <row r="253" spans="1:25" x14ac:dyDescent="0.25">
      <c r="A253" s="2"/>
      <c r="B253" s="17">
        <f t="shared" si="16"/>
        <v>5</v>
      </c>
      <c r="C253" s="38" t="str">
        <f t="shared" si="26"/>
        <v>N_hex</v>
      </c>
      <c r="D253" s="39" t="str">
        <f t="shared" si="28"/>
        <v>N_hex_p/100*VOC</v>
      </c>
      <c r="E253" s="68">
        <f t="shared" ca="1" si="27"/>
        <v>1.8687515916615703E-6</v>
      </c>
      <c r="F253" s="40"/>
      <c r="G253" s="41"/>
      <c r="H253" s="42" t="s">
        <v>489</v>
      </c>
      <c r="I253" s="40" t="s">
        <v>2235</v>
      </c>
      <c r="J253" s="415" t="str">
        <f ca="1">TEXT("[kg/kg] kg ","")&amp;INDIRECT("'Species Data'!D"&amp;MATCH('Data Summary'!C253,'Species Data'!E:E,0)) &amp; " per kg crude throughput"</f>
        <v>[kg/kg] kg N-hexane per kg crude throughput</v>
      </c>
      <c r="K253" s="416"/>
      <c r="L253" s="416"/>
      <c r="M253" s="416"/>
      <c r="N253" s="416"/>
      <c r="O253" s="416"/>
      <c r="P253" s="417"/>
      <c r="Q253" s="2"/>
      <c r="R253" s="2"/>
      <c r="S253" s="2"/>
      <c r="T253" s="2"/>
      <c r="U253" s="2"/>
      <c r="V253" s="2"/>
      <c r="W253" s="2"/>
      <c r="X253" s="2"/>
      <c r="Y253" s="2"/>
    </row>
    <row r="254" spans="1:25" x14ac:dyDescent="0.25">
      <c r="A254" s="2"/>
      <c r="B254" s="17">
        <f t="shared" si="16"/>
        <v>8</v>
      </c>
      <c r="C254" s="38" t="str">
        <f t="shared" si="26"/>
        <v>N_nonane</v>
      </c>
      <c r="D254" s="39" t="str">
        <f t="shared" si="28"/>
        <v>N_nonane_p/100*VOC</v>
      </c>
      <c r="E254" s="68">
        <f t="shared" ca="1" si="27"/>
        <v>7.064792602623012E-7</v>
      </c>
      <c r="F254" s="40"/>
      <c r="G254" s="41"/>
      <c r="H254" s="42" t="s">
        <v>489</v>
      </c>
      <c r="I254" s="40" t="s">
        <v>2235</v>
      </c>
      <c r="J254" s="415" t="str">
        <f ca="1">TEXT("[kg/kg] kg ","")&amp;INDIRECT("'Species Data'!D"&amp;MATCH('Data Summary'!C254,'Species Data'!E:E,0)) &amp; " per kg crude throughput"</f>
        <v>[kg/kg] kg N-nonane per kg crude throughput</v>
      </c>
      <c r="K254" s="416"/>
      <c r="L254" s="416"/>
      <c r="M254" s="416"/>
      <c r="N254" s="416"/>
      <c r="O254" s="416"/>
      <c r="P254" s="417"/>
      <c r="Q254" s="2"/>
      <c r="R254" s="2"/>
      <c r="S254" s="2"/>
      <c r="T254" s="2"/>
      <c r="U254" s="2"/>
      <c r="V254" s="2"/>
      <c r="W254" s="2"/>
      <c r="X254" s="2"/>
      <c r="Y254" s="2"/>
    </row>
    <row r="255" spans="1:25" x14ac:dyDescent="0.25">
      <c r="A255" s="2"/>
      <c r="B255" s="17">
        <f t="shared" si="16"/>
        <v>8</v>
      </c>
      <c r="C255" s="38" t="str">
        <f t="shared" si="26"/>
        <v>N_octane</v>
      </c>
      <c r="D255" s="39" t="str">
        <f t="shared" si="28"/>
        <v>N_octane_p/100*VOC</v>
      </c>
      <c r="E255" s="68">
        <f t="shared" ca="1" si="27"/>
        <v>9.1158614227393671E-7</v>
      </c>
      <c r="F255" s="40"/>
      <c r="G255" s="41"/>
      <c r="H255" s="42" t="s">
        <v>489</v>
      </c>
      <c r="I255" s="40" t="s">
        <v>2235</v>
      </c>
      <c r="J255" s="415" t="str">
        <f ca="1">TEXT("[kg/kg] kg ","")&amp;INDIRECT("'Species Data'!D"&amp;MATCH('Data Summary'!C255,'Species Data'!E:E,0)) &amp; " per kg crude throughput"</f>
        <v>[kg/kg] kg N-octane per kg crude throughput</v>
      </c>
      <c r="K255" s="416"/>
      <c r="L255" s="416"/>
      <c r="M255" s="416"/>
      <c r="N255" s="416"/>
      <c r="O255" s="416"/>
      <c r="P255" s="417"/>
      <c r="Q255" s="2"/>
      <c r="R255" s="2"/>
      <c r="S255" s="2"/>
      <c r="T255" s="2"/>
      <c r="U255" s="2"/>
      <c r="V255" s="2"/>
      <c r="W255" s="2"/>
      <c r="X255" s="2"/>
      <c r="Y255" s="2"/>
    </row>
    <row r="256" spans="1:25" x14ac:dyDescent="0.25">
      <c r="A256" s="2"/>
      <c r="B256" s="17">
        <f t="shared" si="16"/>
        <v>9</v>
      </c>
      <c r="C256" s="38" t="str">
        <f t="shared" si="26"/>
        <v>N_pentane</v>
      </c>
      <c r="D256" s="39" t="str">
        <f t="shared" si="28"/>
        <v>N_pentane_p/100*VOC</v>
      </c>
      <c r="E256" s="68">
        <f t="shared" ca="1" si="27"/>
        <v>3.7488980101015647E-6</v>
      </c>
      <c r="F256" s="40"/>
      <c r="G256" s="41"/>
      <c r="H256" s="42" t="s">
        <v>489</v>
      </c>
      <c r="I256" s="40" t="s">
        <v>2235</v>
      </c>
      <c r="J256" s="415" t="str">
        <f ca="1">TEXT("[kg/kg] kg ","")&amp;INDIRECT("'Species Data'!D"&amp;MATCH('Data Summary'!C256,'Species Data'!E:E,0)) &amp; " per kg crude throughput"</f>
        <v>[kg/kg] kg N-pentane per kg crude throughput</v>
      </c>
      <c r="K256" s="416"/>
      <c r="L256" s="416"/>
      <c r="M256" s="416"/>
      <c r="N256" s="416"/>
      <c r="O256" s="416"/>
      <c r="P256" s="417"/>
      <c r="Q256" s="2"/>
      <c r="R256" s="2"/>
      <c r="S256" s="2"/>
      <c r="T256" s="2"/>
      <c r="U256" s="2"/>
      <c r="V256" s="2"/>
      <c r="W256" s="2"/>
      <c r="X256" s="2"/>
      <c r="Y256" s="2"/>
    </row>
    <row r="257" spans="1:25" x14ac:dyDescent="0.25">
      <c r="A257" s="2"/>
      <c r="B257" s="17">
        <f t="shared" si="16"/>
        <v>8</v>
      </c>
      <c r="C257" s="38" t="str">
        <f t="shared" si="26"/>
        <v>N_proben</v>
      </c>
      <c r="D257" s="39" t="str">
        <f t="shared" si="28"/>
        <v>N_proben_p/100*VOC</v>
      </c>
      <c r="E257" s="68">
        <f t="shared" ca="1" si="27"/>
        <v>1.2534309456266629E-7</v>
      </c>
      <c r="F257" s="40"/>
      <c r="G257" s="41"/>
      <c r="H257" s="42" t="s">
        <v>489</v>
      </c>
      <c r="I257" s="40" t="s">
        <v>2235</v>
      </c>
      <c r="J257" s="415" t="str">
        <f ca="1">TEXT("[kg/kg] kg ","")&amp;INDIRECT("'Species Data'!D"&amp;MATCH('Data Summary'!C257,'Species Data'!E:E,0)) &amp; " per kg crude throughput"</f>
        <v>[kg/kg] kg N-propylbenzene per kg crude throughput</v>
      </c>
      <c r="K257" s="416"/>
      <c r="L257" s="416"/>
      <c r="M257" s="416"/>
      <c r="N257" s="416"/>
      <c r="O257" s="416"/>
      <c r="P257" s="417"/>
      <c r="Q257" s="2"/>
      <c r="R257" s="2"/>
      <c r="S257" s="2"/>
      <c r="T257" s="2"/>
      <c r="U257" s="2"/>
      <c r="V257" s="2"/>
      <c r="W257" s="2"/>
      <c r="X257" s="2"/>
      <c r="Y257" s="2"/>
    </row>
    <row r="258" spans="1:25" x14ac:dyDescent="0.25">
      <c r="A258" s="2"/>
      <c r="B258" s="17">
        <f t="shared" si="16"/>
        <v>8</v>
      </c>
      <c r="C258" s="38" t="str">
        <f t="shared" si="26"/>
        <v>O_xylene</v>
      </c>
      <c r="D258" s="39" t="str">
        <f t="shared" si="28"/>
        <v>O_xylene_p/100*VOC</v>
      </c>
      <c r="E258" s="68">
        <f t="shared" ca="1" si="27"/>
        <v>5.1276720502908937E-7</v>
      </c>
      <c r="F258" s="40"/>
      <c r="G258" s="41"/>
      <c r="H258" s="42" t="s">
        <v>489</v>
      </c>
      <c r="I258" s="40" t="s">
        <v>2235</v>
      </c>
      <c r="J258" s="415" t="str">
        <f ca="1">TEXT("[kg/kg] kg ","")&amp;INDIRECT("'Species Data'!D"&amp;MATCH('Data Summary'!C258,'Species Data'!E:E,0)) &amp; " per kg crude throughput"</f>
        <v>[kg/kg] kg O-xylene per kg crude throughput</v>
      </c>
      <c r="K258" s="416"/>
      <c r="L258" s="416"/>
      <c r="M258" s="416"/>
      <c r="N258" s="416"/>
      <c r="O258" s="416"/>
      <c r="P258" s="417"/>
      <c r="Q258" s="2"/>
      <c r="R258" s="2"/>
      <c r="S258" s="2"/>
      <c r="T258" s="2"/>
      <c r="U258" s="2"/>
      <c r="V258" s="2"/>
      <c r="W258" s="2"/>
      <c r="X258" s="2"/>
      <c r="Y258" s="2"/>
    </row>
    <row r="259" spans="1:25" x14ac:dyDescent="0.25">
      <c r="A259" s="2"/>
      <c r="B259" s="17">
        <f t="shared" si="16"/>
        <v>8</v>
      </c>
      <c r="C259" s="38" t="str">
        <f t="shared" si="26"/>
        <v>P_xylene</v>
      </c>
      <c r="D259" s="39" t="str">
        <f t="shared" si="28"/>
        <v>P_xylene_p/100*VOC</v>
      </c>
      <c r="E259" s="68">
        <f t="shared" ca="1" si="27"/>
        <v>0</v>
      </c>
      <c r="F259" s="40"/>
      <c r="G259" s="41"/>
      <c r="H259" s="42" t="s">
        <v>489</v>
      </c>
      <c r="I259" s="40" t="s">
        <v>2235</v>
      </c>
      <c r="J259" s="415" t="str">
        <f ca="1">TEXT("[kg/kg] kg ","")&amp;INDIRECT("'Species Data'!D"&amp;MATCH('Data Summary'!C259,'Species Data'!E:E,0)) &amp; " per kg crude throughput"</f>
        <v>[kg/kg] kg P-xylene per kg crude throughput</v>
      </c>
      <c r="K259" s="416"/>
      <c r="L259" s="416"/>
      <c r="M259" s="416"/>
      <c r="N259" s="416"/>
      <c r="O259" s="416"/>
      <c r="P259" s="417"/>
      <c r="Q259" s="2"/>
      <c r="R259" s="2"/>
      <c r="S259" s="2"/>
      <c r="T259" s="2"/>
      <c r="U259" s="2"/>
      <c r="V259" s="2"/>
      <c r="W259" s="2"/>
      <c r="X259" s="2"/>
      <c r="Y259" s="2"/>
    </row>
    <row r="260" spans="1:25" x14ac:dyDescent="0.25">
      <c r="A260" s="2"/>
      <c r="B260" s="17">
        <f t="shared" si="16"/>
        <v>7</v>
      </c>
      <c r="C260" s="38" t="str">
        <f t="shared" si="26"/>
        <v>propane</v>
      </c>
      <c r="D260" s="39" t="str">
        <f t="shared" si="28"/>
        <v>propane_p/100*VOC</v>
      </c>
      <c r="E260" s="68">
        <f t="shared" ca="1" si="27"/>
        <v>0</v>
      </c>
      <c r="F260" s="40"/>
      <c r="G260" s="41"/>
      <c r="H260" s="42" t="s">
        <v>489</v>
      </c>
      <c r="I260" s="40" t="s">
        <v>2235</v>
      </c>
      <c r="J260" s="415" t="str">
        <f ca="1">TEXT("[kg/kg] kg ","")&amp;INDIRECT("'Species Data'!D"&amp;MATCH('Data Summary'!C260,'Species Data'!E:E,0)) &amp; " per kg crude throughput"</f>
        <v>[kg/kg] kg Propane per kg crude throughput</v>
      </c>
      <c r="K260" s="416"/>
      <c r="L260" s="416"/>
      <c r="M260" s="416"/>
      <c r="N260" s="416"/>
      <c r="O260" s="416"/>
      <c r="P260" s="417"/>
      <c r="Q260" s="2"/>
      <c r="R260" s="2"/>
      <c r="S260" s="2"/>
      <c r="T260" s="2"/>
      <c r="U260" s="2"/>
      <c r="V260" s="2"/>
      <c r="W260" s="2"/>
      <c r="X260" s="2"/>
      <c r="Y260" s="2"/>
    </row>
    <row r="261" spans="1:25" x14ac:dyDescent="0.25">
      <c r="A261" s="2"/>
      <c r="B261" s="17">
        <f t="shared" si="16"/>
        <v>9</v>
      </c>
      <c r="C261" s="38" t="str">
        <f t="shared" si="26"/>
        <v>propylene</v>
      </c>
      <c r="D261" s="39" t="str">
        <f t="shared" si="28"/>
        <v>propylene_p/100*VOC</v>
      </c>
      <c r="E261" s="68">
        <f t="shared" ca="1" si="27"/>
        <v>0</v>
      </c>
      <c r="F261" s="40"/>
      <c r="G261" s="41"/>
      <c r="H261" s="42" t="s">
        <v>489</v>
      </c>
      <c r="I261" s="40" t="s">
        <v>2235</v>
      </c>
      <c r="J261" s="415" t="str">
        <f ca="1">TEXT("[kg/kg] kg ","")&amp;INDIRECT("'Species Data'!D"&amp;MATCH('Data Summary'!C261,'Species Data'!E:E,0)) &amp; " per kg crude throughput"</f>
        <v>[kg/kg] kg Propylene per kg crude throughput</v>
      </c>
      <c r="K261" s="416"/>
      <c r="L261" s="416"/>
      <c r="M261" s="416"/>
      <c r="N261" s="416"/>
      <c r="O261" s="416"/>
      <c r="P261" s="417"/>
      <c r="Q261" s="2"/>
      <c r="R261" s="2"/>
      <c r="S261" s="2"/>
      <c r="T261" s="2"/>
      <c r="U261" s="2"/>
      <c r="V261" s="2"/>
      <c r="W261" s="2"/>
      <c r="X261" s="2"/>
      <c r="Y261" s="2"/>
    </row>
    <row r="262" spans="1:25" x14ac:dyDescent="0.25">
      <c r="A262" s="2"/>
      <c r="B262" s="17">
        <f t="shared" si="16"/>
        <v>7</v>
      </c>
      <c r="C262" s="38" t="str">
        <f t="shared" si="26"/>
        <v>toluene</v>
      </c>
      <c r="D262" s="39" t="str">
        <f t="shared" si="28"/>
        <v>toluene_p/100*VOC</v>
      </c>
      <c r="E262" s="68">
        <f t="shared" ca="1" si="27"/>
        <v>2.1308326075653274E-6</v>
      </c>
      <c r="F262" s="40"/>
      <c r="G262" s="41"/>
      <c r="H262" s="42" t="s">
        <v>489</v>
      </c>
      <c r="I262" s="40" t="s">
        <v>2235</v>
      </c>
      <c r="J262" s="415" t="str">
        <f ca="1">TEXT("[kg/kg] kg ","")&amp;INDIRECT("'Species Data'!D"&amp;MATCH('Data Summary'!C262,'Species Data'!E:E,0)) &amp; " per kg crude throughput"</f>
        <v>[kg/kg] kg Toluene per kg crude throughput</v>
      </c>
      <c r="K262" s="416"/>
      <c r="L262" s="416"/>
      <c r="M262" s="416"/>
      <c r="N262" s="416"/>
      <c r="O262" s="416"/>
      <c r="P262" s="417"/>
      <c r="Q262" s="2"/>
      <c r="R262" s="2"/>
      <c r="S262" s="2"/>
      <c r="T262" s="2"/>
      <c r="U262" s="2"/>
      <c r="V262" s="2"/>
      <c r="W262" s="2"/>
      <c r="X262" s="2"/>
      <c r="Y262" s="2"/>
    </row>
    <row r="263" spans="1:25" x14ac:dyDescent="0.25">
      <c r="A263" s="2"/>
      <c r="B263" s="17">
        <f t="shared" si="16"/>
        <v>11</v>
      </c>
      <c r="C263" s="38" t="str">
        <f t="shared" si="26"/>
        <v>isompentane</v>
      </c>
      <c r="D263" s="39" t="str">
        <f t="shared" si="28"/>
        <v>isompentane_p/100*VOC</v>
      </c>
      <c r="E263" s="68">
        <f t="shared" ca="1" si="27"/>
        <v>0</v>
      </c>
      <c r="F263" s="40"/>
      <c r="G263" s="41"/>
      <c r="H263" s="42" t="s">
        <v>489</v>
      </c>
      <c r="I263" s="40" t="s">
        <v>2235</v>
      </c>
      <c r="J263" s="415" t="str">
        <f ca="1">TEXT("[kg/kg] kg ","")&amp;INDIRECT("'Species Data'!D"&amp;MATCH('Data Summary'!C263,'Species Data'!E:E,0)) &amp; " per kg crude throughput"</f>
        <v>[kg/kg] kg Isomers of pentane per kg crude throughput</v>
      </c>
      <c r="K263" s="416"/>
      <c r="L263" s="416"/>
      <c r="M263" s="416"/>
      <c r="N263" s="416"/>
      <c r="O263" s="416"/>
      <c r="P263" s="417"/>
      <c r="Q263" s="2"/>
      <c r="R263" s="2"/>
      <c r="S263" s="2"/>
      <c r="T263" s="2"/>
      <c r="U263" s="2"/>
      <c r="V263" s="2"/>
      <c r="W263" s="2"/>
      <c r="X263" s="2"/>
      <c r="Y263" s="2"/>
    </row>
    <row r="264" spans="1:25" x14ac:dyDescent="0.25">
      <c r="A264" s="2"/>
      <c r="B264" s="17">
        <f t="shared" si="16"/>
        <v>9</v>
      </c>
      <c r="C264" s="38" t="str">
        <f t="shared" si="26"/>
        <v>undef_VOC</v>
      </c>
      <c r="D264" s="39" t="str">
        <f t="shared" si="28"/>
        <v>undef_VOC_p/100*VOC</v>
      </c>
      <c r="E264" s="68">
        <f t="shared" ca="1" si="27"/>
        <v>1.9656076192781765E-5</v>
      </c>
      <c r="F264" s="40"/>
      <c r="G264" s="41"/>
      <c r="H264" s="42" t="s">
        <v>489</v>
      </c>
      <c r="I264" s="40" t="s">
        <v>2235</v>
      </c>
      <c r="J264" s="415" t="str">
        <f ca="1">TEXT("[kg/kg] kg ","")&amp;INDIRECT("'Species Data'!D"&amp;MATCH('Data Summary'!C264,'Species Data'!E:E,0)) &amp; " per kg crude throughput"</f>
        <v>[kg/kg] kg Undefined VOC per kg crude throughput</v>
      </c>
      <c r="K264" s="416"/>
      <c r="L264" s="416"/>
      <c r="M264" s="416"/>
      <c r="N264" s="416"/>
      <c r="O264" s="416"/>
      <c r="P264" s="417"/>
      <c r="Q264" s="2"/>
      <c r="R264" s="2"/>
      <c r="S264" s="2"/>
      <c r="T264" s="2"/>
      <c r="U264" s="2"/>
      <c r="V264" s="2"/>
      <c r="W264" s="2"/>
      <c r="X264" s="2"/>
      <c r="Y264" s="2"/>
    </row>
    <row r="265" spans="1:25" x14ac:dyDescent="0.25">
      <c r="A265" s="2"/>
      <c r="B265" s="17">
        <f t="shared" si="16"/>
        <v>9</v>
      </c>
      <c r="C265" s="38" t="str">
        <f t="shared" si="26"/>
        <v>i_hexanes</v>
      </c>
      <c r="D265" s="39" t="str">
        <f t="shared" si="28"/>
        <v>i_hexanes_p/100*VOC</v>
      </c>
      <c r="E265" s="68">
        <f t="shared" ca="1" si="27"/>
        <v>0</v>
      </c>
      <c r="F265" s="40"/>
      <c r="G265" s="41"/>
      <c r="H265" s="42" t="s">
        <v>489</v>
      </c>
      <c r="I265" s="40" t="s">
        <v>2235</v>
      </c>
      <c r="J265" s="415" t="str">
        <f ca="1">TEXT("[kg/kg] kg ","")&amp;INDIRECT("'Species Data'!D"&amp;MATCH('Data Summary'!C265,'Species Data'!E:E,0)) &amp; " per kg crude throughput"</f>
        <v>[kg/kg] kg Isomers of hexane per kg crude throughput</v>
      </c>
      <c r="K265" s="416"/>
      <c r="L265" s="416"/>
      <c r="M265" s="416"/>
      <c r="N265" s="416"/>
      <c r="O265" s="416"/>
      <c r="P265" s="417"/>
      <c r="Q265" s="2"/>
      <c r="R265" s="2"/>
      <c r="S265" s="2"/>
      <c r="T265" s="2"/>
      <c r="U265" s="2"/>
      <c r="V265" s="2"/>
      <c r="W265" s="2"/>
      <c r="X265" s="2"/>
      <c r="Y265" s="2"/>
    </row>
    <row r="266" spans="1:25" x14ac:dyDescent="0.25">
      <c r="A266" s="2"/>
      <c r="B266" s="17">
        <f t="shared" ref="B266:B273" si="29">LEN(C266)</f>
        <v>10</v>
      </c>
      <c r="C266" s="38" t="str">
        <f t="shared" si="26"/>
        <v>i_heptanes</v>
      </c>
      <c r="D266" s="39" t="str">
        <f t="shared" si="28"/>
        <v>i_heptanes_p/100*VOC</v>
      </c>
      <c r="E266" s="68">
        <f t="shared" ca="1" si="27"/>
        <v>0</v>
      </c>
      <c r="F266" s="40"/>
      <c r="G266" s="41"/>
      <c r="H266" s="42" t="s">
        <v>489</v>
      </c>
      <c r="I266" s="40" t="s">
        <v>2235</v>
      </c>
      <c r="J266" s="415" t="str">
        <f ca="1">TEXT("[kg/kg] kg ","")&amp;INDIRECT("'Species Data'!D"&amp;MATCH('Data Summary'!C266,'Species Data'!E:E,0)) &amp; " per kg crude throughput"</f>
        <v>[kg/kg] kg Isomers of heptane per kg crude throughput</v>
      </c>
      <c r="K266" s="416"/>
      <c r="L266" s="416"/>
      <c r="M266" s="416"/>
      <c r="N266" s="416"/>
      <c r="O266" s="416"/>
      <c r="P266" s="417"/>
      <c r="Q266" s="2"/>
      <c r="R266" s="2"/>
      <c r="S266" s="2"/>
      <c r="T266" s="2"/>
      <c r="U266" s="2"/>
      <c r="V266" s="2"/>
      <c r="W266" s="2"/>
      <c r="X266" s="2"/>
      <c r="Y266" s="2"/>
    </row>
    <row r="267" spans="1:25" x14ac:dyDescent="0.25">
      <c r="A267" s="2"/>
      <c r="B267" s="17">
        <f t="shared" si="29"/>
        <v>8</v>
      </c>
      <c r="C267" s="38" t="str">
        <f t="shared" si="26"/>
        <v>1_butene</v>
      </c>
      <c r="D267" s="39" t="str">
        <f t="shared" si="28"/>
        <v>1_butene_p/100*VOC</v>
      </c>
      <c r="E267" s="68">
        <f t="shared" ca="1" si="27"/>
        <v>1.0141395832797545E-6</v>
      </c>
      <c r="F267" s="40"/>
      <c r="G267" s="41"/>
      <c r="H267" s="42" t="s">
        <v>489</v>
      </c>
      <c r="I267" s="40" t="s">
        <v>2235</v>
      </c>
      <c r="J267" s="415" t="str">
        <f ca="1">TEXT("[kg/kg] kg ","")&amp;INDIRECT("'Species Data'!D"&amp;MATCH('Data Summary'!C267,'Species Data'!E:E,0)) &amp; " per kg crude throughput"</f>
        <v>[kg/kg] kg 1-butene per kg crude throughput</v>
      </c>
      <c r="K267" s="416"/>
      <c r="L267" s="416"/>
      <c r="M267" s="416"/>
      <c r="N267" s="416"/>
      <c r="O267" s="416"/>
      <c r="P267" s="417"/>
      <c r="Q267" s="2"/>
      <c r="R267" s="2"/>
      <c r="S267" s="2"/>
      <c r="T267" s="2"/>
      <c r="U267" s="2"/>
      <c r="V267" s="2"/>
      <c r="W267" s="2"/>
      <c r="X267" s="2"/>
      <c r="Y267" s="2"/>
    </row>
    <row r="268" spans="1:25" x14ac:dyDescent="0.25">
      <c r="A268" s="2"/>
      <c r="B268" s="17">
        <f t="shared" si="29"/>
        <v>9</v>
      </c>
      <c r="C268" s="38" t="str">
        <f t="shared" si="26"/>
        <v>1_pentene</v>
      </c>
      <c r="D268" s="39" t="str">
        <f t="shared" si="28"/>
        <v>1_pentene_p/100*VOC</v>
      </c>
      <c r="E268" s="68">
        <f t="shared" ca="1" si="27"/>
        <v>4.1021376402327156E-7</v>
      </c>
      <c r="F268" s="40"/>
      <c r="G268" s="41"/>
      <c r="H268" s="42" t="s">
        <v>489</v>
      </c>
      <c r="I268" s="40" t="s">
        <v>2235</v>
      </c>
      <c r="J268" s="415" t="str">
        <f ca="1">TEXT("[kg/kg] kg ","")&amp;INDIRECT("'Species Data'!D"&amp;MATCH('Data Summary'!C268,'Species Data'!E:E,0)) &amp; " per kg crude throughput"</f>
        <v>[kg/kg] kg 1-pentene per kg crude throughput</v>
      </c>
      <c r="K268" s="416"/>
      <c r="L268" s="416"/>
      <c r="M268" s="416"/>
      <c r="N268" s="416"/>
      <c r="O268" s="416"/>
      <c r="P268" s="417"/>
      <c r="Q268" s="2"/>
      <c r="R268" s="2"/>
      <c r="S268" s="2"/>
      <c r="T268" s="2"/>
      <c r="U268" s="2"/>
      <c r="V268" s="2"/>
      <c r="W268" s="2"/>
      <c r="X268" s="2"/>
      <c r="Y268" s="2"/>
    </row>
    <row r="269" spans="1:25" x14ac:dyDescent="0.25">
      <c r="A269" s="2"/>
      <c r="B269" s="17">
        <f t="shared" si="29"/>
        <v>10</v>
      </c>
      <c r="C269" s="38" t="str">
        <f t="shared" si="26"/>
        <v>C_2_butene</v>
      </c>
      <c r="D269" s="39" t="str">
        <f t="shared" si="28"/>
        <v>C_2_butene_p/100*VOC</v>
      </c>
      <c r="E269" s="68">
        <f t="shared" ca="1" si="27"/>
        <v>2.7347584268218105E-7</v>
      </c>
      <c r="F269" s="40"/>
      <c r="G269" s="41"/>
      <c r="H269" s="42" t="s">
        <v>489</v>
      </c>
      <c r="I269" s="40" t="s">
        <v>2235</v>
      </c>
      <c r="J269" s="415" t="str">
        <f ca="1">TEXT("[kg/kg] kg ","")&amp;INDIRECT("'Species Data'!D"&amp;MATCH('Data Summary'!C269,'Species Data'!E:E,0)) &amp; " per kg crude throughput"</f>
        <v>[kg/kg] kg Cis-2-butene per kg crude throughput</v>
      </c>
      <c r="K269" s="416"/>
      <c r="L269" s="416"/>
      <c r="M269" s="416"/>
      <c r="N269" s="416"/>
      <c r="O269" s="416"/>
      <c r="P269" s="417"/>
      <c r="Q269" s="2"/>
      <c r="R269" s="2"/>
      <c r="S269" s="2"/>
      <c r="T269" s="2"/>
      <c r="U269" s="2"/>
      <c r="V269" s="2"/>
      <c r="W269" s="2"/>
      <c r="X269" s="2"/>
      <c r="Y269" s="2"/>
    </row>
    <row r="270" spans="1:25" x14ac:dyDescent="0.25">
      <c r="A270" s="2"/>
      <c r="B270" s="17">
        <f t="shared" si="29"/>
        <v>11</v>
      </c>
      <c r="C270" s="38" t="str">
        <f t="shared" si="26"/>
        <v>C_2_pentene</v>
      </c>
      <c r="D270" s="39" t="str">
        <f t="shared" si="28"/>
        <v>C_2_pentene_p/100*VOC</v>
      </c>
      <c r="E270" s="68">
        <f t="shared" ca="1" si="27"/>
        <v>1.3673792134109053E-7</v>
      </c>
      <c r="F270" s="40"/>
      <c r="G270" s="41"/>
      <c r="H270" s="42" t="s">
        <v>489</v>
      </c>
      <c r="I270" s="40" t="s">
        <v>2235</v>
      </c>
      <c r="J270" s="415" t="str">
        <f ca="1">TEXT("[kg/kg] kg ","")&amp;INDIRECT("'Species Data'!D"&amp;MATCH('Data Summary'!C270,'Species Data'!E:E,0)) &amp; " per kg crude throughput"</f>
        <v>[kg/kg] kg Cis-2-pentene per kg crude throughput</v>
      </c>
      <c r="K270" s="416"/>
      <c r="L270" s="416"/>
      <c r="M270" s="416"/>
      <c r="N270" s="416"/>
      <c r="O270" s="416"/>
      <c r="P270" s="417"/>
      <c r="Q270" s="2"/>
      <c r="R270" s="2"/>
      <c r="S270" s="2"/>
      <c r="T270" s="2"/>
      <c r="U270" s="2"/>
      <c r="V270" s="2"/>
      <c r="W270" s="2"/>
      <c r="X270" s="2"/>
      <c r="Y270" s="2"/>
    </row>
    <row r="271" spans="1:25" x14ac:dyDescent="0.25">
      <c r="A271" s="2"/>
      <c r="B271" s="17">
        <f t="shared" si="29"/>
        <v>8</v>
      </c>
      <c r="C271" s="38" t="str">
        <f t="shared" si="26"/>
        <v>Isoprene</v>
      </c>
      <c r="D271" s="39" t="str">
        <f t="shared" si="28"/>
        <v>Isoprene_p/100*VOC</v>
      </c>
      <c r="E271" s="68">
        <f t="shared" ca="1" si="27"/>
        <v>2.2789653556848419E-8</v>
      </c>
      <c r="F271" s="40"/>
      <c r="G271" s="41"/>
      <c r="H271" s="42" t="s">
        <v>489</v>
      </c>
      <c r="I271" s="40" t="s">
        <v>2235</v>
      </c>
      <c r="J271" s="415" t="str">
        <f ca="1">TEXT("[kg/kg] kg ","")&amp;INDIRECT("'Species Data'!D"&amp;MATCH('Data Summary'!C271,'Species Data'!E:E,0)) &amp; " per kg crude throughput"</f>
        <v>[kg/kg] kg Isoprene (2-methyl-1,3-butadiene) per kg crude throughput</v>
      </c>
      <c r="K271" s="416"/>
      <c r="L271" s="416"/>
      <c r="M271" s="416"/>
      <c r="N271" s="416"/>
      <c r="O271" s="416"/>
      <c r="P271" s="417"/>
      <c r="Q271" s="2"/>
      <c r="R271" s="2"/>
      <c r="S271" s="2"/>
      <c r="T271" s="2"/>
      <c r="U271" s="2"/>
      <c r="V271" s="2"/>
      <c r="W271" s="2"/>
      <c r="X271" s="2"/>
      <c r="Y271" s="2"/>
    </row>
    <row r="272" spans="1:25" x14ac:dyDescent="0.25">
      <c r="A272" s="2"/>
      <c r="B272" s="17">
        <f t="shared" si="29"/>
        <v>7</v>
      </c>
      <c r="C272" s="38" t="str">
        <f t="shared" si="26"/>
        <v>Styrene</v>
      </c>
      <c r="D272" s="39" t="str">
        <f t="shared" si="28"/>
        <v>Styrene_p/100*VOC</v>
      </c>
      <c r="E272" s="68">
        <f t="shared" ca="1" si="27"/>
        <v>2.5068618912533258E-7</v>
      </c>
      <c r="F272" s="40"/>
      <c r="G272" s="41"/>
      <c r="H272" s="42" t="s">
        <v>489</v>
      </c>
      <c r="I272" s="40" t="s">
        <v>2235</v>
      </c>
      <c r="J272" s="415" t="str">
        <f ca="1">TEXT("[kg/kg] kg ","")&amp;INDIRECT("'Species Data'!D"&amp;MATCH('Data Summary'!C272,'Species Data'!E:E,0)) &amp; " per kg crude throughput"</f>
        <v>[kg/kg] kg Styrene per kg crude throughput</v>
      </c>
      <c r="K272" s="416"/>
      <c r="L272" s="416"/>
      <c r="M272" s="416"/>
      <c r="N272" s="416"/>
      <c r="O272" s="416"/>
      <c r="P272" s="417"/>
      <c r="Q272" s="2"/>
      <c r="R272" s="2"/>
      <c r="S272" s="2"/>
      <c r="T272" s="2"/>
      <c r="U272" s="2"/>
      <c r="V272" s="2"/>
      <c r="W272" s="2"/>
      <c r="X272" s="2"/>
      <c r="Y272" s="2"/>
    </row>
    <row r="273" spans="1:25" x14ac:dyDescent="0.25">
      <c r="A273" s="2"/>
      <c r="B273" s="17">
        <f t="shared" si="29"/>
        <v>10</v>
      </c>
      <c r="C273" s="38" t="str">
        <f t="shared" si="26"/>
        <v>T_2_butene</v>
      </c>
      <c r="D273" s="39" t="str">
        <f t="shared" si="28"/>
        <v>T_2_butene_p/100*VOC</v>
      </c>
      <c r="E273" s="68">
        <f t="shared" ca="1" si="27"/>
        <v>2.9626549623902943E-7</v>
      </c>
      <c r="F273" s="40"/>
      <c r="G273" s="41"/>
      <c r="H273" s="42" t="s">
        <v>489</v>
      </c>
      <c r="I273" s="40" t="s">
        <v>2235</v>
      </c>
      <c r="J273" s="415" t="str">
        <f ca="1">TEXT("[kg/kg] kg ","")&amp;INDIRECT("'Species Data'!D"&amp;MATCH('Data Summary'!C273,'Species Data'!E:E,0)) &amp; " per kg crude throughput"</f>
        <v>[kg/kg] kg Trans-2-butene per kg crude throughput</v>
      </c>
      <c r="K273" s="416"/>
      <c r="L273" s="416"/>
      <c r="M273" s="416"/>
      <c r="N273" s="416"/>
      <c r="O273" s="416"/>
      <c r="P273" s="417"/>
      <c r="Q273" s="2"/>
      <c r="R273" s="2"/>
      <c r="S273" s="2"/>
      <c r="T273" s="2"/>
      <c r="U273" s="2"/>
      <c r="V273" s="2"/>
      <c r="W273" s="2"/>
      <c r="X273" s="2"/>
      <c r="Y273" s="2"/>
    </row>
    <row r="274" spans="1:25" x14ac:dyDescent="0.25">
      <c r="A274" s="2"/>
      <c r="B274" s="17">
        <f t="shared" ref="B274:B337" si="30">LEN(C274)</f>
        <v>11</v>
      </c>
      <c r="C274" s="38" t="str">
        <f t="shared" si="26"/>
        <v>T_2_pentene</v>
      </c>
      <c r="D274" s="39" t="str">
        <f t="shared" si="28"/>
        <v>T_2_pentene_p/100*VOC</v>
      </c>
      <c r="E274" s="68">
        <f t="shared" ca="1" si="27"/>
        <v>2.7347584268218105E-7</v>
      </c>
      <c r="F274" s="40"/>
      <c r="G274" s="41"/>
      <c r="H274" s="42" t="s">
        <v>489</v>
      </c>
      <c r="I274" s="40" t="s">
        <v>2235</v>
      </c>
      <c r="J274" s="415" t="str">
        <f ca="1">TEXT("[kg/kg] kg ","")&amp;INDIRECT("'Species Data'!D"&amp;MATCH('Data Summary'!C274,'Species Data'!E:E,0)) &amp; " per kg crude throughput"</f>
        <v>[kg/kg] kg Trans-2-pentene per kg crude throughput</v>
      </c>
      <c r="K274" s="416"/>
      <c r="L274" s="416"/>
      <c r="M274" s="416"/>
      <c r="N274" s="416"/>
      <c r="O274" s="416"/>
      <c r="P274" s="417"/>
      <c r="Q274" s="2"/>
      <c r="R274" s="2"/>
      <c r="S274" s="2"/>
      <c r="T274" s="2"/>
      <c r="U274" s="2"/>
      <c r="V274" s="2"/>
      <c r="W274" s="2"/>
      <c r="X274" s="2"/>
      <c r="Y274" s="2"/>
    </row>
    <row r="275" spans="1:25" x14ac:dyDescent="0.25">
      <c r="A275" s="2"/>
      <c r="B275" s="17">
        <f t="shared" si="30"/>
        <v>13</v>
      </c>
      <c r="C275" s="340" t="str">
        <f>Water_emissions!CW16</f>
        <v>w_124TRIMET_L</v>
      </c>
      <c r="D275" s="341"/>
      <c r="E275" s="368">
        <f>HLOOKUP($C280,Water_emissions!$E$16:$CQ$32,3,FALSE)</f>
        <v>8.0939447096267695E-9</v>
      </c>
      <c r="F275" s="368">
        <f>HLOOKUP($C280,Water_emissions!$E$16:$CQ$32,8,FALSE)</f>
        <v>0</v>
      </c>
      <c r="G275" s="368">
        <f>HLOOKUP($C280,Water_emissions!$E$16:$CQ$32,13,FALSE)</f>
        <v>4.8563668257760613E-8</v>
      </c>
      <c r="H275" s="344" t="s">
        <v>1085</v>
      </c>
      <c r="I275" s="342" t="s">
        <v>2233</v>
      </c>
      <c r="J275" s="418" t="str">
        <f>Water_emissions!CY16</f>
        <v>[kg/bbl] kg of 1,2,4-TRIMETHYLBENZENE emissions to water per bbl of crude throughput - Low Complexity</v>
      </c>
      <c r="K275" s="419"/>
      <c r="L275" s="419"/>
      <c r="M275" s="419"/>
      <c r="N275" s="419"/>
      <c r="O275" s="419"/>
      <c r="P275" s="420"/>
      <c r="Q275" s="2"/>
      <c r="R275" s="2"/>
      <c r="S275" s="2"/>
      <c r="T275" s="2"/>
      <c r="U275" s="2"/>
      <c r="V275" s="2"/>
      <c r="W275" s="2"/>
      <c r="X275" s="2"/>
      <c r="Y275" s="2"/>
    </row>
    <row r="276" spans="1:25" x14ac:dyDescent="0.25">
      <c r="A276" s="2"/>
      <c r="B276" s="17">
        <f t="shared" si="30"/>
        <v>13</v>
      </c>
      <c r="C276" s="340" t="str">
        <f>Water_emissions!CW17</f>
        <v>w_124TRIMET_M</v>
      </c>
      <c r="D276" s="341"/>
      <c r="E276" s="368">
        <f>HLOOKUP($C280,Water_emissions!$E$16:$CQ$32,4,FALSE)</f>
        <v>9.4960803526266888E-3</v>
      </c>
      <c r="F276" s="368">
        <f>HLOOKUP($C280,Water_emissions!$E$16:$CQ$32,9,FALSE)</f>
        <v>0</v>
      </c>
      <c r="G276" s="368">
        <f>HLOOKUP($C280,Water_emissions!$E$16:$CQ$32,14,FALSE)</f>
        <v>5.8253617856266864E-2</v>
      </c>
      <c r="H276" s="344" t="s">
        <v>1085</v>
      </c>
      <c r="I276" s="342" t="s">
        <v>2233</v>
      </c>
      <c r="J276" s="418" t="str">
        <f>Water_emissions!CY17</f>
        <v>[kg/bbl] kg of 1,2,4-TRIMETHYLBENZENE emissions to water per bbl of crude throughput - Med Complexity</v>
      </c>
      <c r="K276" s="419"/>
      <c r="L276" s="419"/>
      <c r="M276" s="419"/>
      <c r="N276" s="419"/>
      <c r="O276" s="419"/>
      <c r="P276" s="420"/>
      <c r="Q276" s="2"/>
      <c r="R276" s="2"/>
      <c r="S276" s="2"/>
      <c r="T276" s="2"/>
      <c r="U276" s="2"/>
      <c r="V276" s="2"/>
      <c r="W276" s="2"/>
      <c r="X276" s="2"/>
      <c r="Y276" s="2"/>
    </row>
    <row r="277" spans="1:25" x14ac:dyDescent="0.25">
      <c r="A277" s="2"/>
      <c r="B277" s="17">
        <f t="shared" si="30"/>
        <v>15</v>
      </c>
      <c r="C277" s="340" t="str">
        <f>Water_emissions!CW18</f>
        <v>w_124TRIMET_HiH</v>
      </c>
      <c r="D277" s="341"/>
      <c r="E277" s="368">
        <f>HLOOKUP($C280,Water_emissions!$E$16:$CQ$32,5,FALSE)</f>
        <v>1.1205478269773932E-2</v>
      </c>
      <c r="F277" s="368">
        <f>HLOOKUP($C280,Water_emissions!$E$16:$CQ$32,10,FALSE)</f>
        <v>0</v>
      </c>
      <c r="G277" s="368">
        <f>HLOOKUP($C280,Water_emissions!$E$16:$CQ$32,15,FALSE)</f>
        <v>3.2546910863599593E-2</v>
      </c>
      <c r="H277" s="344" t="s">
        <v>1085</v>
      </c>
      <c r="I277" s="342" t="s">
        <v>2233</v>
      </c>
      <c r="J277" s="418" t="str">
        <f>Water_emissions!CY18</f>
        <v>[kg/bbl] kg of 1,2,4-TRIMETHYLBENZENE emissions to water per bbl of crude throughput - High Complexity Hydro Cracking</v>
      </c>
      <c r="K277" s="419"/>
      <c r="L277" s="419"/>
      <c r="M277" s="419"/>
      <c r="N277" s="419"/>
      <c r="O277" s="419"/>
      <c r="P277" s="420"/>
      <c r="Q277" s="2"/>
      <c r="R277" s="2"/>
      <c r="S277" s="2"/>
      <c r="T277" s="2"/>
      <c r="U277" s="2"/>
      <c r="V277" s="2"/>
      <c r="W277" s="2"/>
      <c r="X277" s="2"/>
      <c r="Y277" s="2"/>
    </row>
    <row r="278" spans="1:25" x14ac:dyDescent="0.25">
      <c r="A278" s="2"/>
      <c r="B278" s="17">
        <f t="shared" si="30"/>
        <v>15</v>
      </c>
      <c r="C278" s="340" t="str">
        <f>Water_emissions!CW19</f>
        <v>w_124TRIMET_HiC</v>
      </c>
      <c r="D278" s="341"/>
      <c r="E278" s="368">
        <f>HLOOKUP($C280,Water_emissions!$E$16:$CQ$32,6,FALSE)</f>
        <v>0.1037475969641979</v>
      </c>
      <c r="F278" s="368">
        <f>HLOOKUP($C280,Water_emissions!$E$16:$CQ$32,11,FALSE)</f>
        <v>0</v>
      </c>
      <c r="G278" s="368">
        <f>HLOOKUP($C280,Water_emissions!$E$16:$CQ$32,16,FALSE)</f>
        <v>0.91979396615158204</v>
      </c>
      <c r="H278" s="344" t="s">
        <v>1085</v>
      </c>
      <c r="I278" s="342" t="s">
        <v>2233</v>
      </c>
      <c r="J278" s="418" t="str">
        <f>Water_emissions!CY19</f>
        <v>[kg/bbl] kg of 1,2,4-TRIMETHYLBENZENE emissions to water per bbl of crude throughput - High Complexity Coking</v>
      </c>
      <c r="K278" s="419"/>
      <c r="L278" s="419"/>
      <c r="M278" s="419"/>
      <c r="N278" s="419"/>
      <c r="O278" s="419"/>
      <c r="P278" s="420"/>
      <c r="Q278" s="2"/>
      <c r="R278" s="2"/>
      <c r="S278" s="2"/>
      <c r="T278" s="2"/>
      <c r="U278" s="2"/>
      <c r="V278" s="2"/>
      <c r="W278" s="2"/>
      <c r="X278" s="2"/>
      <c r="Y278" s="2"/>
    </row>
    <row r="279" spans="1:25" x14ac:dyDescent="0.25">
      <c r="A279" s="2"/>
      <c r="B279" s="17">
        <f t="shared" si="30"/>
        <v>15</v>
      </c>
      <c r="C279" s="340" t="str">
        <f>Water_emissions!CW20</f>
        <v>w_124TRIMET_HiB</v>
      </c>
      <c r="D279" s="341"/>
      <c r="E279" s="368">
        <f>HLOOKUP($C280,Water_emissions!$E$16:$CQ$32,7,FALSE)</f>
        <v>9.2833076378490906E-3</v>
      </c>
      <c r="F279" s="368">
        <f>HLOOKUP($C280,Water_emissions!$E$16:$CQ$32,12,FALSE)</f>
        <v>0</v>
      </c>
      <c r="G279" s="368">
        <f>HLOOKUP($C280,Water_emissions!$E$16:$CQ$32,17,FALSE)</f>
        <v>5.8893111229976335E-2</v>
      </c>
      <c r="H279" s="344" t="s">
        <v>1085</v>
      </c>
      <c r="I279" s="342" t="s">
        <v>2233</v>
      </c>
      <c r="J279" s="418" t="str">
        <f>Water_emissions!CY20</f>
        <v>[kg/bbl] kg of 1,2,4-TRIMETHYLBENZENE emissions to water per bbl of crude throughput - High Complexity Hydro Cracking and Coking</v>
      </c>
      <c r="K279" s="419"/>
      <c r="L279" s="419"/>
      <c r="M279" s="419"/>
      <c r="N279" s="419"/>
      <c r="O279" s="419"/>
      <c r="P279" s="420"/>
      <c r="Q279" s="2"/>
      <c r="R279" s="2"/>
      <c r="S279" s="2"/>
      <c r="T279" s="2"/>
      <c r="U279" s="2"/>
      <c r="V279" s="2"/>
      <c r="W279" s="2"/>
      <c r="X279" s="2"/>
      <c r="Y279" s="2"/>
    </row>
    <row r="280" spans="1:25" ht="42.75" customHeight="1" x14ac:dyDescent="0.25">
      <c r="A280" s="2"/>
      <c r="B280" s="17">
        <f t="shared" si="30"/>
        <v>11</v>
      </c>
      <c r="C280" s="340" t="str">
        <f>Water_emissions!CW21</f>
        <v>w_124TRIMET</v>
      </c>
      <c r="D280" s="39" t="str">
        <f>"IF(NC=0;"&amp;C275&amp;";IF(NC=1;"&amp;C276&amp;";IF(NC=2;"&amp;C277&amp;";IF(NC=3;"&amp;C278&amp;";"&amp;C279&amp;"))))/"&amp;$C$27</f>
        <v>IF(NC=0;w_124TRIMET_L;IF(NC=1;w_124TRIMET_M;IF(NC=2;w_124TRIMET_HiH;IF(NC=3;w_124TRIMET_HiC;w_124TRIMET_HiB))))/Density_oil</v>
      </c>
      <c r="E280" s="68">
        <f>IF($E$24=0,E275,IF($E$24=1,E276,IF($E$24=2,E277,IF($E$24=3,E278,E279))))/$E$27</f>
        <v>6.6936269875709004E-5</v>
      </c>
      <c r="F280" s="342"/>
      <c r="G280" s="343"/>
      <c r="H280" s="344" t="s">
        <v>489</v>
      </c>
      <c r="I280" s="342" t="s">
        <v>2233</v>
      </c>
      <c r="J280" s="418" t="str">
        <f>Water_emissions!CY21</f>
        <v>[kg/bbl] kg of 1,2,4-TRIMETHYLBENZENE emissions to water per bbl of crude throughput</v>
      </c>
      <c r="K280" s="419"/>
      <c r="L280" s="419"/>
      <c r="M280" s="419"/>
      <c r="N280" s="419"/>
      <c r="O280" s="419"/>
      <c r="P280" s="420"/>
      <c r="Q280" s="2"/>
      <c r="R280" s="2"/>
      <c r="S280" s="2"/>
      <c r="T280" s="2"/>
      <c r="U280" s="2"/>
      <c r="V280" s="2"/>
      <c r="W280" s="2"/>
      <c r="X280" s="2"/>
      <c r="Y280" s="2"/>
    </row>
    <row r="281" spans="1:25" x14ac:dyDescent="0.25">
      <c r="A281" s="2"/>
      <c r="B281" s="17">
        <f t="shared" si="30"/>
        <v>13</v>
      </c>
      <c r="C281" s="340" t="str">
        <f>Water_emissions!CW22</f>
        <v>w_12DICHLOR_L</v>
      </c>
      <c r="D281" s="341"/>
      <c r="E281" s="368">
        <f>HLOOKUP($C286,Water_emissions!$E$16:$CQ$32,3,FALSE)</f>
        <v>3.1000413843066711E-8</v>
      </c>
      <c r="F281" s="368">
        <f>HLOOKUP($C286,Water_emissions!$E$16:$CQ$32,8,FALSE)</f>
        <v>0</v>
      </c>
      <c r="G281" s="368">
        <f>HLOOKUP($C286,Water_emissions!$E$16:$CQ$32,13,FALSE)</f>
        <v>6.2000827686133422E-8</v>
      </c>
      <c r="H281" s="344" t="s">
        <v>1085</v>
      </c>
      <c r="I281" s="342" t="s">
        <v>2233</v>
      </c>
      <c r="J281" s="418" t="str">
        <f>Water_emissions!CY22</f>
        <v>[kg/bbl] kg of 1,2-DICHLOROETHANE emissions to water per bbl of crude throughput - Low Complexity</v>
      </c>
      <c r="K281" s="419"/>
      <c r="L281" s="419"/>
      <c r="M281" s="419"/>
      <c r="N281" s="419"/>
      <c r="O281" s="419"/>
      <c r="P281" s="420"/>
      <c r="Q281" s="2"/>
      <c r="R281" s="2"/>
      <c r="S281" s="2"/>
      <c r="T281" s="2"/>
      <c r="U281" s="2"/>
      <c r="V281" s="2"/>
      <c r="W281" s="2"/>
      <c r="X281" s="2"/>
      <c r="Y281" s="2"/>
    </row>
    <row r="282" spans="1:25" x14ac:dyDescent="0.25">
      <c r="A282" s="2"/>
      <c r="B282" s="17">
        <f t="shared" si="30"/>
        <v>13</v>
      </c>
      <c r="C282" s="340" t="str">
        <f>Water_emissions!CW23</f>
        <v>w_12DICHLOR_M</v>
      </c>
      <c r="D282" s="341"/>
      <c r="E282" s="368">
        <f>HLOOKUP($C286,Water_emissions!$E$16:$CQ$32,4,FALSE)</f>
        <v>3.1000413843066711E-8</v>
      </c>
      <c r="F282" s="368">
        <f>HLOOKUP($C286,Water_emissions!$E$16:$CQ$32,9,FALSE)</f>
        <v>0</v>
      </c>
      <c r="G282" s="368">
        <f>HLOOKUP($C286,Water_emissions!$E$16:$CQ$32,14,FALSE)</f>
        <v>6.2000827686133422E-8</v>
      </c>
      <c r="H282" s="344" t="s">
        <v>1085</v>
      </c>
      <c r="I282" s="342" t="s">
        <v>2233</v>
      </c>
      <c r="J282" s="418" t="str">
        <f>Water_emissions!CY23</f>
        <v>[kg/bbl] kg of 1,2-DICHLOROETHANE emissions to water per bbl of crude throughput - Med Complexity</v>
      </c>
      <c r="K282" s="419"/>
      <c r="L282" s="419"/>
      <c r="M282" s="419"/>
      <c r="N282" s="419"/>
      <c r="O282" s="419"/>
      <c r="P282" s="420"/>
      <c r="Q282" s="2"/>
      <c r="R282" s="2"/>
      <c r="S282" s="2"/>
      <c r="T282" s="2"/>
      <c r="U282" s="2"/>
      <c r="V282" s="2"/>
      <c r="W282" s="2"/>
      <c r="X282" s="2"/>
      <c r="Y282" s="2"/>
    </row>
    <row r="283" spans="1:25" x14ac:dyDescent="0.25">
      <c r="A283" s="2"/>
      <c r="B283" s="17">
        <f t="shared" si="30"/>
        <v>15</v>
      </c>
      <c r="C283" s="340" t="str">
        <f>Water_emissions!CW24</f>
        <v>w_12DICHLOR_HiH</v>
      </c>
      <c r="D283" s="341"/>
      <c r="E283" s="368">
        <f>HLOOKUP($C286,Water_emissions!$E$16:$CQ$32,5,FALSE)</f>
        <v>3.1000413843066711E-8</v>
      </c>
      <c r="F283" s="368">
        <f>HLOOKUP($C286,Water_emissions!$E$16:$CQ$32,10,FALSE)</f>
        <v>0</v>
      </c>
      <c r="G283" s="368">
        <f>HLOOKUP($C286,Water_emissions!$E$16:$CQ$32,15,FALSE)</f>
        <v>6.2000827686133422E-8</v>
      </c>
      <c r="H283" s="344" t="s">
        <v>1085</v>
      </c>
      <c r="I283" s="342" t="s">
        <v>2233</v>
      </c>
      <c r="J283" s="418" t="str">
        <f>Water_emissions!CY24</f>
        <v>[kg/bbl] kg of 1,2-DICHLOROETHANE emissions to water per bbl of crude throughput - High Complexity Hydro Cracking</v>
      </c>
      <c r="K283" s="419"/>
      <c r="L283" s="419"/>
      <c r="M283" s="419"/>
      <c r="N283" s="419"/>
      <c r="O283" s="419"/>
      <c r="P283" s="420"/>
      <c r="Q283" s="2"/>
      <c r="R283" s="2"/>
      <c r="S283" s="2"/>
      <c r="T283" s="2"/>
      <c r="U283" s="2"/>
      <c r="V283" s="2"/>
      <c r="W283" s="2"/>
      <c r="X283" s="2"/>
      <c r="Y283" s="2"/>
    </row>
    <row r="284" spans="1:25" x14ac:dyDescent="0.25">
      <c r="A284" s="2"/>
      <c r="B284" s="17">
        <f t="shared" si="30"/>
        <v>15</v>
      </c>
      <c r="C284" s="340" t="str">
        <f>Water_emissions!CW25</f>
        <v>w_12DICHLOR_HiC</v>
      </c>
      <c r="D284" s="341"/>
      <c r="E284" s="368">
        <f>HLOOKUP($C286,Water_emissions!$E$16:$CQ$32,6,FALSE)</f>
        <v>3.1000413843066711E-8</v>
      </c>
      <c r="F284" s="368">
        <f>HLOOKUP($C286,Water_emissions!$E$16:$CQ$32,11,FALSE)</f>
        <v>0</v>
      </c>
      <c r="G284" s="368">
        <f>HLOOKUP($C286,Water_emissions!$E$16:$CQ$32,16,FALSE)</f>
        <v>6.2000827686133422E-8</v>
      </c>
      <c r="H284" s="344" t="s">
        <v>1085</v>
      </c>
      <c r="I284" s="342" t="s">
        <v>2233</v>
      </c>
      <c r="J284" s="418" t="str">
        <f>Water_emissions!CY25</f>
        <v>[kg/bbl] kg of 1,2-DICHLOROETHANE emissions to water per bbl of crude throughput - High Complexity Coking</v>
      </c>
      <c r="K284" s="419"/>
      <c r="L284" s="419"/>
      <c r="M284" s="419"/>
      <c r="N284" s="419"/>
      <c r="O284" s="419"/>
      <c r="P284" s="420"/>
      <c r="Q284" s="2"/>
      <c r="R284" s="2"/>
      <c r="S284" s="2"/>
      <c r="T284" s="2"/>
      <c r="U284" s="2"/>
      <c r="V284" s="2"/>
      <c r="W284" s="2"/>
      <c r="X284" s="2"/>
      <c r="Y284" s="2"/>
    </row>
    <row r="285" spans="1:25" x14ac:dyDescent="0.25">
      <c r="A285" s="2"/>
      <c r="B285" s="17">
        <f t="shared" si="30"/>
        <v>15</v>
      </c>
      <c r="C285" s="340" t="str">
        <f>Water_emissions!CW26</f>
        <v>w_12DICHLOR_HiB</v>
      </c>
      <c r="D285" s="341"/>
      <c r="E285" s="368">
        <f>HLOOKUP($C286,Water_emissions!$E$16:$CQ$32,7,FALSE)</f>
        <v>3.1000413843066711E-8</v>
      </c>
      <c r="F285" s="368">
        <f>HLOOKUP($C286,Water_emissions!$E$16:$CQ$32,12,FALSE)</f>
        <v>0</v>
      </c>
      <c r="G285" s="368">
        <f>HLOOKUP($C286,Water_emissions!$E$16:$CQ$32,17,FALSE)</f>
        <v>6.2000827686133422E-8</v>
      </c>
      <c r="H285" s="344" t="s">
        <v>1085</v>
      </c>
      <c r="I285" s="342" t="s">
        <v>2233</v>
      </c>
      <c r="J285" s="418" t="str">
        <f>Water_emissions!CY26</f>
        <v>[kg/bbl] kg of 1,2-DICHLOROETHANE emissions to water per bbl of crude throughput - High Complexity Hydro Cracking and Coking</v>
      </c>
      <c r="K285" s="419"/>
      <c r="L285" s="419"/>
      <c r="M285" s="419"/>
      <c r="N285" s="419"/>
      <c r="O285" s="419"/>
      <c r="P285" s="420"/>
      <c r="Q285" s="2"/>
      <c r="R285" s="2"/>
      <c r="S285" s="2"/>
      <c r="T285" s="2"/>
      <c r="U285" s="2"/>
      <c r="V285" s="2"/>
      <c r="W285" s="2"/>
      <c r="X285" s="2"/>
      <c r="Y285" s="2"/>
    </row>
    <row r="286" spans="1:25" ht="38.25" customHeight="1" x14ac:dyDescent="0.25">
      <c r="A286" s="2"/>
      <c r="B286" s="17">
        <f t="shared" si="30"/>
        <v>11</v>
      </c>
      <c r="C286" s="340" t="str">
        <f>Water_emissions!CW27</f>
        <v>w_12DICHLOR</v>
      </c>
      <c r="D286" s="39" t="str">
        <f>"IF(NC=0;"&amp;C281&amp;";IF(NC=1;"&amp;C282&amp;";IF(NC=2;"&amp;C283&amp;";IF(NC=3;"&amp;C284&amp;";"&amp;C285&amp;"))))/"&amp;$C$27</f>
        <v>IF(NC=0;w_12DICHLOR_L;IF(NC=1;w_12DICHLOR_M;IF(NC=2;w_12DICHLOR_HiH;IF(NC=3;w_12DICHLOR_HiC;w_12DICHLOR_HiB))))/Density_oil</v>
      </c>
      <c r="E286" s="68">
        <f>IF($E$24=0,E281,IF($E$24=1,E282,IF($E$24=2,E283,IF($E$24=3,E284,E285))))/$E$27</f>
        <v>2.2352507836732221E-10</v>
      </c>
      <c r="F286" s="342"/>
      <c r="G286" s="343"/>
      <c r="H286" s="344" t="s">
        <v>489</v>
      </c>
      <c r="I286" s="342" t="s">
        <v>2233</v>
      </c>
      <c r="J286" s="418" t="str">
        <f>Water_emissions!CY27</f>
        <v>[kg/bbl] kg of 1,2-DICHLOROETHANE emissions to water per bbl of crude throughput</v>
      </c>
      <c r="K286" s="419"/>
      <c r="L286" s="419"/>
      <c r="M286" s="419"/>
      <c r="N286" s="419"/>
      <c r="O286" s="419"/>
      <c r="P286" s="420"/>
      <c r="Q286" s="2"/>
      <c r="R286" s="2"/>
      <c r="S286" s="2"/>
      <c r="T286" s="2"/>
      <c r="U286" s="2"/>
      <c r="V286" s="2"/>
      <c r="W286" s="2"/>
      <c r="X286" s="2"/>
      <c r="Y286" s="2"/>
    </row>
    <row r="287" spans="1:25" x14ac:dyDescent="0.25">
      <c r="A287" s="2"/>
      <c r="B287" s="17">
        <f t="shared" si="30"/>
        <v>13</v>
      </c>
      <c r="C287" s="340" t="str">
        <f>Water_emissions!CW28</f>
        <v>w_13BUTADIE_L</v>
      </c>
      <c r="D287" s="341"/>
      <c r="E287" s="368">
        <f>HLOOKUP($C292,Water_emissions!$E$16:$CQ$32,3,FALSE)</f>
        <v>0</v>
      </c>
      <c r="F287" s="368">
        <f>HLOOKUP($C292,Water_emissions!$E$16:$CQ$32,8,FALSE)</f>
        <v>0</v>
      </c>
      <c r="G287" s="368">
        <f>HLOOKUP($C292,Water_emissions!$E$16:$CQ$32,13,FALSE)</f>
        <v>0</v>
      </c>
      <c r="H287" s="344" t="s">
        <v>1085</v>
      </c>
      <c r="I287" s="342" t="s">
        <v>2233</v>
      </c>
      <c r="J287" s="418" t="str">
        <f>Water_emissions!CY28</f>
        <v>[kg/bbl] kg of 1,3-BUTADIENE emissions to water per bbl of crude throughput - Low Complexity</v>
      </c>
      <c r="K287" s="419"/>
      <c r="L287" s="419"/>
      <c r="M287" s="419"/>
      <c r="N287" s="419"/>
      <c r="O287" s="419"/>
      <c r="P287" s="420"/>
      <c r="Q287" s="2"/>
      <c r="R287" s="2"/>
      <c r="S287" s="2"/>
      <c r="T287" s="2"/>
      <c r="U287" s="2"/>
      <c r="V287" s="2"/>
      <c r="W287" s="2"/>
      <c r="X287" s="2"/>
      <c r="Y287" s="2"/>
    </row>
    <row r="288" spans="1:25" x14ac:dyDescent="0.25">
      <c r="A288" s="2"/>
      <c r="B288" s="17">
        <f t="shared" si="30"/>
        <v>13</v>
      </c>
      <c r="C288" s="340" t="str">
        <f>Water_emissions!CW29</f>
        <v>w_13BUTADIE_M</v>
      </c>
      <c r="D288" s="341"/>
      <c r="E288" s="368">
        <f>HLOOKUP($C292,Water_emissions!$E$16:$CQ$32,4,FALSE)</f>
        <v>8.9493466976910683E-4</v>
      </c>
      <c r="F288" s="368">
        <f>HLOOKUP($C292,Water_emissions!$E$16:$CQ$32,9,FALSE)</f>
        <v>0</v>
      </c>
      <c r="G288" s="368">
        <f>HLOOKUP($C292,Water_emissions!$E$16:$CQ$32,14,FALSE)</f>
        <v>4.4746733488455342E-3</v>
      </c>
      <c r="H288" s="344" t="s">
        <v>1085</v>
      </c>
      <c r="I288" s="342" t="s">
        <v>2233</v>
      </c>
      <c r="J288" s="418" t="str">
        <f>Water_emissions!CY29</f>
        <v>[kg/bbl] kg of 1,3-BUTADIENE emissions to water per bbl of crude throughput - Med Complexity</v>
      </c>
      <c r="K288" s="419"/>
      <c r="L288" s="419"/>
      <c r="M288" s="419"/>
      <c r="N288" s="419"/>
      <c r="O288" s="419"/>
      <c r="P288" s="420"/>
      <c r="Q288" s="2"/>
      <c r="R288" s="2"/>
      <c r="S288" s="2"/>
      <c r="T288" s="2"/>
      <c r="U288" s="2"/>
      <c r="V288" s="2"/>
      <c r="W288" s="2"/>
      <c r="X288" s="2"/>
      <c r="Y288" s="2"/>
    </row>
    <row r="289" spans="1:25" x14ac:dyDescent="0.25">
      <c r="A289" s="2"/>
      <c r="B289" s="17">
        <f t="shared" si="30"/>
        <v>15</v>
      </c>
      <c r="C289" s="340" t="str">
        <f>Water_emissions!CW30</f>
        <v>w_13BUTADIE_HiH</v>
      </c>
      <c r="D289" s="341"/>
      <c r="E289" s="368">
        <f>HLOOKUP($C292,Water_emissions!$E$16:$CQ$32,5,FALSE)</f>
        <v>0</v>
      </c>
      <c r="F289" s="368">
        <f>HLOOKUP($C292,Water_emissions!$E$16:$CQ$32,10,FALSE)</f>
        <v>0</v>
      </c>
      <c r="G289" s="368">
        <f>HLOOKUP($C292,Water_emissions!$E$16:$CQ$32,15,FALSE)</f>
        <v>0</v>
      </c>
      <c r="H289" s="344" t="s">
        <v>1085</v>
      </c>
      <c r="I289" s="342" t="s">
        <v>2233</v>
      </c>
      <c r="J289" s="418" t="str">
        <f>Water_emissions!CY30</f>
        <v>[kg/bbl] kg of 1,3-BUTADIENE emissions to water per bbl of crude throughput - High Complexity Hydro Cracking</v>
      </c>
      <c r="K289" s="419"/>
      <c r="L289" s="419"/>
      <c r="M289" s="419"/>
      <c r="N289" s="419"/>
      <c r="O289" s="419"/>
      <c r="P289" s="420"/>
      <c r="Q289" s="2"/>
      <c r="R289" s="2"/>
      <c r="S289" s="2"/>
      <c r="T289" s="2"/>
      <c r="U289" s="2"/>
      <c r="V289" s="2"/>
      <c r="W289" s="2"/>
      <c r="X289" s="2"/>
      <c r="Y289" s="2"/>
    </row>
    <row r="290" spans="1:25" x14ac:dyDescent="0.25">
      <c r="A290" s="2"/>
      <c r="B290" s="17">
        <f t="shared" si="30"/>
        <v>15</v>
      </c>
      <c r="C290" s="340" t="str">
        <f>Water_emissions!CW31</f>
        <v>w_13BUTADIE_HiC</v>
      </c>
      <c r="D290" s="341"/>
      <c r="E290" s="368">
        <f>HLOOKUP($C292,Water_emissions!$E$16:$CQ$32,6,FALSE)</f>
        <v>1.4830811563080887E-4</v>
      </c>
      <c r="F290" s="368">
        <f>HLOOKUP($C292,Water_emissions!$E$16:$CQ$32,11,FALSE)</f>
        <v>0</v>
      </c>
      <c r="G290" s="368">
        <f>HLOOKUP($C292,Water_emissions!$E$16:$CQ$32,16,FALSE)</f>
        <v>1.3347730406772799E-3</v>
      </c>
      <c r="H290" s="344" t="s">
        <v>1085</v>
      </c>
      <c r="I290" s="342" t="s">
        <v>2233</v>
      </c>
      <c r="J290" s="418" t="str">
        <f>Water_emissions!CY31</f>
        <v>[kg/bbl] kg of 1,3-BUTADIENE emissions to water per bbl of crude throughput - High Complexity Coking</v>
      </c>
      <c r="K290" s="419"/>
      <c r="L290" s="419"/>
      <c r="M290" s="419"/>
      <c r="N290" s="419"/>
      <c r="O290" s="419"/>
      <c r="P290" s="420"/>
      <c r="Q290" s="2"/>
      <c r="R290" s="2"/>
      <c r="S290" s="2"/>
      <c r="T290" s="2"/>
      <c r="U290" s="2"/>
      <c r="V290" s="2"/>
      <c r="W290" s="2"/>
      <c r="X290" s="2"/>
      <c r="Y290" s="2"/>
    </row>
    <row r="291" spans="1:25" x14ac:dyDescent="0.25">
      <c r="A291" s="2"/>
      <c r="B291" s="17">
        <f t="shared" si="30"/>
        <v>15</v>
      </c>
      <c r="C291" s="340" t="str">
        <f>Water_emissions!CW32</f>
        <v>w_13BUTADIE_HiB</v>
      </c>
      <c r="D291" s="341"/>
      <c r="E291" s="368">
        <f>HLOOKUP($C292,Water_emissions!$E$16:$CQ$32,7,FALSE)</f>
        <v>4.6962558930663196E-3</v>
      </c>
      <c r="F291" s="368">
        <f>HLOOKUP($C292,Water_emissions!$E$16:$CQ$32,12,FALSE)</f>
        <v>0</v>
      </c>
      <c r="G291" s="368">
        <f>HLOOKUP($C292,Water_emissions!$E$16:$CQ$32,17,FALSE)</f>
        <v>2.7235908672468275E-2</v>
      </c>
      <c r="H291" s="344" t="s">
        <v>1085</v>
      </c>
      <c r="I291" s="342" t="s">
        <v>2233</v>
      </c>
      <c r="J291" s="418" t="str">
        <f>Water_emissions!CY32</f>
        <v>[kg/bbl] kg of 1,3-BUTADIENE emissions to water per bbl of crude throughput - High Complexity Hydro Cracking and Coking</v>
      </c>
      <c r="K291" s="419"/>
      <c r="L291" s="419"/>
      <c r="M291" s="419"/>
      <c r="N291" s="419"/>
      <c r="O291" s="419"/>
      <c r="P291" s="420"/>
      <c r="Q291" s="2"/>
      <c r="R291" s="2"/>
      <c r="S291" s="2"/>
      <c r="T291" s="2"/>
      <c r="U291" s="2"/>
      <c r="V291" s="2"/>
      <c r="W291" s="2"/>
      <c r="X291" s="2"/>
      <c r="Y291" s="2"/>
    </row>
    <row r="292" spans="1:25" ht="45" customHeight="1" x14ac:dyDescent="0.25">
      <c r="A292" s="2"/>
      <c r="B292" s="17">
        <f t="shared" si="30"/>
        <v>11</v>
      </c>
      <c r="C292" s="340" t="str">
        <f>Water_emissions!CW33</f>
        <v>w_13BUTADIE</v>
      </c>
      <c r="D292" s="39" t="str">
        <f>"IF(NC=0;"&amp;C287&amp;";IF(NC=1;"&amp;C288&amp;";IF(NC=2;"&amp;C289&amp;";IF(NC=3;"&amp;C290&amp;";"&amp;C291&amp;"))))/"&amp;$C$27</f>
        <v>IF(NC=0;w_13BUTADIE_L;IF(NC=1;w_13BUTADIE_M;IF(NC=2;w_13BUTADIE_HiH;IF(NC=3;w_13BUTADIE_HiC;w_13BUTADIE_HiB))))/Density_oil</v>
      </c>
      <c r="E292" s="68">
        <f>IF($E$24=0,E287,IF($E$24=1,E288,IF($E$24=2,E289,IF($E$24=3,E290,E291))))/$E$27</f>
        <v>3.3861837194970921E-5</v>
      </c>
      <c r="F292" s="342"/>
      <c r="G292" s="343"/>
      <c r="H292" s="344" t="s">
        <v>489</v>
      </c>
      <c r="I292" s="342" t="s">
        <v>2233</v>
      </c>
      <c r="J292" s="418" t="str">
        <f>Water_emissions!CY33</f>
        <v>[kg/bbl] kg of 1,3-BUTADIENE emissions to water per bbl of crude throughput</v>
      </c>
      <c r="K292" s="419"/>
      <c r="L292" s="419"/>
      <c r="M292" s="419"/>
      <c r="N292" s="419"/>
      <c r="O292" s="419"/>
      <c r="P292" s="420"/>
      <c r="Q292" s="2"/>
      <c r="R292" s="2"/>
      <c r="S292" s="2"/>
      <c r="T292" s="2"/>
      <c r="U292" s="2"/>
      <c r="V292" s="2"/>
      <c r="W292" s="2"/>
      <c r="X292" s="2"/>
      <c r="Y292" s="2"/>
    </row>
    <row r="293" spans="1:25" x14ac:dyDescent="0.25">
      <c r="A293" s="2"/>
      <c r="B293" s="17">
        <f t="shared" si="30"/>
        <v>13</v>
      </c>
      <c r="C293" s="340" t="str">
        <f>Water_emissions!CW34</f>
        <v>w_24DIMETHY_L</v>
      </c>
      <c r="D293" s="341"/>
      <c r="E293" s="368">
        <f>HLOOKUP($C298,Water_emissions!$E$16:$CQ$32,3,FALSE)</f>
        <v>2.1107301599823037E-2</v>
      </c>
      <c r="F293" s="368">
        <f>HLOOKUP($C298,Water_emissions!$E$16:$CQ$32,8,FALSE)</f>
        <v>1.0011828909095978E-2</v>
      </c>
      <c r="G293" s="368">
        <f>HLOOKUP($C298,Water_emissions!$E$16:$CQ$32,13,FALSE)</f>
        <v>3.6921544592927992E-2</v>
      </c>
      <c r="H293" s="344" t="s">
        <v>1085</v>
      </c>
      <c r="I293" s="342" t="s">
        <v>2233</v>
      </c>
      <c r="J293" s="418" t="str">
        <f>Water_emissions!CY34</f>
        <v>[kg/bbl] kg of 2,4-DIMETHYLPHENOL emissions to water per bbl of crude throughput - Low Complexity</v>
      </c>
      <c r="K293" s="419"/>
      <c r="L293" s="419"/>
      <c r="M293" s="419"/>
      <c r="N293" s="419"/>
      <c r="O293" s="419"/>
      <c r="P293" s="420"/>
      <c r="Q293" s="2"/>
      <c r="R293" s="2"/>
      <c r="S293" s="2"/>
      <c r="T293" s="2"/>
      <c r="U293" s="2"/>
      <c r="V293" s="2"/>
      <c r="W293" s="2"/>
      <c r="X293" s="2"/>
      <c r="Y293" s="2"/>
    </row>
    <row r="294" spans="1:25" x14ac:dyDescent="0.25">
      <c r="A294" s="2"/>
      <c r="B294" s="17">
        <f t="shared" si="30"/>
        <v>13</v>
      </c>
      <c r="C294" s="340" t="str">
        <f>Water_emissions!CW35</f>
        <v>w_24DIMETHY_M</v>
      </c>
      <c r="D294" s="341"/>
      <c r="E294" s="368">
        <f>HLOOKUP($C298,Water_emissions!$E$16:$CQ$32,4,FALSE)</f>
        <v>2.1107301599823037E-2</v>
      </c>
      <c r="F294" s="368">
        <f>HLOOKUP($C298,Water_emissions!$E$16:$CQ$32,9,FALSE)</f>
        <v>1.0011828909095978E-2</v>
      </c>
      <c r="G294" s="368">
        <f>HLOOKUP($C298,Water_emissions!$E$16:$CQ$32,14,FALSE)</f>
        <v>3.6921544592927992E-2</v>
      </c>
      <c r="H294" s="344" t="s">
        <v>1085</v>
      </c>
      <c r="I294" s="342" t="s">
        <v>2233</v>
      </c>
      <c r="J294" s="418" t="str">
        <f>Water_emissions!CY35</f>
        <v>[kg/bbl] kg of 2,4-DIMETHYLPHENOL emissions to water per bbl of crude throughput - Med Complexity</v>
      </c>
      <c r="K294" s="419"/>
      <c r="L294" s="419"/>
      <c r="M294" s="419"/>
      <c r="N294" s="419"/>
      <c r="O294" s="419"/>
      <c r="P294" s="420"/>
      <c r="Q294" s="2"/>
      <c r="R294" s="2"/>
      <c r="S294" s="2"/>
      <c r="T294" s="2"/>
      <c r="U294" s="2"/>
      <c r="V294" s="2"/>
      <c r="W294" s="2"/>
      <c r="X294" s="2"/>
      <c r="Y294" s="2"/>
    </row>
    <row r="295" spans="1:25" x14ac:dyDescent="0.25">
      <c r="A295" s="2"/>
      <c r="B295" s="17">
        <f t="shared" si="30"/>
        <v>15</v>
      </c>
      <c r="C295" s="340" t="str">
        <f>Water_emissions!CW36</f>
        <v>w_24DIMETHY_HiH</v>
      </c>
      <c r="D295" s="341"/>
      <c r="E295" s="368">
        <f>HLOOKUP($C298,Water_emissions!$E$16:$CQ$32,5,FALSE)</f>
        <v>2.1107301599823037E-2</v>
      </c>
      <c r="F295" s="368">
        <f>HLOOKUP($C298,Water_emissions!$E$16:$CQ$32,10,FALSE)</f>
        <v>1.0011828909095978E-2</v>
      </c>
      <c r="G295" s="368">
        <f>HLOOKUP($C298,Water_emissions!$E$16:$CQ$32,15,FALSE)</f>
        <v>3.6921544592927992E-2</v>
      </c>
      <c r="H295" s="344" t="s">
        <v>1085</v>
      </c>
      <c r="I295" s="342" t="s">
        <v>2233</v>
      </c>
      <c r="J295" s="418" t="str">
        <f>Water_emissions!CY36</f>
        <v>[kg/bbl] kg of 2,4-DIMETHYLPHENOL emissions to water per bbl of crude throughput - High Complexity Hydro Cracking</v>
      </c>
      <c r="K295" s="419"/>
      <c r="L295" s="419"/>
      <c r="M295" s="419"/>
      <c r="N295" s="419"/>
      <c r="O295" s="419"/>
      <c r="P295" s="420"/>
      <c r="Q295" s="2"/>
      <c r="R295" s="2"/>
      <c r="S295" s="2"/>
      <c r="T295" s="2"/>
      <c r="U295" s="2"/>
      <c r="V295" s="2"/>
      <c r="W295" s="2"/>
      <c r="X295" s="2"/>
      <c r="Y295" s="2"/>
    </row>
    <row r="296" spans="1:25" x14ac:dyDescent="0.25">
      <c r="A296" s="2"/>
      <c r="B296" s="17">
        <f t="shared" si="30"/>
        <v>15</v>
      </c>
      <c r="C296" s="340" t="str">
        <f>Water_emissions!CW37</f>
        <v>w_24DIMETHY_HiC</v>
      </c>
      <c r="D296" s="341"/>
      <c r="E296" s="368">
        <f>HLOOKUP($C298,Water_emissions!$E$16:$CQ$32,6,FALSE)</f>
        <v>2.1107301599823037E-2</v>
      </c>
      <c r="F296" s="368">
        <f>HLOOKUP($C298,Water_emissions!$E$16:$CQ$32,11,FALSE)</f>
        <v>1.0011828909095978E-2</v>
      </c>
      <c r="G296" s="368">
        <f>HLOOKUP($C298,Water_emissions!$E$16:$CQ$32,16,FALSE)</f>
        <v>3.6921544592927992E-2</v>
      </c>
      <c r="H296" s="344" t="s">
        <v>1085</v>
      </c>
      <c r="I296" s="342" t="s">
        <v>2233</v>
      </c>
      <c r="J296" s="418" t="str">
        <f>Water_emissions!CY37</f>
        <v>[kg/bbl] kg of 2,4-DIMETHYLPHENOL emissions to water per bbl of crude throughput - High Complexity Coking</v>
      </c>
      <c r="K296" s="419"/>
      <c r="L296" s="419"/>
      <c r="M296" s="419"/>
      <c r="N296" s="419"/>
      <c r="O296" s="419"/>
      <c r="P296" s="420"/>
      <c r="Q296" s="2"/>
      <c r="R296" s="2"/>
      <c r="S296" s="2"/>
      <c r="T296" s="2"/>
      <c r="U296" s="2"/>
      <c r="V296" s="2"/>
      <c r="W296" s="2"/>
      <c r="X296" s="2"/>
      <c r="Y296" s="2"/>
    </row>
    <row r="297" spans="1:25" x14ac:dyDescent="0.25">
      <c r="A297" s="2"/>
      <c r="B297" s="17">
        <f t="shared" si="30"/>
        <v>15</v>
      </c>
      <c r="C297" s="340" t="str">
        <f>Water_emissions!CW38</f>
        <v>w_24DIMETHY_HiB</v>
      </c>
      <c r="D297" s="341"/>
      <c r="E297" s="368">
        <f>HLOOKUP($C298,Water_emissions!$E$16:$CQ$32,7,FALSE)</f>
        <v>2.1107301599823037E-2</v>
      </c>
      <c r="F297" s="368">
        <f>HLOOKUP($C298,Water_emissions!$E$16:$CQ$32,12,FALSE)</f>
        <v>1.0011828909095978E-2</v>
      </c>
      <c r="G297" s="368">
        <f>HLOOKUP($C298,Water_emissions!$E$16:$CQ$32,17,FALSE)</f>
        <v>3.6921544592927992E-2</v>
      </c>
      <c r="H297" s="344" t="s">
        <v>1085</v>
      </c>
      <c r="I297" s="342" t="s">
        <v>2233</v>
      </c>
      <c r="J297" s="418" t="str">
        <f>Water_emissions!CY38</f>
        <v>[kg/bbl] kg of 2,4-DIMETHYLPHENOL emissions to water per bbl of crude throughput - High Complexity Hydro Cracking and Coking</v>
      </c>
      <c r="K297" s="419"/>
      <c r="L297" s="419"/>
      <c r="M297" s="419"/>
      <c r="N297" s="419"/>
      <c r="O297" s="419"/>
      <c r="P297" s="420"/>
      <c r="Q297" s="2"/>
      <c r="R297" s="2"/>
      <c r="S297" s="2"/>
      <c r="T297" s="2"/>
      <c r="U297" s="2"/>
      <c r="V297" s="2"/>
      <c r="W297" s="2"/>
      <c r="X297" s="2"/>
      <c r="Y297" s="2"/>
    </row>
    <row r="298" spans="1:25" ht="41.25" customHeight="1" x14ac:dyDescent="0.25">
      <c r="A298" s="2"/>
      <c r="B298" s="17">
        <f t="shared" si="30"/>
        <v>11</v>
      </c>
      <c r="C298" s="340" t="str">
        <f>Water_emissions!CW39</f>
        <v>w_24DIMETHY</v>
      </c>
      <c r="D298" s="39" t="str">
        <f>"IF(NC=0;"&amp;C293&amp;";IF(NC=1;"&amp;C294&amp;";IF(NC=2;"&amp;C295&amp;";IF(NC=3;"&amp;C296&amp;";"&amp;C297&amp;"))))/"&amp;$C$27</f>
        <v>IF(NC=0;w_24DIMETHY_L;IF(NC=1;w_24DIMETHY_M;IF(NC=2;w_24DIMETHY_HiH;IF(NC=3;w_24DIMETHY_HiC;w_24DIMETHY_HiB))))/Density_oil</v>
      </c>
      <c r="E298" s="68">
        <f>IF($E$24=0,E293,IF($E$24=1,E294,IF($E$24=2,E295,IF($E$24=3,E296,E297))))/$E$27</f>
        <v>1.521918793764213E-4</v>
      </c>
      <c r="F298" s="342"/>
      <c r="G298" s="343"/>
      <c r="H298" s="344" t="s">
        <v>489</v>
      </c>
      <c r="I298" s="342" t="s">
        <v>2233</v>
      </c>
      <c r="J298" s="418" t="str">
        <f>Water_emissions!CY39</f>
        <v>[kg/bbl] kg of 2,4-DIMETHYLPHENOL emissions to water per bbl of crude throughput</v>
      </c>
      <c r="K298" s="419"/>
      <c r="L298" s="419"/>
      <c r="M298" s="419"/>
      <c r="N298" s="419"/>
      <c r="O298" s="419"/>
      <c r="P298" s="420"/>
      <c r="Q298" s="2"/>
      <c r="R298" s="2"/>
      <c r="S298" s="2"/>
      <c r="T298" s="2"/>
      <c r="U298" s="2"/>
      <c r="V298" s="2"/>
      <c r="W298" s="2"/>
      <c r="X298" s="2"/>
      <c r="Y298" s="2"/>
    </row>
    <row r="299" spans="1:25" x14ac:dyDescent="0.25">
      <c r="A299" s="2"/>
      <c r="B299" s="17">
        <f t="shared" si="30"/>
        <v>13</v>
      </c>
      <c r="C299" s="340" t="str">
        <f>Water_emissions!CW40</f>
        <v>w_2METHYLNA_L</v>
      </c>
      <c r="D299" s="341"/>
      <c r="E299" s="368">
        <f>HLOOKUP($C304,Water_emissions!$E$16:$CQ$32,3,FALSE)</f>
        <v>8.441651154178101E-7</v>
      </c>
      <c r="F299" s="368">
        <f>HLOOKUP($C304,Water_emissions!$E$16:$CQ$32,8,FALSE)</f>
        <v>8.441651154178101E-7</v>
      </c>
      <c r="G299" s="368">
        <f>HLOOKUP($C304,Water_emissions!$E$16:$CQ$32,13,FALSE)</f>
        <v>8.441651154178101E-7</v>
      </c>
      <c r="H299" s="344" t="s">
        <v>1085</v>
      </c>
      <c r="I299" s="342" t="s">
        <v>2233</v>
      </c>
      <c r="J299" s="418" t="str">
        <f>Water_emissions!CY40</f>
        <v>[kg/bbl] kg of 2-METHYLNAPHTHALENE emissions to water per bbl of crude throughput - Low Complexity</v>
      </c>
      <c r="K299" s="419"/>
      <c r="L299" s="419"/>
      <c r="M299" s="419"/>
      <c r="N299" s="419"/>
      <c r="O299" s="419"/>
      <c r="P299" s="420"/>
      <c r="Q299" s="2"/>
      <c r="R299" s="2"/>
      <c r="S299" s="2"/>
      <c r="T299" s="2"/>
      <c r="U299" s="2"/>
      <c r="V299" s="2"/>
      <c r="W299" s="2"/>
      <c r="X299" s="2"/>
      <c r="Y299" s="2"/>
    </row>
    <row r="300" spans="1:25" x14ac:dyDescent="0.25">
      <c r="A300" s="2"/>
      <c r="B300" s="17">
        <f t="shared" si="30"/>
        <v>13</v>
      </c>
      <c r="C300" s="340" t="str">
        <f>Water_emissions!CW41</f>
        <v>w_2METHYLNA_M</v>
      </c>
      <c r="D300" s="341"/>
      <c r="E300" s="368">
        <f>HLOOKUP($C304,Water_emissions!$E$16:$CQ$32,4,FALSE)</f>
        <v>8.441651154178101E-7</v>
      </c>
      <c r="F300" s="368">
        <f>HLOOKUP($C304,Water_emissions!$E$16:$CQ$32,9,FALSE)</f>
        <v>8.441651154178101E-7</v>
      </c>
      <c r="G300" s="368">
        <f>HLOOKUP($C304,Water_emissions!$E$16:$CQ$32,14,FALSE)</f>
        <v>8.441651154178101E-7</v>
      </c>
      <c r="H300" s="344" t="s">
        <v>1085</v>
      </c>
      <c r="I300" s="342" t="s">
        <v>2233</v>
      </c>
      <c r="J300" s="418" t="str">
        <f>Water_emissions!CY41</f>
        <v>[kg/bbl] kg of 2-METHYLNAPHTHALENE emissions to water per bbl of crude throughput - Med Complexity</v>
      </c>
      <c r="K300" s="419"/>
      <c r="L300" s="419"/>
      <c r="M300" s="419"/>
      <c r="N300" s="419"/>
      <c r="O300" s="419"/>
      <c r="P300" s="420"/>
      <c r="Q300" s="2"/>
      <c r="R300" s="2"/>
      <c r="S300" s="2"/>
      <c r="T300" s="2"/>
      <c r="U300" s="2"/>
      <c r="V300" s="2"/>
      <c r="W300" s="2"/>
      <c r="X300" s="2"/>
      <c r="Y300" s="2"/>
    </row>
    <row r="301" spans="1:25" x14ac:dyDescent="0.25">
      <c r="A301" s="2"/>
      <c r="B301" s="17">
        <f t="shared" si="30"/>
        <v>15</v>
      </c>
      <c r="C301" s="340" t="str">
        <f>Water_emissions!CW42</f>
        <v>w_2METHYLNA_HiH</v>
      </c>
      <c r="D301" s="341"/>
      <c r="E301" s="368">
        <f>HLOOKUP($C304,Water_emissions!$E$16:$CQ$32,5,FALSE)</f>
        <v>8.441651154178101E-7</v>
      </c>
      <c r="F301" s="368">
        <f>HLOOKUP($C304,Water_emissions!$E$16:$CQ$32,10,FALSE)</f>
        <v>8.441651154178101E-7</v>
      </c>
      <c r="G301" s="368">
        <f>HLOOKUP($C304,Water_emissions!$E$16:$CQ$32,15,FALSE)</f>
        <v>8.441651154178101E-7</v>
      </c>
      <c r="H301" s="344" t="s">
        <v>1085</v>
      </c>
      <c r="I301" s="342" t="s">
        <v>2233</v>
      </c>
      <c r="J301" s="418" t="str">
        <f>Water_emissions!CY42</f>
        <v>[kg/bbl] kg of 2-METHYLNAPHTHALENE emissions to water per bbl of crude throughput - High Complexity Hydro Cracking</v>
      </c>
      <c r="K301" s="419"/>
      <c r="L301" s="419"/>
      <c r="M301" s="419"/>
      <c r="N301" s="419"/>
      <c r="O301" s="419"/>
      <c r="P301" s="420"/>
      <c r="Q301" s="2"/>
      <c r="R301" s="2"/>
      <c r="S301" s="2"/>
      <c r="T301" s="2"/>
      <c r="U301" s="2"/>
      <c r="V301" s="2"/>
      <c r="W301" s="2"/>
      <c r="X301" s="2"/>
      <c r="Y301" s="2"/>
    </row>
    <row r="302" spans="1:25" x14ac:dyDescent="0.25">
      <c r="A302" s="2"/>
      <c r="B302" s="17">
        <f t="shared" si="30"/>
        <v>15</v>
      </c>
      <c r="C302" s="340" t="str">
        <f>Water_emissions!CW43</f>
        <v>w_2METHYLNA_HiC</v>
      </c>
      <c r="D302" s="341"/>
      <c r="E302" s="368">
        <f>HLOOKUP($C304,Water_emissions!$E$16:$CQ$32,6,FALSE)</f>
        <v>8.441651154178101E-7</v>
      </c>
      <c r="F302" s="368">
        <f>HLOOKUP($C304,Water_emissions!$E$16:$CQ$32,11,FALSE)</f>
        <v>8.441651154178101E-7</v>
      </c>
      <c r="G302" s="368">
        <f>HLOOKUP($C304,Water_emissions!$E$16:$CQ$32,16,FALSE)</f>
        <v>8.441651154178101E-7</v>
      </c>
      <c r="H302" s="344" t="s">
        <v>1085</v>
      </c>
      <c r="I302" s="342" t="s">
        <v>2233</v>
      </c>
      <c r="J302" s="418" t="str">
        <f>Water_emissions!CY43</f>
        <v>[kg/bbl] kg of 2-METHYLNAPHTHALENE emissions to water per bbl of crude throughput - High Complexity Coking</v>
      </c>
      <c r="K302" s="419"/>
      <c r="L302" s="419"/>
      <c r="M302" s="419"/>
      <c r="N302" s="419"/>
      <c r="O302" s="419"/>
      <c r="P302" s="420"/>
      <c r="Q302" s="2"/>
      <c r="R302" s="2"/>
      <c r="S302" s="2"/>
      <c r="T302" s="2"/>
      <c r="U302" s="2"/>
      <c r="V302" s="2"/>
      <c r="W302" s="2"/>
      <c r="X302" s="2"/>
      <c r="Y302" s="2"/>
    </row>
    <row r="303" spans="1:25" x14ac:dyDescent="0.25">
      <c r="A303" s="2"/>
      <c r="B303" s="17">
        <f t="shared" si="30"/>
        <v>15</v>
      </c>
      <c r="C303" s="340" t="str">
        <f>Water_emissions!CW44</f>
        <v>w_2METHYLNA_HiB</v>
      </c>
      <c r="D303" s="341"/>
      <c r="E303" s="368">
        <f>HLOOKUP($C304,Water_emissions!$E$16:$CQ$32,7,FALSE)</f>
        <v>8.441651154178101E-7</v>
      </c>
      <c r="F303" s="368">
        <f>HLOOKUP($C304,Water_emissions!$E$16:$CQ$32,12,FALSE)</f>
        <v>8.441651154178101E-7</v>
      </c>
      <c r="G303" s="368">
        <f>HLOOKUP($C304,Water_emissions!$E$16:$CQ$32,17,FALSE)</f>
        <v>8.441651154178101E-7</v>
      </c>
      <c r="H303" s="344" t="s">
        <v>1085</v>
      </c>
      <c r="I303" s="342" t="s">
        <v>2233</v>
      </c>
      <c r="J303" s="418" t="str">
        <f>Water_emissions!CY44</f>
        <v>[kg/bbl] kg of 2-METHYLNAPHTHALENE emissions to water per bbl of crude throughput - High Complexity Hydro Cracking and Coking</v>
      </c>
      <c r="K303" s="419"/>
      <c r="L303" s="419"/>
      <c r="M303" s="419"/>
      <c r="N303" s="419"/>
      <c r="O303" s="419"/>
      <c r="P303" s="420"/>
      <c r="Q303" s="2"/>
      <c r="R303" s="2"/>
      <c r="S303" s="2"/>
      <c r="T303" s="2"/>
      <c r="U303" s="2"/>
      <c r="V303" s="2"/>
      <c r="W303" s="2"/>
      <c r="X303" s="2"/>
      <c r="Y303" s="2"/>
    </row>
    <row r="304" spans="1:25" ht="39.75" customHeight="1" x14ac:dyDescent="0.25">
      <c r="A304" s="2"/>
      <c r="B304" s="17">
        <f t="shared" si="30"/>
        <v>11</v>
      </c>
      <c r="C304" s="340" t="str">
        <f>Water_emissions!CW45</f>
        <v>w_2METHYLNA</v>
      </c>
      <c r="D304" s="39" t="str">
        <f>"IF(NC=0;"&amp;C299&amp;";IF(NC=1;"&amp;C300&amp;";IF(NC=2;"&amp;C301&amp;";IF(NC=3;"&amp;C302&amp;";"&amp;C303&amp;"))))/"&amp;$C$27</f>
        <v>IF(NC=0;w_2METHYLNA_L;IF(NC=1;w_2METHYLNA_M;IF(NC=2;w_2METHYLNA_HiH;IF(NC=3;w_2METHYLNA_HiC;w_2METHYLNA_HiB))))/Density_oil</v>
      </c>
      <c r="E304" s="68">
        <f>IF($E$24=0,E299,IF($E$24=1,E300,IF($E$24=2,E301,IF($E$24=3,E302,E303))))/$E$27</f>
        <v>6.0867598263023464E-9</v>
      </c>
      <c r="F304" s="342"/>
      <c r="G304" s="343"/>
      <c r="H304" s="344" t="s">
        <v>489</v>
      </c>
      <c r="I304" s="342" t="s">
        <v>2233</v>
      </c>
      <c r="J304" s="418" t="str">
        <f>Water_emissions!CY45</f>
        <v>[kg/bbl] kg of 2-METHYLNAPHTHALENE emissions to water per bbl of crude throughput</v>
      </c>
      <c r="K304" s="419"/>
      <c r="L304" s="419"/>
      <c r="M304" s="419"/>
      <c r="N304" s="419"/>
      <c r="O304" s="419"/>
      <c r="P304" s="420"/>
      <c r="Q304" s="2"/>
      <c r="R304" s="2"/>
      <c r="S304" s="2"/>
      <c r="T304" s="2"/>
      <c r="U304" s="2"/>
      <c r="V304" s="2"/>
      <c r="W304" s="2"/>
      <c r="X304" s="2"/>
      <c r="Y304" s="2"/>
    </row>
    <row r="305" spans="1:25" x14ac:dyDescent="0.25">
      <c r="A305" s="2"/>
      <c r="B305" s="17">
        <f t="shared" si="30"/>
        <v>13</v>
      </c>
      <c r="C305" s="340" t="str">
        <f>Water_emissions!CW46</f>
        <v>w_ACETONITR_L</v>
      </c>
      <c r="D305" s="341"/>
      <c r="E305" s="368">
        <f>HLOOKUP($C310,Water_emissions!$E$16:$CQ$32,3,FALSE)</f>
        <v>0.47652826208338644</v>
      </c>
      <c r="F305" s="368">
        <f>HLOOKUP($C310,Water_emissions!$E$16:$CQ$32,8,FALSE)</f>
        <v>0.47652826208338644</v>
      </c>
      <c r="G305" s="368">
        <f>HLOOKUP($C310,Water_emissions!$E$16:$CQ$32,13,FALSE)</f>
        <v>0.47652826208338644</v>
      </c>
      <c r="H305" s="344" t="s">
        <v>1085</v>
      </c>
      <c r="I305" s="342" t="s">
        <v>2233</v>
      </c>
      <c r="J305" s="418" t="str">
        <f>Water_emissions!CY46</f>
        <v>[kg/bbl] kg of ACETONITRILE emissions to water per bbl of crude throughput - Low Complexity</v>
      </c>
      <c r="K305" s="419"/>
      <c r="L305" s="419"/>
      <c r="M305" s="419"/>
      <c r="N305" s="419"/>
      <c r="O305" s="419"/>
      <c r="P305" s="420"/>
      <c r="Q305" s="2"/>
      <c r="R305" s="2"/>
      <c r="S305" s="2"/>
      <c r="T305" s="2"/>
      <c r="U305" s="2"/>
      <c r="V305" s="2"/>
      <c r="W305" s="2"/>
      <c r="X305" s="2"/>
      <c r="Y305" s="2"/>
    </row>
    <row r="306" spans="1:25" x14ac:dyDescent="0.25">
      <c r="A306" s="2"/>
      <c r="B306" s="17">
        <f t="shared" si="30"/>
        <v>13</v>
      </c>
      <c r="C306" s="340" t="str">
        <f>Water_emissions!CW47</f>
        <v>w_ACETONITR_M</v>
      </c>
      <c r="D306" s="341"/>
      <c r="E306" s="368">
        <f>HLOOKUP($C310,Water_emissions!$E$16:$CQ$32,4,FALSE)</f>
        <v>0.47652826208338644</v>
      </c>
      <c r="F306" s="368">
        <f>HLOOKUP($C310,Water_emissions!$E$16:$CQ$32,9,FALSE)</f>
        <v>0.47652826208338644</v>
      </c>
      <c r="G306" s="368">
        <f>HLOOKUP($C310,Water_emissions!$E$16:$CQ$32,14,FALSE)</f>
        <v>0.47652826208338644</v>
      </c>
      <c r="H306" s="344" t="s">
        <v>1085</v>
      </c>
      <c r="I306" s="342" t="s">
        <v>2233</v>
      </c>
      <c r="J306" s="418" t="str">
        <f>Water_emissions!CY47</f>
        <v>[kg/bbl] kg of ACETONITRILE emissions to water per bbl of crude throughput - Med Complexity</v>
      </c>
      <c r="K306" s="419"/>
      <c r="L306" s="419"/>
      <c r="M306" s="419"/>
      <c r="N306" s="419"/>
      <c r="O306" s="419"/>
      <c r="P306" s="420"/>
      <c r="Q306" s="2"/>
      <c r="R306" s="2"/>
      <c r="S306" s="2"/>
      <c r="T306" s="2"/>
      <c r="U306" s="2"/>
      <c r="V306" s="2"/>
      <c r="W306" s="2"/>
      <c r="X306" s="2"/>
      <c r="Y306" s="2"/>
    </row>
    <row r="307" spans="1:25" x14ac:dyDescent="0.25">
      <c r="A307" s="2"/>
      <c r="B307" s="17">
        <f t="shared" si="30"/>
        <v>15</v>
      </c>
      <c r="C307" s="340" t="str">
        <f>Water_emissions!CW48</f>
        <v>w_ACETONITR_HiH</v>
      </c>
      <c r="D307" s="341"/>
      <c r="E307" s="368">
        <f>HLOOKUP($C310,Water_emissions!$E$16:$CQ$32,5,FALSE)</f>
        <v>0.47652826208338644</v>
      </c>
      <c r="F307" s="368">
        <f>HLOOKUP($C310,Water_emissions!$E$16:$CQ$32,10,FALSE)</f>
        <v>0.47652826208338644</v>
      </c>
      <c r="G307" s="368">
        <f>HLOOKUP($C310,Water_emissions!$E$16:$CQ$32,15,FALSE)</f>
        <v>0.47652826208338644</v>
      </c>
      <c r="H307" s="344" t="s">
        <v>1085</v>
      </c>
      <c r="I307" s="342" t="s">
        <v>2233</v>
      </c>
      <c r="J307" s="418" t="str">
        <f>Water_emissions!CY48</f>
        <v>[kg/bbl] kg of ACETONITRILE emissions to water per bbl of crude throughput - High Complexity Hydro Cracking</v>
      </c>
      <c r="K307" s="419"/>
      <c r="L307" s="419"/>
      <c r="M307" s="419"/>
      <c r="N307" s="419"/>
      <c r="O307" s="419"/>
      <c r="P307" s="420"/>
      <c r="Q307" s="2"/>
      <c r="R307" s="2"/>
      <c r="S307" s="2"/>
      <c r="T307" s="2"/>
      <c r="U307" s="2"/>
      <c r="V307" s="2"/>
      <c r="W307" s="2"/>
      <c r="X307" s="2"/>
      <c r="Y307" s="2"/>
    </row>
    <row r="308" spans="1:25" x14ac:dyDescent="0.25">
      <c r="A308" s="2"/>
      <c r="B308" s="17">
        <f t="shared" si="30"/>
        <v>15</v>
      </c>
      <c r="C308" s="340" t="str">
        <f>Water_emissions!CW49</f>
        <v>w_ACETONITR_HiC</v>
      </c>
      <c r="D308" s="341"/>
      <c r="E308" s="368">
        <f>HLOOKUP($C310,Water_emissions!$E$16:$CQ$32,6,FALSE)</f>
        <v>0.47652826208338644</v>
      </c>
      <c r="F308" s="368">
        <f>HLOOKUP($C310,Water_emissions!$E$16:$CQ$32,11,FALSE)</f>
        <v>0.47652826208338644</v>
      </c>
      <c r="G308" s="368">
        <f>HLOOKUP($C310,Water_emissions!$E$16:$CQ$32,16,FALSE)</f>
        <v>0.47652826208338644</v>
      </c>
      <c r="H308" s="344" t="s">
        <v>1085</v>
      </c>
      <c r="I308" s="342" t="s">
        <v>2233</v>
      </c>
      <c r="J308" s="418" t="str">
        <f>Water_emissions!CY49</f>
        <v>[kg/bbl] kg of ACETONITRILE emissions to water per bbl of crude throughput - High Complexity Coking</v>
      </c>
      <c r="K308" s="419"/>
      <c r="L308" s="419"/>
      <c r="M308" s="419"/>
      <c r="N308" s="419"/>
      <c r="O308" s="419"/>
      <c r="P308" s="420"/>
      <c r="Q308" s="2"/>
      <c r="R308" s="2"/>
      <c r="S308" s="2"/>
      <c r="T308" s="2"/>
      <c r="U308" s="2"/>
      <c r="V308" s="2"/>
      <c r="W308" s="2"/>
      <c r="X308" s="2"/>
      <c r="Y308" s="2"/>
    </row>
    <row r="309" spans="1:25" x14ac:dyDescent="0.25">
      <c r="A309" s="2"/>
      <c r="B309" s="17">
        <f t="shared" si="30"/>
        <v>15</v>
      </c>
      <c r="C309" s="340" t="str">
        <f>Water_emissions!CW50</f>
        <v>w_ACETONITR_HiB</v>
      </c>
      <c r="D309" s="341"/>
      <c r="E309" s="368">
        <f>HLOOKUP($C310,Water_emissions!$E$16:$CQ$32,7,FALSE)</f>
        <v>0.47652826208338644</v>
      </c>
      <c r="F309" s="368">
        <f>HLOOKUP($C310,Water_emissions!$E$16:$CQ$32,12,FALSE)</f>
        <v>0.47652826208338644</v>
      </c>
      <c r="G309" s="368">
        <f>HLOOKUP($C310,Water_emissions!$E$16:$CQ$32,17,FALSE)</f>
        <v>0.47652826208338644</v>
      </c>
      <c r="H309" s="344" t="s">
        <v>1085</v>
      </c>
      <c r="I309" s="342" t="s">
        <v>2233</v>
      </c>
      <c r="J309" s="418" t="str">
        <f>Water_emissions!CY50</f>
        <v>[kg/bbl] kg of ACETONITRILE emissions to water per bbl of crude throughput - High Complexity Hydro Cracking and Coking</v>
      </c>
      <c r="K309" s="419"/>
      <c r="L309" s="419"/>
      <c r="M309" s="419"/>
      <c r="N309" s="419"/>
      <c r="O309" s="419"/>
      <c r="P309" s="420"/>
      <c r="Q309" s="2"/>
      <c r="R309" s="2"/>
      <c r="S309" s="2"/>
      <c r="T309" s="2"/>
      <c r="U309" s="2"/>
      <c r="V309" s="2"/>
      <c r="W309" s="2"/>
      <c r="X309" s="2"/>
      <c r="Y309" s="2"/>
    </row>
    <row r="310" spans="1:25" ht="39.75" customHeight="1" x14ac:dyDescent="0.25">
      <c r="A310" s="2"/>
      <c r="B310" s="17">
        <f t="shared" si="30"/>
        <v>11</v>
      </c>
      <c r="C310" s="340" t="str">
        <f>Water_emissions!CW51</f>
        <v>w_ACETONITR</v>
      </c>
      <c r="D310" s="39" t="str">
        <f>"IF(NC=0;"&amp;C305&amp;";IF(NC=1;"&amp;C306&amp;";IF(NC=2;"&amp;C307&amp;";IF(NC=3;"&amp;C308&amp;";"&amp;C309&amp;"))))/"&amp;$C$27</f>
        <v>IF(NC=0;w_ACETONITR_L;IF(NC=1;w_ACETONITR_M;IF(NC=2;w_ACETONITR_HiH;IF(NC=3;w_ACETONITR_HiC;w_ACETONITR_HiB))))/Density_oil</v>
      </c>
      <c r="E310" s="68">
        <f>IF($E$24=0,E305,IF($E$24=1,E306,IF($E$24=2,E307,IF($E$24=3,E308,E309))))/$E$27</f>
        <v>3.4359546832390198E-3</v>
      </c>
      <c r="F310" s="342"/>
      <c r="G310" s="343"/>
      <c r="H310" s="344" t="s">
        <v>489</v>
      </c>
      <c r="I310" s="342" t="s">
        <v>2233</v>
      </c>
      <c r="J310" s="418" t="str">
        <f>Water_emissions!CY51</f>
        <v>[kg/bbl] kg of ACETONITRILE emissions to water per bbl of crude throughput</v>
      </c>
      <c r="K310" s="419"/>
      <c r="L310" s="419"/>
      <c r="M310" s="419"/>
      <c r="N310" s="419"/>
      <c r="O310" s="419"/>
      <c r="P310" s="420"/>
      <c r="Q310" s="2"/>
      <c r="R310" s="2"/>
      <c r="S310" s="2"/>
      <c r="T310" s="2"/>
      <c r="U310" s="2"/>
      <c r="V310" s="2"/>
      <c r="W310" s="2"/>
      <c r="X310" s="2"/>
      <c r="Y310" s="2"/>
    </row>
    <row r="311" spans="1:25" x14ac:dyDescent="0.25">
      <c r="A311" s="2"/>
      <c r="B311" s="17">
        <f t="shared" si="30"/>
        <v>13</v>
      </c>
      <c r="C311" s="340" t="str">
        <f>Water_emissions!CW52</f>
        <v>w_Aluminumt_L</v>
      </c>
      <c r="D311" s="341"/>
      <c r="E311" s="368">
        <f>HLOOKUP($C316,Water_emissions!$E$16:$CQ$32,3,FALSE)</f>
        <v>3.7595474784855398E-4</v>
      </c>
      <c r="F311" s="368">
        <f>HLOOKUP($C316,Water_emissions!$E$16:$CQ$32,8,FALSE)</f>
        <v>0</v>
      </c>
      <c r="G311" s="368">
        <f>HLOOKUP($C316,Water_emissions!$E$16:$CQ$32,13,FALSE)</f>
        <v>1.2789749190736763E-3</v>
      </c>
      <c r="H311" s="344" t="s">
        <v>1085</v>
      </c>
      <c r="I311" s="342" t="s">
        <v>2233</v>
      </c>
      <c r="J311" s="418" t="str">
        <f>Water_emissions!CY52</f>
        <v>[kg/bbl] kg of Aluminum, total (as Al) emissions to water per bbl of crude throughput - Low Complexity</v>
      </c>
      <c r="K311" s="419"/>
      <c r="L311" s="419"/>
      <c r="M311" s="419"/>
      <c r="N311" s="419"/>
      <c r="O311" s="419"/>
      <c r="P311" s="420"/>
      <c r="Q311" s="2"/>
      <c r="R311" s="2"/>
      <c r="S311" s="2"/>
      <c r="T311" s="2"/>
      <c r="U311" s="2"/>
      <c r="V311" s="2"/>
      <c r="W311" s="2"/>
      <c r="X311" s="2"/>
      <c r="Y311" s="2"/>
    </row>
    <row r="312" spans="1:25" x14ac:dyDescent="0.25">
      <c r="A312" s="2"/>
      <c r="B312" s="17">
        <f t="shared" si="30"/>
        <v>13</v>
      </c>
      <c r="C312" s="340" t="str">
        <f>Water_emissions!CW53</f>
        <v>w_Aluminumt_M</v>
      </c>
      <c r="D312" s="341"/>
      <c r="E312" s="368">
        <f>HLOOKUP($C316,Water_emissions!$E$16:$CQ$32,4,FALSE)</f>
        <v>3.7595474784855398E-4</v>
      </c>
      <c r="F312" s="368">
        <f>HLOOKUP($C316,Water_emissions!$E$16:$CQ$32,9,FALSE)</f>
        <v>0</v>
      </c>
      <c r="G312" s="368">
        <f>HLOOKUP($C316,Water_emissions!$E$16:$CQ$32,14,FALSE)</f>
        <v>1.2789749190736763E-3</v>
      </c>
      <c r="H312" s="344" t="s">
        <v>1085</v>
      </c>
      <c r="I312" s="342" t="s">
        <v>2233</v>
      </c>
      <c r="J312" s="418" t="str">
        <f>Water_emissions!CY53</f>
        <v>[kg/bbl] kg of Aluminum, total (as Al) emissions to water per bbl of crude throughput - Med Complexity</v>
      </c>
      <c r="K312" s="419"/>
      <c r="L312" s="419"/>
      <c r="M312" s="419"/>
      <c r="N312" s="419"/>
      <c r="O312" s="419"/>
      <c r="P312" s="420"/>
      <c r="Q312" s="2"/>
      <c r="R312" s="2"/>
      <c r="S312" s="2"/>
      <c r="T312" s="2"/>
      <c r="U312" s="2"/>
      <c r="V312" s="2"/>
      <c r="W312" s="2"/>
      <c r="X312" s="2"/>
      <c r="Y312" s="2"/>
    </row>
    <row r="313" spans="1:25" x14ac:dyDescent="0.25">
      <c r="A313" s="2"/>
      <c r="B313" s="17">
        <f t="shared" si="30"/>
        <v>15</v>
      </c>
      <c r="C313" s="340" t="str">
        <f>Water_emissions!CW54</f>
        <v>w_Aluminumt_HiH</v>
      </c>
      <c r="D313" s="341"/>
      <c r="E313" s="368">
        <f>HLOOKUP($C316,Water_emissions!$E$16:$CQ$32,5,FALSE)</f>
        <v>1.2789749190736763E-3</v>
      </c>
      <c r="F313" s="368">
        <f>HLOOKUP($C316,Water_emissions!$E$16:$CQ$32,10,FALSE)</f>
        <v>1.2789749190736763E-3</v>
      </c>
      <c r="G313" s="368">
        <f>HLOOKUP($C316,Water_emissions!$E$16:$CQ$32,15,FALSE)</f>
        <v>1.2789749190736763E-3</v>
      </c>
      <c r="H313" s="344" t="s">
        <v>1085</v>
      </c>
      <c r="I313" s="342" t="s">
        <v>2233</v>
      </c>
      <c r="J313" s="418" t="str">
        <f>Water_emissions!CY54</f>
        <v>[kg/bbl] kg of Aluminum, total (as Al) emissions to water per bbl of crude throughput - High Complexity Hydro Cracking</v>
      </c>
      <c r="K313" s="419"/>
      <c r="L313" s="419"/>
      <c r="M313" s="419"/>
      <c r="N313" s="419"/>
      <c r="O313" s="419"/>
      <c r="P313" s="420"/>
      <c r="Q313" s="2"/>
      <c r="R313" s="2"/>
      <c r="S313" s="2"/>
      <c r="T313" s="2"/>
      <c r="U313" s="2"/>
      <c r="V313" s="2"/>
      <c r="W313" s="2"/>
      <c r="X313" s="2"/>
      <c r="Y313" s="2"/>
    </row>
    <row r="314" spans="1:25" x14ac:dyDescent="0.25">
      <c r="A314" s="2"/>
      <c r="B314" s="17">
        <f t="shared" si="30"/>
        <v>15</v>
      </c>
      <c r="C314" s="340" t="str">
        <f>Water_emissions!CW55</f>
        <v>w_Aluminumt_HiC</v>
      </c>
      <c r="D314" s="341"/>
      <c r="E314" s="368">
        <f>HLOOKUP($C316,Water_emissions!$E$16:$CQ$32,6,FALSE)</f>
        <v>2.9637434748025553E-4</v>
      </c>
      <c r="F314" s="368">
        <f>HLOOKUP($C316,Water_emissions!$E$16:$CQ$32,11,FALSE)</f>
        <v>0</v>
      </c>
      <c r="G314" s="368">
        <f>HLOOKUP($C316,Water_emissions!$E$16:$CQ$32,16,FALSE)</f>
        <v>5.9274869496051105E-4</v>
      </c>
      <c r="H314" s="344" t="s">
        <v>1085</v>
      </c>
      <c r="I314" s="342" t="s">
        <v>2233</v>
      </c>
      <c r="J314" s="418" t="str">
        <f>Water_emissions!CY55</f>
        <v>[kg/bbl] kg of Aluminum, total (as Al) emissions to water per bbl of crude throughput - High Complexity Coking</v>
      </c>
      <c r="K314" s="419"/>
      <c r="L314" s="419"/>
      <c r="M314" s="419"/>
      <c r="N314" s="419"/>
      <c r="O314" s="419"/>
      <c r="P314" s="420"/>
      <c r="Q314" s="2"/>
      <c r="R314" s="2"/>
      <c r="S314" s="2"/>
      <c r="T314" s="2"/>
      <c r="U314" s="2"/>
      <c r="V314" s="2"/>
      <c r="W314" s="2"/>
      <c r="X314" s="2"/>
      <c r="Y314" s="2"/>
    </row>
    <row r="315" spans="1:25" x14ac:dyDescent="0.25">
      <c r="A315" s="2"/>
      <c r="B315" s="17">
        <f t="shared" si="30"/>
        <v>15</v>
      </c>
      <c r="C315" s="340" t="str">
        <f>Water_emissions!CW56</f>
        <v>w_Aluminumt_HiB</v>
      </c>
      <c r="D315" s="341"/>
      <c r="E315" s="368">
        <f>HLOOKUP($C316,Water_emissions!$E$16:$CQ$32,7,FALSE)</f>
        <v>4.0250626042913964E-6</v>
      </c>
      <c r="F315" s="368">
        <f>HLOOKUP($C316,Water_emissions!$E$16:$CQ$32,12,FALSE)</f>
        <v>2.3435964639045176E-6</v>
      </c>
      <c r="G315" s="368">
        <f>HLOOKUP($C316,Water_emissions!$E$16:$CQ$32,17,FALSE)</f>
        <v>5.7065287446782756E-6</v>
      </c>
      <c r="H315" s="344" t="s">
        <v>1085</v>
      </c>
      <c r="I315" s="342" t="s">
        <v>2233</v>
      </c>
      <c r="J315" s="418" t="str">
        <f>Water_emissions!CY56</f>
        <v>[kg/bbl] kg of Aluminum, total (as Al) emissions to water per bbl of crude throughput - High Complexity Hydro Cracking and Coking</v>
      </c>
      <c r="K315" s="419"/>
      <c r="L315" s="419"/>
      <c r="M315" s="419"/>
      <c r="N315" s="419"/>
      <c r="O315" s="419"/>
      <c r="P315" s="420"/>
      <c r="Q315" s="2"/>
      <c r="R315" s="2"/>
      <c r="S315" s="2"/>
      <c r="T315" s="2"/>
      <c r="U315" s="2"/>
      <c r="V315" s="2"/>
      <c r="W315" s="2"/>
      <c r="X315" s="2"/>
      <c r="Y315" s="2"/>
    </row>
    <row r="316" spans="1:25" ht="39" x14ac:dyDescent="0.25">
      <c r="A316" s="2"/>
      <c r="B316" s="17">
        <f t="shared" si="30"/>
        <v>11</v>
      </c>
      <c r="C316" s="340" t="str">
        <f>Water_emissions!CW57</f>
        <v>w_Aluminumt</v>
      </c>
      <c r="D316" s="39" t="str">
        <f>"IF(NC=0;"&amp;C311&amp;";IF(NC=1;"&amp;C312&amp;";IF(NC=2;"&amp;C313&amp;";IF(NC=3;"&amp;C314&amp;";"&amp;C315&amp;"))))/"&amp;$C$27</f>
        <v>IF(NC=0;w_Aluminumt_L;IF(NC=1;w_Aluminumt_M;IF(NC=2;w_Aluminumt_HiH;IF(NC=3;w_Aluminumt_HiC;w_Aluminumt_HiB))))/Density_oil</v>
      </c>
      <c r="E316" s="68">
        <f>IF($E$24=0,E311,IF($E$24=1,E312,IF($E$24=2,E313,IF($E$24=3,E314,E315))))/$E$27</f>
        <v>2.9022271722312253E-8</v>
      </c>
      <c r="F316" s="342"/>
      <c r="G316" s="343"/>
      <c r="H316" s="344" t="s">
        <v>489</v>
      </c>
      <c r="I316" s="342" t="s">
        <v>2233</v>
      </c>
      <c r="J316" s="418" t="str">
        <f>Water_emissions!CY57</f>
        <v>[kg/bbl] kg of Aluminum, total (as Al) emissions to water per bbl of crude throughput</v>
      </c>
      <c r="K316" s="419"/>
      <c r="L316" s="419"/>
      <c r="M316" s="419"/>
      <c r="N316" s="419"/>
      <c r="O316" s="419"/>
      <c r="P316" s="420"/>
      <c r="Q316" s="2"/>
      <c r="R316" s="2"/>
      <c r="S316" s="2"/>
      <c r="T316" s="2"/>
      <c r="U316" s="2"/>
      <c r="V316" s="2"/>
      <c r="W316" s="2"/>
      <c r="X316" s="2"/>
      <c r="Y316" s="2"/>
    </row>
    <row r="317" spans="1:25" x14ac:dyDescent="0.25">
      <c r="A317" s="2"/>
      <c r="B317" s="17">
        <f t="shared" si="30"/>
        <v>11</v>
      </c>
      <c r="C317" s="340" t="str">
        <f>Water_emissions!CW58</f>
        <v>w_AMMONIA_L</v>
      </c>
      <c r="D317" s="341"/>
      <c r="E317" s="368">
        <f>HLOOKUP($C322,Water_emissions!$E$16:$CQ$32,3,FALSE)</f>
        <v>1.6987943491133053E-4</v>
      </c>
      <c r="F317" s="368">
        <f>HLOOKUP($C322,Water_emissions!$E$16:$CQ$32,8,FALSE)</f>
        <v>0</v>
      </c>
      <c r="G317" s="368">
        <f>HLOOKUP($C322,Water_emissions!$E$16:$CQ$32,13,FALSE)</f>
        <v>6.6163240455890406E-4</v>
      </c>
      <c r="H317" s="344" t="s">
        <v>1085</v>
      </c>
      <c r="I317" s="342" t="s">
        <v>2233</v>
      </c>
      <c r="J317" s="418" t="str">
        <f>Water_emissions!CY58</f>
        <v>[kg/bbl] kg of AMMONIA emissions to water per bbl of crude throughput - Low Complexity</v>
      </c>
      <c r="K317" s="419"/>
      <c r="L317" s="419"/>
      <c r="M317" s="419"/>
      <c r="N317" s="419"/>
      <c r="O317" s="419"/>
      <c r="P317" s="420"/>
      <c r="Q317" s="2"/>
      <c r="R317" s="2"/>
      <c r="S317" s="2"/>
      <c r="T317" s="2"/>
      <c r="U317" s="2"/>
      <c r="V317" s="2"/>
      <c r="W317" s="2"/>
      <c r="X317" s="2"/>
      <c r="Y317" s="2"/>
    </row>
    <row r="318" spans="1:25" x14ac:dyDescent="0.25">
      <c r="A318" s="2"/>
      <c r="B318" s="17">
        <f t="shared" si="30"/>
        <v>11</v>
      </c>
      <c r="C318" s="340" t="str">
        <f>Water_emissions!CW59</f>
        <v>w_AMMONIA_M</v>
      </c>
      <c r="D318" s="341"/>
      <c r="E318" s="368">
        <f>HLOOKUP($C322,Water_emissions!$E$16:$CQ$32,4,FALSE)</f>
        <v>3.1832201137450289</v>
      </c>
      <c r="F318" s="368">
        <f>HLOOKUP($C322,Water_emissions!$E$16:$CQ$32,9,FALSE)</f>
        <v>2.7534313625945723E-7</v>
      </c>
      <c r="G318" s="368">
        <f>HLOOKUP($C322,Water_emissions!$E$16:$CQ$32,14,FALSE)</f>
        <v>55.2281399141186</v>
      </c>
      <c r="H318" s="344" t="s">
        <v>1085</v>
      </c>
      <c r="I318" s="342" t="s">
        <v>2233</v>
      </c>
      <c r="J318" s="418" t="str">
        <f>Water_emissions!CY59</f>
        <v>[kg/bbl] kg of AMMONIA emissions to water per bbl of crude throughput - Med Complexity</v>
      </c>
      <c r="K318" s="419"/>
      <c r="L318" s="419"/>
      <c r="M318" s="419"/>
      <c r="N318" s="419"/>
      <c r="O318" s="419"/>
      <c r="P318" s="420"/>
      <c r="Q318" s="2"/>
      <c r="R318" s="2"/>
      <c r="S318" s="2"/>
      <c r="T318" s="2"/>
      <c r="U318" s="2"/>
      <c r="V318" s="2"/>
      <c r="W318" s="2"/>
      <c r="X318" s="2"/>
      <c r="Y318" s="2"/>
    </row>
    <row r="319" spans="1:25" x14ac:dyDescent="0.25">
      <c r="A319" s="2"/>
      <c r="B319" s="17">
        <f t="shared" si="30"/>
        <v>13</v>
      </c>
      <c r="C319" s="340" t="str">
        <f>Water_emissions!CW60</f>
        <v>w_AMMONIA_HiH</v>
      </c>
      <c r="D319" s="341"/>
      <c r="E319" s="368">
        <f>HLOOKUP($C322,Water_emissions!$E$16:$CQ$32,5,FALSE)</f>
        <v>5.0624091816328426E-4</v>
      </c>
      <c r="F319" s="368">
        <f>HLOOKUP($C322,Water_emissions!$E$16:$CQ$32,10,FALSE)</f>
        <v>5.489078846290646E-5</v>
      </c>
      <c r="G319" s="368">
        <f>HLOOKUP($C322,Water_emissions!$E$16:$CQ$32,15,FALSE)</f>
        <v>2.4466426444239714E-3</v>
      </c>
      <c r="H319" s="344" t="s">
        <v>1085</v>
      </c>
      <c r="I319" s="342" t="s">
        <v>2233</v>
      </c>
      <c r="J319" s="418" t="str">
        <f>Water_emissions!CY60</f>
        <v>[kg/bbl] kg of AMMONIA emissions to water per bbl of crude throughput - High Complexity Hydro Cracking</v>
      </c>
      <c r="K319" s="419"/>
      <c r="L319" s="419"/>
      <c r="M319" s="419"/>
      <c r="N319" s="419"/>
      <c r="O319" s="419"/>
      <c r="P319" s="420"/>
      <c r="Q319" s="2"/>
      <c r="R319" s="2"/>
      <c r="S319" s="2"/>
      <c r="T319" s="2"/>
      <c r="U319" s="2"/>
      <c r="V319" s="2"/>
      <c r="W319" s="2"/>
      <c r="X319" s="2"/>
      <c r="Y319" s="2"/>
    </row>
    <row r="320" spans="1:25" x14ac:dyDescent="0.25">
      <c r="A320" s="2"/>
      <c r="B320" s="17">
        <f t="shared" si="30"/>
        <v>13</v>
      </c>
      <c r="C320" s="340" t="str">
        <f>Water_emissions!CW61</f>
        <v>w_AMMONIA_HiC</v>
      </c>
      <c r="D320" s="341"/>
      <c r="E320" s="368">
        <f>HLOOKUP($C322,Water_emissions!$E$16:$CQ$32,6,FALSE)</f>
        <v>0.54802049011146237</v>
      </c>
      <c r="F320" s="368">
        <f>HLOOKUP($C322,Water_emissions!$E$16:$CQ$32,11,FALSE)</f>
        <v>0</v>
      </c>
      <c r="G320" s="368">
        <f>HLOOKUP($C322,Water_emissions!$E$16:$CQ$32,16,FALSE)</f>
        <v>6.8999402814792363</v>
      </c>
      <c r="H320" s="344" t="s">
        <v>1085</v>
      </c>
      <c r="I320" s="342" t="s">
        <v>2233</v>
      </c>
      <c r="J320" s="418" t="str">
        <f>Water_emissions!CY61</f>
        <v>[kg/bbl] kg of AMMONIA emissions to water per bbl of crude throughput - High Complexity Coking</v>
      </c>
      <c r="K320" s="419"/>
      <c r="L320" s="419"/>
      <c r="M320" s="419"/>
      <c r="N320" s="419"/>
      <c r="O320" s="419"/>
      <c r="P320" s="420"/>
      <c r="Q320" s="2"/>
      <c r="R320" s="2"/>
      <c r="S320" s="2"/>
      <c r="T320" s="2"/>
      <c r="U320" s="2"/>
      <c r="V320" s="2"/>
      <c r="W320" s="2"/>
      <c r="X320" s="2"/>
      <c r="Y320" s="2"/>
    </row>
    <row r="321" spans="1:25" x14ac:dyDescent="0.25">
      <c r="A321" s="2"/>
      <c r="B321" s="17">
        <f t="shared" si="30"/>
        <v>13</v>
      </c>
      <c r="C321" s="340" t="str">
        <f>Water_emissions!CW62</f>
        <v>w_AMMONIA_HiB</v>
      </c>
      <c r="D321" s="341"/>
      <c r="E321" s="368">
        <f>HLOOKUP($C322,Water_emissions!$E$16:$CQ$32,7,FALSE)</f>
        <v>2.3850020355224304</v>
      </c>
      <c r="F321" s="368">
        <f>HLOOKUP($C322,Water_emissions!$E$16:$CQ$32,12,FALSE)</f>
        <v>0</v>
      </c>
      <c r="G321" s="368">
        <f>HLOOKUP($C322,Water_emissions!$E$16:$CQ$32,17,FALSE)</f>
        <v>50.520340586565744</v>
      </c>
      <c r="H321" s="344" t="s">
        <v>1085</v>
      </c>
      <c r="I321" s="342" t="s">
        <v>2233</v>
      </c>
      <c r="J321" s="418" t="str">
        <f>Water_emissions!CY62</f>
        <v>[kg/bbl] kg of AMMONIA emissions to water per bbl of crude throughput - High Complexity Hydro Cracking and Coking</v>
      </c>
      <c r="K321" s="419"/>
      <c r="L321" s="419"/>
      <c r="M321" s="419"/>
      <c r="N321" s="419"/>
      <c r="O321" s="419"/>
      <c r="P321" s="420"/>
      <c r="Q321" s="2"/>
      <c r="R321" s="2"/>
      <c r="S321" s="2"/>
      <c r="T321" s="2"/>
      <c r="U321" s="2"/>
      <c r="V321" s="2"/>
      <c r="W321" s="2"/>
      <c r="X321" s="2"/>
      <c r="Y321" s="2"/>
    </row>
    <row r="322" spans="1:25" ht="39" x14ac:dyDescent="0.25">
      <c r="A322" s="2"/>
      <c r="B322" s="17">
        <f t="shared" si="30"/>
        <v>9</v>
      </c>
      <c r="C322" s="340" t="str">
        <f>Water_emissions!CW63</f>
        <v>w_AMMONIA</v>
      </c>
      <c r="D322" s="39" t="str">
        <f>"IF(NC=0;"&amp;C317&amp;";IF(NC=1;"&amp;C318&amp;";IF(NC=2;"&amp;C319&amp;";IF(NC=3;"&amp;C320&amp;";"&amp;C321&amp;"))))/"&amp;$C$27</f>
        <v>IF(NC=0;w_AMMONIA_L;IF(NC=1;w_AMMONIA_M;IF(NC=2;w_AMMONIA_HiH;IF(NC=3;w_AMMONIA_HiC;w_AMMONIA_HiB))))/Density_oil</v>
      </c>
      <c r="E322" s="68">
        <f>IF($E$24=0,E317,IF($E$24=1,E318,IF($E$24=2,E319,IF($E$24=3,E320,E321))))/$E$27</f>
        <v>1.7196795165223402E-2</v>
      </c>
      <c r="F322" s="342"/>
      <c r="G322" s="343"/>
      <c r="H322" s="344" t="s">
        <v>489</v>
      </c>
      <c r="I322" s="342" t="s">
        <v>2233</v>
      </c>
      <c r="J322" s="418" t="str">
        <f>Water_emissions!CY63</f>
        <v>[kg/bbl] kg of AMMONIA emissions to water per bbl of crude throughput</v>
      </c>
      <c r="K322" s="419"/>
      <c r="L322" s="419"/>
      <c r="M322" s="419"/>
      <c r="N322" s="419"/>
      <c r="O322" s="419"/>
      <c r="P322" s="420"/>
      <c r="Q322" s="2"/>
      <c r="R322" s="2"/>
      <c r="S322" s="2"/>
      <c r="T322" s="2"/>
      <c r="U322" s="2"/>
      <c r="V322" s="2"/>
      <c r="W322" s="2"/>
      <c r="X322" s="2"/>
      <c r="Y322" s="2"/>
    </row>
    <row r="323" spans="1:25" x14ac:dyDescent="0.25">
      <c r="A323" s="2"/>
      <c r="B323" s="17">
        <f t="shared" si="30"/>
        <v>12</v>
      </c>
      <c r="C323" s="340" t="str">
        <f>Water_emissions!CW64</f>
        <v>w_AMMONIUM_L</v>
      </c>
      <c r="D323" s="341"/>
      <c r="E323" s="368">
        <f>HLOOKUP($C328,Water_emissions!$E$16:$CQ$32,3,FALSE)</f>
        <v>3.1935214809741244E-4</v>
      </c>
      <c r="F323" s="368">
        <f>HLOOKUP($C328,Water_emissions!$E$16:$CQ$32,8,FALSE)</f>
        <v>3.1935214809741244E-4</v>
      </c>
      <c r="G323" s="368">
        <f>HLOOKUP($C328,Water_emissions!$E$16:$CQ$32,13,FALSE)</f>
        <v>3.1935214809741244E-4</v>
      </c>
      <c r="H323" s="344" t="s">
        <v>1085</v>
      </c>
      <c r="I323" s="342" t="s">
        <v>2233</v>
      </c>
      <c r="J323" s="418" t="str">
        <f>Water_emissions!CY64</f>
        <v>[kg/bbl] kg of AMMONIUM emissions to water per bbl of crude throughput - Low Complexity</v>
      </c>
      <c r="K323" s="419"/>
      <c r="L323" s="419"/>
      <c r="M323" s="419"/>
      <c r="N323" s="419"/>
      <c r="O323" s="419"/>
      <c r="P323" s="420"/>
      <c r="Q323" s="2"/>
      <c r="R323" s="2"/>
      <c r="S323" s="2"/>
      <c r="T323" s="2"/>
      <c r="U323" s="2"/>
      <c r="V323" s="2"/>
      <c r="W323" s="2"/>
      <c r="X323" s="2"/>
      <c r="Y323" s="2"/>
    </row>
    <row r="324" spans="1:25" x14ac:dyDescent="0.25">
      <c r="A324" s="2"/>
      <c r="B324" s="17">
        <f t="shared" si="30"/>
        <v>12</v>
      </c>
      <c r="C324" s="340" t="str">
        <f>Water_emissions!CW65</f>
        <v>w_AMMONIUM_M</v>
      </c>
      <c r="D324" s="341"/>
      <c r="E324" s="368">
        <f>HLOOKUP($C328,Water_emissions!$E$16:$CQ$32,4,FALSE)</f>
        <v>3.1935214809741244E-4</v>
      </c>
      <c r="F324" s="368">
        <f>HLOOKUP($C328,Water_emissions!$E$16:$CQ$32,9,FALSE)</f>
        <v>3.1935214809741244E-4</v>
      </c>
      <c r="G324" s="368">
        <f>HLOOKUP($C328,Water_emissions!$E$16:$CQ$32,14,FALSE)</f>
        <v>3.1935214809741244E-4</v>
      </c>
      <c r="H324" s="344" t="s">
        <v>1085</v>
      </c>
      <c r="I324" s="342" t="s">
        <v>2233</v>
      </c>
      <c r="J324" s="418" t="str">
        <f>Water_emissions!CY65</f>
        <v>[kg/bbl] kg of AMMONIUM emissions to water per bbl of crude throughput - Med Complexity</v>
      </c>
      <c r="K324" s="419"/>
      <c r="L324" s="419"/>
      <c r="M324" s="419"/>
      <c r="N324" s="419"/>
      <c r="O324" s="419"/>
      <c r="P324" s="420"/>
      <c r="Q324" s="2"/>
      <c r="R324" s="2"/>
      <c r="S324" s="2"/>
      <c r="T324" s="2"/>
      <c r="U324" s="2"/>
      <c r="V324" s="2"/>
      <c r="W324" s="2"/>
      <c r="X324" s="2"/>
      <c r="Y324" s="2"/>
    </row>
    <row r="325" spans="1:25" x14ac:dyDescent="0.25">
      <c r="A325" s="2"/>
      <c r="B325" s="17">
        <f t="shared" si="30"/>
        <v>14</v>
      </c>
      <c r="C325" s="340" t="str">
        <f>Water_emissions!CW66</f>
        <v>w_AMMONIUM_HiH</v>
      </c>
      <c r="D325" s="341"/>
      <c r="E325" s="368">
        <f>HLOOKUP($C328,Water_emissions!$E$16:$CQ$32,5,FALSE)</f>
        <v>3.1935214809741244E-4</v>
      </c>
      <c r="F325" s="368">
        <f>HLOOKUP($C328,Water_emissions!$E$16:$CQ$32,10,FALSE)</f>
        <v>3.1935214809741244E-4</v>
      </c>
      <c r="G325" s="368">
        <f>HLOOKUP($C328,Water_emissions!$E$16:$CQ$32,15,FALSE)</f>
        <v>3.1935214809741244E-4</v>
      </c>
      <c r="H325" s="344" t="s">
        <v>1085</v>
      </c>
      <c r="I325" s="342" t="s">
        <v>2233</v>
      </c>
      <c r="J325" s="418" t="str">
        <f>Water_emissions!CY66</f>
        <v>[kg/bbl] kg of AMMONIUM emissions to water per bbl of crude throughput - High Complexity Hydro Cracking</v>
      </c>
      <c r="K325" s="419"/>
      <c r="L325" s="419"/>
      <c r="M325" s="419"/>
      <c r="N325" s="419"/>
      <c r="O325" s="419"/>
      <c r="P325" s="420"/>
      <c r="Q325" s="2"/>
      <c r="R325" s="2"/>
      <c r="S325" s="2"/>
      <c r="T325" s="2"/>
      <c r="U325" s="2"/>
      <c r="V325" s="2"/>
      <c r="W325" s="2"/>
      <c r="X325" s="2"/>
      <c r="Y325" s="2"/>
    </row>
    <row r="326" spans="1:25" x14ac:dyDescent="0.25">
      <c r="A326" s="2"/>
      <c r="B326" s="17">
        <f t="shared" si="30"/>
        <v>14</v>
      </c>
      <c r="C326" s="340" t="str">
        <f>Water_emissions!CW67</f>
        <v>w_AMMONIUM_HiC</v>
      </c>
      <c r="D326" s="341"/>
      <c r="E326" s="368">
        <f>HLOOKUP($C328,Water_emissions!$E$16:$CQ$32,6,FALSE)</f>
        <v>3.1935214809741244E-4</v>
      </c>
      <c r="F326" s="368">
        <f>HLOOKUP($C328,Water_emissions!$E$16:$CQ$32,11,FALSE)</f>
        <v>3.1935214809741244E-4</v>
      </c>
      <c r="G326" s="368">
        <f>HLOOKUP($C328,Water_emissions!$E$16:$CQ$32,16,FALSE)</f>
        <v>3.1935214809741244E-4</v>
      </c>
      <c r="H326" s="344" t="s">
        <v>1085</v>
      </c>
      <c r="I326" s="342" t="s">
        <v>2233</v>
      </c>
      <c r="J326" s="418" t="str">
        <f>Water_emissions!CY67</f>
        <v>[kg/bbl] kg of AMMONIUM emissions to water per bbl of crude throughput - High Complexity Coking</v>
      </c>
      <c r="K326" s="419"/>
      <c r="L326" s="419"/>
      <c r="M326" s="419"/>
      <c r="N326" s="419"/>
      <c r="O326" s="419"/>
      <c r="P326" s="420"/>
      <c r="Q326" s="2"/>
      <c r="R326" s="2"/>
      <c r="S326" s="2"/>
      <c r="T326" s="2"/>
      <c r="U326" s="2"/>
      <c r="V326" s="2"/>
      <c r="W326" s="2"/>
      <c r="X326" s="2"/>
      <c r="Y326" s="2"/>
    </row>
    <row r="327" spans="1:25" x14ac:dyDescent="0.25">
      <c r="A327" s="2"/>
      <c r="B327" s="17">
        <f t="shared" si="30"/>
        <v>14</v>
      </c>
      <c r="C327" s="340" t="str">
        <f>Water_emissions!CW68</f>
        <v>w_AMMONIUM_HiB</v>
      </c>
      <c r="D327" s="341"/>
      <c r="E327" s="368">
        <f>HLOOKUP($C328,Water_emissions!$E$16:$CQ$32,7,FALSE)</f>
        <v>3.1935214809741244E-4</v>
      </c>
      <c r="F327" s="368">
        <f>HLOOKUP($C328,Water_emissions!$E$16:$CQ$32,12,FALSE)</f>
        <v>3.1935214809741244E-4</v>
      </c>
      <c r="G327" s="368">
        <f>HLOOKUP($C328,Water_emissions!$E$16:$CQ$32,17,FALSE)</f>
        <v>3.1935214809741244E-4</v>
      </c>
      <c r="H327" s="344" t="s">
        <v>1085</v>
      </c>
      <c r="I327" s="342" t="s">
        <v>2233</v>
      </c>
      <c r="J327" s="418" t="str">
        <f>Water_emissions!CY68</f>
        <v>[kg/bbl] kg of AMMONIUM emissions to water per bbl of crude throughput - High Complexity Hydro Cracking and Coking</v>
      </c>
      <c r="K327" s="419"/>
      <c r="L327" s="419"/>
      <c r="M327" s="419"/>
      <c r="N327" s="419"/>
      <c r="O327" s="419"/>
      <c r="P327" s="420"/>
      <c r="Q327" s="2"/>
      <c r="R327" s="2"/>
      <c r="S327" s="2"/>
      <c r="T327" s="2"/>
      <c r="U327" s="2"/>
      <c r="V327" s="2"/>
      <c r="W327" s="2"/>
      <c r="X327" s="2"/>
      <c r="Y327" s="2"/>
    </row>
    <row r="328" spans="1:25" ht="41.25" customHeight="1" x14ac:dyDescent="0.25">
      <c r="A328" s="2"/>
      <c r="B328" s="17">
        <f t="shared" si="30"/>
        <v>10</v>
      </c>
      <c r="C328" s="340" t="str">
        <f>Water_emissions!CW69</f>
        <v>w_AMMONIUM</v>
      </c>
      <c r="D328" s="39" t="str">
        <f>"IF(NC=0;"&amp;C323&amp;";IF(NC=1;"&amp;C324&amp;";IF(NC=2;"&amp;C325&amp;";IF(NC=3;"&amp;C326&amp;";"&amp;C327&amp;"))))/"&amp;$C$27</f>
        <v>IF(NC=0;w_AMMONIUM_L;IF(NC=1;w_AMMONIUM_M;IF(NC=2;w_AMMONIUM_HiH;IF(NC=3;w_AMMONIUM_HiC;w_AMMONIUM_HiB))))/Density_oil</v>
      </c>
      <c r="E328" s="68">
        <f>IF($E$24=0,E323,IF($E$24=1,E324,IF($E$24=2,E325,IF($E$24=3,E326,E327))))/$E$27</f>
        <v>2.302653580420242E-6</v>
      </c>
      <c r="F328" s="342"/>
      <c r="G328" s="343"/>
      <c r="H328" s="344" t="s">
        <v>489</v>
      </c>
      <c r="I328" s="342" t="s">
        <v>2233</v>
      </c>
      <c r="J328" s="418" t="str">
        <f>Water_emissions!CY69</f>
        <v>[kg/bbl] kg of AMMONIUM emissions to water per bbl of crude throughput</v>
      </c>
      <c r="K328" s="419"/>
      <c r="L328" s="419"/>
      <c r="M328" s="419"/>
      <c r="N328" s="419"/>
      <c r="O328" s="419"/>
      <c r="P328" s="420"/>
      <c r="Q328" s="2"/>
      <c r="R328" s="2"/>
      <c r="S328" s="2"/>
      <c r="T328" s="2"/>
      <c r="U328" s="2"/>
      <c r="V328" s="2"/>
      <c r="W328" s="2"/>
      <c r="X328" s="2"/>
      <c r="Y328" s="2"/>
    </row>
    <row r="329" spans="1:25" x14ac:dyDescent="0.25">
      <c r="A329" s="2"/>
      <c r="B329" s="17">
        <f t="shared" si="30"/>
        <v>13</v>
      </c>
      <c r="C329" s="340" t="str">
        <f>Water_emissions!CW70</f>
        <v>w_ANTHRACEN_L</v>
      </c>
      <c r="D329" s="341"/>
      <c r="E329" s="368">
        <f>HLOOKUP($C334,Water_emissions!$E$16:$CQ$32,3,FALSE)</f>
        <v>2.8490685377886225E-7</v>
      </c>
      <c r="F329" s="368">
        <f>HLOOKUP($C334,Water_emissions!$E$16:$CQ$32,8,FALSE)</f>
        <v>0</v>
      </c>
      <c r="G329" s="368">
        <f>HLOOKUP($C334,Water_emissions!$E$16:$CQ$32,13,FALSE)</f>
        <v>8.5472056133658674E-7</v>
      </c>
      <c r="H329" s="344" t="s">
        <v>1085</v>
      </c>
      <c r="I329" s="342" t="s">
        <v>2233</v>
      </c>
      <c r="J329" s="418" t="str">
        <f>Water_emissions!CY70</f>
        <v>[kg/bbl] kg of ANTHRACENE emissions to water per bbl of crude throughput - Low Complexity</v>
      </c>
      <c r="K329" s="419"/>
      <c r="L329" s="419"/>
      <c r="M329" s="419"/>
      <c r="N329" s="419"/>
      <c r="O329" s="419"/>
      <c r="P329" s="420"/>
      <c r="Q329" s="2"/>
      <c r="R329" s="2"/>
      <c r="S329" s="2"/>
      <c r="T329" s="2"/>
      <c r="U329" s="2"/>
      <c r="V329" s="2"/>
      <c r="W329" s="2"/>
      <c r="X329" s="2"/>
      <c r="Y329" s="2"/>
    </row>
    <row r="330" spans="1:25" x14ac:dyDescent="0.25">
      <c r="A330" s="2"/>
      <c r="B330" s="17">
        <f t="shared" si="30"/>
        <v>13</v>
      </c>
      <c r="C330" s="340" t="str">
        <f>Water_emissions!CW71</f>
        <v>w_ANTHRACEN_M</v>
      </c>
      <c r="D330" s="341"/>
      <c r="E330" s="368">
        <f>HLOOKUP($C334,Water_emissions!$E$16:$CQ$32,4,FALSE)</f>
        <v>6.8984547461368659E-4</v>
      </c>
      <c r="F330" s="368">
        <f>HLOOKUP($C334,Water_emissions!$E$16:$CQ$32,9,FALSE)</f>
        <v>0</v>
      </c>
      <c r="G330" s="368">
        <f>HLOOKUP($C334,Water_emissions!$E$16:$CQ$32,14,FALSE)</f>
        <v>1.3796909492273732E-3</v>
      </c>
      <c r="H330" s="344" t="s">
        <v>1085</v>
      </c>
      <c r="I330" s="342" t="s">
        <v>2233</v>
      </c>
      <c r="J330" s="418" t="str">
        <f>Water_emissions!CY71</f>
        <v>[kg/bbl] kg of ANTHRACENE emissions to water per bbl of crude throughput - Med Complexity</v>
      </c>
      <c r="K330" s="419"/>
      <c r="L330" s="419"/>
      <c r="M330" s="419"/>
      <c r="N330" s="419"/>
      <c r="O330" s="419"/>
      <c r="P330" s="420"/>
      <c r="Q330" s="2"/>
      <c r="R330" s="2"/>
      <c r="S330" s="2"/>
      <c r="T330" s="2"/>
      <c r="U330" s="2"/>
      <c r="V330" s="2"/>
      <c r="W330" s="2"/>
      <c r="X330" s="2"/>
      <c r="Y330" s="2"/>
    </row>
    <row r="331" spans="1:25" x14ac:dyDescent="0.25">
      <c r="A331" s="2"/>
      <c r="B331" s="17">
        <f t="shared" si="30"/>
        <v>15</v>
      </c>
      <c r="C331" s="340" t="str">
        <f>Water_emissions!CW72</f>
        <v>w_ANTHRACEN_HiH</v>
      </c>
      <c r="D331" s="341"/>
      <c r="E331" s="368">
        <f>HLOOKUP($C334,Water_emissions!$E$16:$CQ$32,5,FALSE)</f>
        <v>4.4193269833607629E-3</v>
      </c>
      <c r="F331" s="368">
        <f>HLOOKUP($C334,Water_emissions!$E$16:$CQ$32,10,FALSE)</f>
        <v>0</v>
      </c>
      <c r="G331" s="368">
        <f>HLOOKUP($C334,Water_emissions!$E$16:$CQ$32,15,FALSE)</f>
        <v>8.8386539667215259E-3</v>
      </c>
      <c r="H331" s="344" t="s">
        <v>1085</v>
      </c>
      <c r="I331" s="342" t="s">
        <v>2233</v>
      </c>
      <c r="J331" s="418" t="str">
        <f>Water_emissions!CY72</f>
        <v>[kg/bbl] kg of ANTHRACENE emissions to water per bbl of crude throughput - High Complexity Hydro Cracking</v>
      </c>
      <c r="K331" s="419"/>
      <c r="L331" s="419"/>
      <c r="M331" s="419"/>
      <c r="N331" s="419"/>
      <c r="O331" s="419"/>
      <c r="P331" s="420"/>
      <c r="Q331" s="2"/>
      <c r="R331" s="2"/>
      <c r="S331" s="2"/>
      <c r="T331" s="2"/>
      <c r="U331" s="2"/>
      <c r="V331" s="2"/>
      <c r="W331" s="2"/>
      <c r="X331" s="2"/>
      <c r="Y331" s="2"/>
    </row>
    <row r="332" spans="1:25" x14ac:dyDescent="0.25">
      <c r="A332" s="2"/>
      <c r="B332" s="17">
        <f t="shared" si="30"/>
        <v>15</v>
      </c>
      <c r="C332" s="340" t="str">
        <f>Water_emissions!CW73</f>
        <v>w_ANTHRACEN_HiC</v>
      </c>
      <c r="D332" s="341"/>
      <c r="E332" s="368">
        <f>HLOOKUP($C334,Water_emissions!$E$16:$CQ$32,6,FALSE)</f>
        <v>0</v>
      </c>
      <c r="F332" s="368">
        <f>HLOOKUP($C334,Water_emissions!$E$16:$CQ$32,11,FALSE)</f>
        <v>0</v>
      </c>
      <c r="G332" s="368">
        <f>HLOOKUP($C334,Water_emissions!$E$16:$CQ$32,16,FALSE)</f>
        <v>0</v>
      </c>
      <c r="H332" s="344" t="s">
        <v>1085</v>
      </c>
      <c r="I332" s="342" t="s">
        <v>2233</v>
      </c>
      <c r="J332" s="418" t="str">
        <f>Water_emissions!CY73</f>
        <v>[kg/bbl] kg of ANTHRACENE emissions to water per bbl of crude throughput - High Complexity Coking</v>
      </c>
      <c r="K332" s="419"/>
      <c r="L332" s="419"/>
      <c r="M332" s="419"/>
      <c r="N332" s="419"/>
      <c r="O332" s="419"/>
      <c r="P332" s="420"/>
      <c r="Q332" s="2"/>
      <c r="R332" s="2"/>
      <c r="S332" s="2"/>
      <c r="T332" s="2"/>
      <c r="U332" s="2"/>
      <c r="V332" s="2"/>
      <c r="W332" s="2"/>
      <c r="X332" s="2"/>
      <c r="Y332" s="2"/>
    </row>
    <row r="333" spans="1:25" x14ac:dyDescent="0.25">
      <c r="A333" s="2"/>
      <c r="B333" s="17">
        <f t="shared" si="30"/>
        <v>15</v>
      </c>
      <c r="C333" s="340" t="str">
        <f>Water_emissions!CW74</f>
        <v>w_ANTHRACEN_HiB</v>
      </c>
      <c r="D333" s="341"/>
      <c r="E333" s="368">
        <f>HLOOKUP($C334,Water_emissions!$E$16:$CQ$32,7,FALSE)</f>
        <v>5.4306448019694207E-3</v>
      </c>
      <c r="F333" s="368">
        <f>HLOOKUP($C334,Water_emissions!$E$16:$CQ$32,12,FALSE)</f>
        <v>0</v>
      </c>
      <c r="G333" s="368">
        <f>HLOOKUP($C334,Water_emissions!$E$16:$CQ$32,17,FALSE)</f>
        <v>3.7448995229969827E-2</v>
      </c>
      <c r="H333" s="344" t="s">
        <v>1085</v>
      </c>
      <c r="I333" s="342" t="s">
        <v>2233</v>
      </c>
      <c r="J333" s="418" t="str">
        <f>Water_emissions!CY74</f>
        <v>[kg/bbl] kg of ANTHRACENE emissions to water per bbl of crude throughput - High Complexity Hydro Cracking and Coking</v>
      </c>
      <c r="K333" s="419"/>
      <c r="L333" s="419"/>
      <c r="M333" s="419"/>
      <c r="N333" s="419"/>
      <c r="O333" s="419"/>
      <c r="P333" s="420"/>
      <c r="Q333" s="2"/>
      <c r="R333" s="2"/>
      <c r="S333" s="2"/>
      <c r="T333" s="2"/>
      <c r="U333" s="2"/>
      <c r="V333" s="2"/>
      <c r="W333" s="2"/>
      <c r="X333" s="2"/>
      <c r="Y333" s="2"/>
    </row>
    <row r="334" spans="1:25" ht="45.75" customHeight="1" x14ac:dyDescent="0.25">
      <c r="A334" s="2"/>
      <c r="B334" s="17">
        <f t="shared" si="30"/>
        <v>11</v>
      </c>
      <c r="C334" s="340" t="str">
        <f>Water_emissions!CW75</f>
        <v>w_ANTHRACEN</v>
      </c>
      <c r="D334" s="39" t="str">
        <f>"IF(NC=0;"&amp;C329&amp;";IF(NC=1;"&amp;C330&amp;";IF(NC=2;"&amp;C331&amp;";IF(NC=3;"&amp;C332&amp;";"&amp;C333&amp;"))))/"&amp;$C$27</f>
        <v>IF(NC=0;w_ANTHRACEN_L;IF(NC=1;w_ANTHRACEN_M;IF(NC=2;w_ANTHRACEN_HiH;IF(NC=3;w_ANTHRACEN_HiC;w_ANTHRACEN_HiB))))/Density_oil</v>
      </c>
      <c r="E334" s="68">
        <f>IF($E$24=0,E329,IF($E$24=1,E330,IF($E$24=2,E331,IF($E$24=3,E332,E333))))/$E$27</f>
        <v>3.9157067744009903E-5</v>
      </c>
      <c r="F334" s="342"/>
      <c r="G334" s="343"/>
      <c r="H334" s="344" t="s">
        <v>489</v>
      </c>
      <c r="I334" s="342" t="s">
        <v>2233</v>
      </c>
      <c r="J334" s="418" t="str">
        <f>Water_emissions!CY75</f>
        <v>[kg/bbl] kg of ANTHRACENE emissions to water per bbl of crude throughput</v>
      </c>
      <c r="K334" s="419"/>
      <c r="L334" s="419"/>
      <c r="M334" s="419"/>
      <c r="N334" s="419"/>
      <c r="O334" s="419"/>
      <c r="P334" s="420"/>
      <c r="Q334" s="2"/>
      <c r="R334" s="2"/>
      <c r="S334" s="2"/>
      <c r="T334" s="2"/>
      <c r="U334" s="2"/>
      <c r="V334" s="2"/>
      <c r="W334" s="2"/>
      <c r="X334" s="2"/>
      <c r="Y334" s="2"/>
    </row>
    <row r="335" spans="1:25" x14ac:dyDescent="0.25">
      <c r="A335" s="2"/>
      <c r="B335" s="17">
        <f t="shared" si="30"/>
        <v>13</v>
      </c>
      <c r="C335" s="340" t="str">
        <f>Water_emissions!CW76</f>
        <v>w_Arsenicto_L</v>
      </c>
      <c r="D335" s="341"/>
      <c r="E335" s="368">
        <f>HLOOKUP($C340,Water_emissions!$E$16:$CQ$32,3,FALSE)</f>
        <v>2.026472835709589E-5</v>
      </c>
      <c r="F335" s="368">
        <f>HLOOKUP($C340,Water_emissions!$E$16:$CQ$32,8,FALSE)</f>
        <v>2.026472835709589E-5</v>
      </c>
      <c r="G335" s="368">
        <f>HLOOKUP($C340,Water_emissions!$E$16:$CQ$32,13,FALSE)</f>
        <v>2.026472835709589E-5</v>
      </c>
      <c r="H335" s="344" t="s">
        <v>1085</v>
      </c>
      <c r="I335" s="342" t="s">
        <v>2233</v>
      </c>
      <c r="J335" s="418" t="str">
        <f>Water_emissions!CY76</f>
        <v>[kg/bbl] kg of Arsenic, total (as As) emissions to water per bbl of crude throughput - Low Complexity</v>
      </c>
      <c r="K335" s="419"/>
      <c r="L335" s="419"/>
      <c r="M335" s="419"/>
      <c r="N335" s="419"/>
      <c r="O335" s="419"/>
      <c r="P335" s="420"/>
      <c r="Q335" s="2"/>
      <c r="R335" s="2"/>
      <c r="S335" s="2"/>
      <c r="T335" s="2"/>
      <c r="U335" s="2"/>
      <c r="V335" s="2"/>
      <c r="W335" s="2"/>
      <c r="X335" s="2"/>
      <c r="Y335" s="2"/>
    </row>
    <row r="336" spans="1:25" x14ac:dyDescent="0.25">
      <c r="A336" s="2"/>
      <c r="B336" s="17">
        <f t="shared" si="30"/>
        <v>13</v>
      </c>
      <c r="C336" s="340" t="str">
        <f>Water_emissions!CW77</f>
        <v>w_Arsenicto_M</v>
      </c>
      <c r="D336" s="341"/>
      <c r="E336" s="368">
        <f>HLOOKUP($C340,Water_emissions!$E$16:$CQ$32,4,FALSE)</f>
        <v>5.6912519356942943E-7</v>
      </c>
      <c r="F336" s="368">
        <f>HLOOKUP($C340,Water_emissions!$E$16:$CQ$32,9,FALSE)</f>
        <v>5.9908180039138945E-8</v>
      </c>
      <c r="G336" s="368">
        <f>HLOOKUP($C340,Water_emissions!$E$16:$CQ$32,14,FALSE)</f>
        <v>1.0783422070997199E-6</v>
      </c>
      <c r="H336" s="344" t="s">
        <v>1085</v>
      </c>
      <c r="I336" s="342" t="s">
        <v>2233</v>
      </c>
      <c r="J336" s="418" t="str">
        <f>Water_emissions!CY77</f>
        <v>[kg/bbl] kg of Arsenic, total (as As) emissions to water per bbl of crude throughput - Med Complexity</v>
      </c>
      <c r="K336" s="419"/>
      <c r="L336" s="419"/>
      <c r="M336" s="419"/>
      <c r="N336" s="419"/>
      <c r="O336" s="419"/>
      <c r="P336" s="420"/>
      <c r="Q336" s="2"/>
      <c r="R336" s="2"/>
      <c r="S336" s="2"/>
      <c r="T336" s="2"/>
      <c r="U336" s="2"/>
      <c r="V336" s="2"/>
      <c r="W336" s="2"/>
      <c r="X336" s="2"/>
      <c r="Y336" s="2"/>
    </row>
    <row r="337" spans="1:25" x14ac:dyDescent="0.25">
      <c r="A337" s="2"/>
      <c r="B337" s="17">
        <f t="shared" si="30"/>
        <v>15</v>
      </c>
      <c r="C337" s="340" t="str">
        <f>Water_emissions!CW78</f>
        <v>w_Arsenicto_HiH</v>
      </c>
      <c r="D337" s="341"/>
      <c r="E337" s="368">
        <f>HLOOKUP($C340,Water_emissions!$E$16:$CQ$32,5,FALSE)</f>
        <v>4.4746631158674852E-6</v>
      </c>
      <c r="F337" s="368">
        <f>HLOOKUP($C340,Water_emissions!$E$16:$CQ$32,10,FALSE)</f>
        <v>4.9820231922497068E-8</v>
      </c>
      <c r="G337" s="368">
        <f>HLOOKUP($C340,Water_emissions!$E$16:$CQ$32,15,FALSE)</f>
        <v>2.026472835709589E-5</v>
      </c>
      <c r="H337" s="344" t="s">
        <v>1085</v>
      </c>
      <c r="I337" s="342" t="s">
        <v>2233</v>
      </c>
      <c r="J337" s="418" t="str">
        <f>Water_emissions!CY78</f>
        <v>[kg/bbl] kg of Arsenic, total (as As) emissions to water per bbl of crude throughput - High Complexity Hydro Cracking</v>
      </c>
      <c r="K337" s="419"/>
      <c r="L337" s="419"/>
      <c r="M337" s="419"/>
      <c r="N337" s="419"/>
      <c r="O337" s="419"/>
      <c r="P337" s="420"/>
      <c r="Q337" s="2"/>
      <c r="R337" s="2"/>
      <c r="S337" s="2"/>
      <c r="T337" s="2"/>
      <c r="U337" s="2"/>
      <c r="V337" s="2"/>
      <c r="W337" s="2"/>
      <c r="X337" s="2"/>
      <c r="Y337" s="2"/>
    </row>
    <row r="338" spans="1:25" x14ac:dyDescent="0.25">
      <c r="A338" s="2"/>
      <c r="B338" s="17">
        <f t="shared" ref="B338:B401" si="31">LEN(C338)</f>
        <v>15</v>
      </c>
      <c r="C338" s="340" t="str">
        <f>Water_emissions!CW79</f>
        <v>w_Arsenicto_HiC</v>
      </c>
      <c r="D338" s="341"/>
      <c r="E338" s="368">
        <f>HLOOKUP($C340,Water_emissions!$E$16:$CQ$32,6,FALSE)</f>
        <v>4.9820231922497068E-8</v>
      </c>
      <c r="F338" s="368">
        <f>HLOOKUP($C340,Water_emissions!$E$16:$CQ$32,11,FALSE)</f>
        <v>4.9820231922497068E-8</v>
      </c>
      <c r="G338" s="368">
        <f>HLOOKUP($C340,Water_emissions!$E$16:$CQ$32,16,FALSE)</f>
        <v>4.9820231922497068E-8</v>
      </c>
      <c r="H338" s="344" t="s">
        <v>1085</v>
      </c>
      <c r="I338" s="342" t="s">
        <v>2233</v>
      </c>
      <c r="J338" s="418" t="str">
        <f>Water_emissions!CY79</f>
        <v>[kg/bbl] kg of Arsenic, total (as As) emissions to water per bbl of crude throughput - High Complexity Coking</v>
      </c>
      <c r="K338" s="419"/>
      <c r="L338" s="419"/>
      <c r="M338" s="419"/>
      <c r="N338" s="419"/>
      <c r="O338" s="419"/>
      <c r="P338" s="420"/>
      <c r="Q338" s="2"/>
      <c r="R338" s="2"/>
      <c r="S338" s="2"/>
      <c r="T338" s="2"/>
      <c r="U338" s="2"/>
      <c r="V338" s="2"/>
      <c r="W338" s="2"/>
      <c r="X338" s="2"/>
      <c r="Y338" s="2"/>
    </row>
    <row r="339" spans="1:25" x14ac:dyDescent="0.25">
      <c r="A339" s="2"/>
      <c r="B339" s="17">
        <f t="shared" si="31"/>
        <v>15</v>
      </c>
      <c r="C339" s="340" t="str">
        <f>Water_emissions!CW80</f>
        <v>w_Arsenicto_HiB</v>
      </c>
      <c r="D339" s="341"/>
      <c r="E339" s="368">
        <f>HLOOKUP($C340,Water_emissions!$E$16:$CQ$32,7,FALSE)</f>
        <v>9.2051660318018254E-7</v>
      </c>
      <c r="F339" s="368">
        <f>HLOOKUP($C340,Water_emissions!$E$16:$CQ$32,12,FALSE)</f>
        <v>9.2051660318018254E-7</v>
      </c>
      <c r="G339" s="368">
        <f>HLOOKUP($C340,Water_emissions!$E$16:$CQ$32,17,FALSE)</f>
        <v>9.2051660318018254E-7</v>
      </c>
      <c r="H339" s="344" t="s">
        <v>1085</v>
      </c>
      <c r="I339" s="342" t="s">
        <v>2233</v>
      </c>
      <c r="J339" s="418" t="str">
        <f>Water_emissions!CY80</f>
        <v>[kg/bbl] kg of Arsenic, total (as As) emissions to water per bbl of crude throughput - High Complexity Hydro Cracking and Coking</v>
      </c>
      <c r="K339" s="419"/>
      <c r="L339" s="419"/>
      <c r="M339" s="419"/>
      <c r="N339" s="419"/>
      <c r="O339" s="419"/>
      <c r="P339" s="420"/>
      <c r="Q339" s="2"/>
      <c r="R339" s="2"/>
      <c r="S339" s="2"/>
      <c r="T339" s="2"/>
      <c r="U339" s="2"/>
      <c r="V339" s="2"/>
      <c r="W339" s="2"/>
      <c r="X339" s="2"/>
      <c r="Y339" s="2"/>
    </row>
    <row r="340" spans="1:25" ht="26.25" x14ac:dyDescent="0.25">
      <c r="A340" s="2"/>
      <c r="B340" s="17">
        <f t="shared" si="31"/>
        <v>11</v>
      </c>
      <c r="C340" s="340" t="str">
        <f>Water_emissions!CW81</f>
        <v>w_Arsenicto</v>
      </c>
      <c r="D340" s="39" t="str">
        <f>"IF(NC=0;"&amp;C335&amp;";IF(NC=1;"&amp;C336&amp;";IF(NC=2;"&amp;C337&amp;";IF(NC=3;"&amp;C338&amp;";"&amp;C339&amp;"))))/"&amp;$C$27</f>
        <v>IF(NC=0;w_Arsenicto_L;IF(NC=1;w_Arsenicto_M;IF(NC=2;w_Arsenicto_HiH;IF(NC=3;w_Arsenicto_HiC;w_Arsenicto_HiB))))/Density_oil</v>
      </c>
      <c r="E340" s="68">
        <f>IF($E$24=0,E335,IF($E$24=1,E336,IF($E$24=2,E337,IF($E$24=3,E338,E339))))/$E$27</f>
        <v>6.6372838409797464E-9</v>
      </c>
      <c r="F340" s="342"/>
      <c r="G340" s="343"/>
      <c r="H340" s="344" t="s">
        <v>489</v>
      </c>
      <c r="I340" s="342" t="s">
        <v>2233</v>
      </c>
      <c r="J340" s="418" t="str">
        <f>Water_emissions!CY81</f>
        <v>[kg/bbl] kg of Arsenic, total (as As) emissions to water per bbl of crude throughput</v>
      </c>
      <c r="K340" s="419"/>
      <c r="L340" s="419"/>
      <c r="M340" s="419"/>
      <c r="N340" s="419"/>
      <c r="O340" s="419"/>
      <c r="P340" s="420"/>
      <c r="Q340" s="2"/>
      <c r="R340" s="2"/>
      <c r="S340" s="2"/>
      <c r="T340" s="2"/>
      <c r="U340" s="2"/>
      <c r="V340" s="2"/>
      <c r="W340" s="2"/>
      <c r="X340" s="2"/>
      <c r="Y340" s="2"/>
    </row>
    <row r="341" spans="1:25" x14ac:dyDescent="0.25">
      <c r="A341" s="2"/>
      <c r="B341" s="17">
        <f t="shared" si="31"/>
        <v>13</v>
      </c>
      <c r="C341" s="340" t="str">
        <f>Water_emissions!CW82</f>
        <v>w_Bariumtot_L</v>
      </c>
      <c r="D341" s="341"/>
      <c r="E341" s="368">
        <f>HLOOKUP($C346,Water_emissions!$E$16:$CQ$32,3,FALSE)</f>
        <v>1.4725560744755281E-5</v>
      </c>
      <c r="F341" s="368">
        <f>HLOOKUP($C346,Water_emissions!$E$16:$CQ$32,8,FALSE)</f>
        <v>1.4679544242759596E-5</v>
      </c>
      <c r="G341" s="368">
        <f>HLOOKUP($C346,Water_emissions!$E$16:$CQ$32,13,FALSE)</f>
        <v>1.4771577246750967E-5</v>
      </c>
      <c r="H341" s="344" t="s">
        <v>1085</v>
      </c>
      <c r="I341" s="342" t="s">
        <v>2233</v>
      </c>
      <c r="J341" s="418" t="str">
        <f>Water_emissions!CY82</f>
        <v>[kg/bbl] kg of Barium, total (as Ba) emissions to water per bbl of crude throughput - Low Complexity</v>
      </c>
      <c r="K341" s="419"/>
      <c r="L341" s="419"/>
      <c r="M341" s="419"/>
      <c r="N341" s="419"/>
      <c r="O341" s="419"/>
      <c r="P341" s="420"/>
      <c r="Q341" s="2"/>
      <c r="R341" s="2"/>
      <c r="S341" s="2"/>
      <c r="T341" s="2"/>
      <c r="U341" s="2"/>
      <c r="V341" s="2"/>
      <c r="W341" s="2"/>
      <c r="X341" s="2"/>
      <c r="Y341" s="2"/>
    </row>
    <row r="342" spans="1:25" x14ac:dyDescent="0.25">
      <c r="A342" s="2"/>
      <c r="B342" s="17">
        <f t="shared" si="31"/>
        <v>13</v>
      </c>
      <c r="C342" s="340" t="str">
        <f>Water_emissions!CW83</f>
        <v>w_Bariumtot_M</v>
      </c>
      <c r="D342" s="341"/>
      <c r="E342" s="368">
        <f>HLOOKUP($C346,Water_emissions!$E$16:$CQ$32,4,FALSE)</f>
        <v>1.4771577246750967E-5</v>
      </c>
      <c r="F342" s="368">
        <f>HLOOKUP($C346,Water_emissions!$E$16:$CQ$32,9,FALSE)</f>
        <v>1.4771577246750967E-5</v>
      </c>
      <c r="G342" s="368">
        <f>HLOOKUP($C346,Water_emissions!$E$16:$CQ$32,14,FALSE)</f>
        <v>1.4771577246750967E-5</v>
      </c>
      <c r="H342" s="344" t="s">
        <v>1085</v>
      </c>
      <c r="I342" s="342" t="s">
        <v>2233</v>
      </c>
      <c r="J342" s="418" t="str">
        <f>Water_emissions!CY83</f>
        <v>[kg/bbl] kg of Barium, total (as Ba) emissions to water per bbl of crude throughput - Med Complexity</v>
      </c>
      <c r="K342" s="419"/>
      <c r="L342" s="419"/>
      <c r="M342" s="419"/>
      <c r="N342" s="419"/>
      <c r="O342" s="419"/>
      <c r="P342" s="420"/>
      <c r="Q342" s="2"/>
      <c r="R342" s="2"/>
      <c r="S342" s="2"/>
      <c r="T342" s="2"/>
      <c r="U342" s="2"/>
      <c r="V342" s="2"/>
      <c r="W342" s="2"/>
      <c r="X342" s="2"/>
      <c r="Y342" s="2"/>
    </row>
    <row r="343" spans="1:25" x14ac:dyDescent="0.25">
      <c r="A343" s="2"/>
      <c r="B343" s="17">
        <f t="shared" si="31"/>
        <v>15</v>
      </c>
      <c r="C343" s="340" t="str">
        <f>Water_emissions!CW84</f>
        <v>w_Bariumtot_HiH</v>
      </c>
      <c r="D343" s="341"/>
      <c r="E343" s="368">
        <f>HLOOKUP($C346,Water_emissions!$E$16:$CQ$32,5,FALSE)</f>
        <v>1.4725560744755281E-5</v>
      </c>
      <c r="F343" s="368">
        <f>HLOOKUP($C346,Water_emissions!$E$16:$CQ$32,10,FALSE)</f>
        <v>1.4679544242759596E-5</v>
      </c>
      <c r="G343" s="368">
        <f>HLOOKUP($C346,Water_emissions!$E$16:$CQ$32,15,FALSE)</f>
        <v>1.4771577246750967E-5</v>
      </c>
      <c r="H343" s="344" t="s">
        <v>1085</v>
      </c>
      <c r="I343" s="342" t="s">
        <v>2233</v>
      </c>
      <c r="J343" s="418" t="str">
        <f>Water_emissions!CY84</f>
        <v>[kg/bbl] kg of Barium, total (as Ba) emissions to water per bbl of crude throughput - High Complexity Hydro Cracking</v>
      </c>
      <c r="K343" s="419"/>
      <c r="L343" s="419"/>
      <c r="M343" s="419"/>
      <c r="N343" s="419"/>
      <c r="O343" s="419"/>
      <c r="P343" s="420"/>
      <c r="Q343" s="2"/>
      <c r="R343" s="2"/>
      <c r="S343" s="2"/>
      <c r="T343" s="2"/>
      <c r="U343" s="2"/>
      <c r="V343" s="2"/>
      <c r="W343" s="2"/>
      <c r="X343" s="2"/>
      <c r="Y343" s="2"/>
    </row>
    <row r="344" spans="1:25" x14ac:dyDescent="0.25">
      <c r="A344" s="2"/>
      <c r="B344" s="17">
        <f t="shared" si="31"/>
        <v>15</v>
      </c>
      <c r="C344" s="340" t="str">
        <f>Water_emissions!CW85</f>
        <v>w_Bariumtot_HiC</v>
      </c>
      <c r="D344" s="341"/>
      <c r="E344" s="368">
        <f>HLOOKUP($C346,Water_emissions!$E$16:$CQ$32,6,FALSE)</f>
        <v>1.4679544242759596E-5</v>
      </c>
      <c r="F344" s="368">
        <f>HLOOKUP($C346,Water_emissions!$E$16:$CQ$32,11,FALSE)</f>
        <v>1.4679544242759596E-5</v>
      </c>
      <c r="G344" s="368">
        <f>HLOOKUP($C346,Water_emissions!$E$16:$CQ$32,16,FALSE)</f>
        <v>1.4679544242759596E-5</v>
      </c>
      <c r="H344" s="344" t="s">
        <v>1085</v>
      </c>
      <c r="I344" s="342" t="s">
        <v>2233</v>
      </c>
      <c r="J344" s="418" t="str">
        <f>Water_emissions!CY85</f>
        <v>[kg/bbl] kg of Barium, total (as Ba) emissions to water per bbl of crude throughput - High Complexity Coking</v>
      </c>
      <c r="K344" s="419"/>
      <c r="L344" s="419"/>
      <c r="M344" s="419"/>
      <c r="N344" s="419"/>
      <c r="O344" s="419"/>
      <c r="P344" s="420"/>
      <c r="Q344" s="2"/>
      <c r="R344" s="2"/>
      <c r="S344" s="2"/>
      <c r="T344" s="2"/>
      <c r="U344" s="2"/>
      <c r="V344" s="2"/>
      <c r="W344" s="2"/>
      <c r="X344" s="2"/>
      <c r="Y344" s="2"/>
    </row>
    <row r="345" spans="1:25" x14ac:dyDescent="0.25">
      <c r="A345" s="2"/>
      <c r="B345" s="17">
        <f t="shared" si="31"/>
        <v>15</v>
      </c>
      <c r="C345" s="340" t="str">
        <f>Water_emissions!CW86</f>
        <v>w_Bariumtot_HiB</v>
      </c>
      <c r="D345" s="341"/>
      <c r="E345" s="368">
        <f>HLOOKUP($C346,Water_emissions!$E$16:$CQ$32,7,FALSE)</f>
        <v>1.4725560744755281E-5</v>
      </c>
      <c r="F345" s="368">
        <f>HLOOKUP($C346,Water_emissions!$E$16:$CQ$32,12,FALSE)</f>
        <v>1.4679544242759596E-5</v>
      </c>
      <c r="G345" s="368">
        <f>HLOOKUP($C346,Water_emissions!$E$16:$CQ$32,17,FALSE)</f>
        <v>1.4771577246750967E-5</v>
      </c>
      <c r="H345" s="344" t="s">
        <v>1085</v>
      </c>
      <c r="I345" s="342" t="s">
        <v>2233</v>
      </c>
      <c r="J345" s="418" t="str">
        <f>Water_emissions!CY86</f>
        <v>[kg/bbl] kg of Barium, total (as Ba) emissions to water per bbl of crude throughput - High Complexity Hydro Cracking and Coking</v>
      </c>
      <c r="K345" s="419"/>
      <c r="L345" s="419"/>
      <c r="M345" s="419"/>
      <c r="N345" s="419"/>
      <c r="O345" s="419"/>
      <c r="P345" s="420"/>
      <c r="Q345" s="2"/>
      <c r="R345" s="2"/>
      <c r="S345" s="2"/>
      <c r="T345" s="2"/>
      <c r="U345" s="2"/>
      <c r="V345" s="2"/>
      <c r="W345" s="2"/>
      <c r="X345" s="2"/>
      <c r="Y345" s="2"/>
    </row>
    <row r="346" spans="1:25" ht="26.25" x14ac:dyDescent="0.25">
      <c r="A346" s="2"/>
      <c r="B346" s="17">
        <f t="shared" si="31"/>
        <v>11</v>
      </c>
      <c r="C346" s="340" t="str">
        <f>Water_emissions!CW87</f>
        <v>w_Bariumtot</v>
      </c>
      <c r="D346" s="39" t="str">
        <f>"IF(NC=0;"&amp;C341&amp;";IF(NC=1;"&amp;C342&amp;";IF(NC=2;"&amp;C343&amp;";IF(NC=3;"&amp;C344&amp;";"&amp;C345&amp;"))))/"&amp;$C$27</f>
        <v>IF(NC=0;w_Bariumtot_L;IF(NC=1;w_Bariumtot_M;IF(NC=2;w_Bariumtot_HiH;IF(NC=3;w_Bariumtot_HiC;w_Bariumtot_HiB))))/Density_oil</v>
      </c>
      <c r="E346" s="68">
        <f>IF($E$24=0,E341,IF($E$24=1,E342,IF($E$24=2,E343,IF($E$24=3,E344,E345))))/$E$27</f>
        <v>1.0617703802719859E-7</v>
      </c>
      <c r="F346" s="342"/>
      <c r="G346" s="343"/>
      <c r="H346" s="344" t="s">
        <v>489</v>
      </c>
      <c r="I346" s="342" t="s">
        <v>2233</v>
      </c>
      <c r="J346" s="418" t="str">
        <f>Water_emissions!CY87</f>
        <v>[kg/bbl] kg of Barium, total (as Ba) emissions to water per bbl of crude throughput</v>
      </c>
      <c r="K346" s="419"/>
      <c r="L346" s="419"/>
      <c r="M346" s="419"/>
      <c r="N346" s="419"/>
      <c r="O346" s="419"/>
      <c r="P346" s="420"/>
      <c r="Q346" s="2"/>
      <c r="R346" s="2"/>
      <c r="S346" s="2"/>
      <c r="T346" s="2"/>
      <c r="U346" s="2"/>
      <c r="V346" s="2"/>
      <c r="W346" s="2"/>
      <c r="X346" s="2"/>
      <c r="Y346" s="2"/>
    </row>
    <row r="347" spans="1:25" x14ac:dyDescent="0.25">
      <c r="A347" s="2"/>
      <c r="B347" s="17">
        <f t="shared" si="31"/>
        <v>11</v>
      </c>
      <c r="C347" s="340" t="str">
        <f>Water_emissions!CW88</f>
        <v>w_BENZENE_L</v>
      </c>
      <c r="D347" s="341"/>
      <c r="E347" s="368">
        <f>HLOOKUP($C352,Water_emissions!$E$16:$CQ$32,3,FALSE)</f>
        <v>4.4141655100064653E-3</v>
      </c>
      <c r="F347" s="368">
        <f>HLOOKUP($C352,Water_emissions!$E$16:$CQ$32,8,FALSE)</f>
        <v>0</v>
      </c>
      <c r="G347" s="368">
        <f>HLOOKUP($C352,Water_emissions!$E$16:$CQ$32,13,FALSE)</f>
        <v>1.8211920529801327E-2</v>
      </c>
      <c r="H347" s="344" t="s">
        <v>1085</v>
      </c>
      <c r="I347" s="342" t="s">
        <v>2233</v>
      </c>
      <c r="J347" s="418" t="str">
        <f>Water_emissions!CY88</f>
        <v>[kg/bbl] kg of BENZENE emissions to water per bbl of crude throughput - Low Complexity</v>
      </c>
      <c r="K347" s="419"/>
      <c r="L347" s="419"/>
      <c r="M347" s="419"/>
      <c r="N347" s="419"/>
      <c r="O347" s="419"/>
      <c r="P347" s="420"/>
      <c r="Q347" s="2"/>
      <c r="R347" s="2"/>
      <c r="S347" s="2"/>
      <c r="T347" s="2"/>
      <c r="U347" s="2"/>
      <c r="V347" s="2"/>
      <c r="W347" s="2"/>
      <c r="X347" s="2"/>
      <c r="Y347" s="2"/>
    </row>
    <row r="348" spans="1:25" x14ac:dyDescent="0.25">
      <c r="A348" s="2"/>
      <c r="B348" s="17">
        <f t="shared" si="31"/>
        <v>11</v>
      </c>
      <c r="C348" s="340" t="str">
        <f>Water_emissions!CW89</f>
        <v>w_BENZENE_M</v>
      </c>
      <c r="D348" s="341"/>
      <c r="E348" s="368">
        <f>HLOOKUP($C352,Water_emissions!$E$16:$CQ$32,4,FALSE)</f>
        <v>2.8815147862631913E-2</v>
      </c>
      <c r="F348" s="368">
        <f>HLOOKUP($C352,Water_emissions!$E$16:$CQ$32,9,FALSE)</f>
        <v>0</v>
      </c>
      <c r="G348" s="368">
        <f>HLOOKUP($C352,Water_emissions!$E$16:$CQ$32,14,FALSE)</f>
        <v>0.17246136865342163</v>
      </c>
      <c r="H348" s="344" t="s">
        <v>1085</v>
      </c>
      <c r="I348" s="342" t="s">
        <v>2233</v>
      </c>
      <c r="J348" s="418" t="str">
        <f>Water_emissions!CY89</f>
        <v>[kg/bbl] kg of BENZENE emissions to water per bbl of crude throughput - Med Complexity</v>
      </c>
      <c r="K348" s="419"/>
      <c r="L348" s="419"/>
      <c r="M348" s="419"/>
      <c r="N348" s="419"/>
      <c r="O348" s="419"/>
      <c r="P348" s="420"/>
      <c r="Q348" s="2"/>
      <c r="R348" s="2"/>
      <c r="S348" s="2"/>
      <c r="T348" s="2"/>
      <c r="U348" s="2"/>
      <c r="V348" s="2"/>
      <c r="W348" s="2"/>
      <c r="X348" s="2"/>
      <c r="Y348" s="2"/>
    </row>
    <row r="349" spans="1:25" x14ac:dyDescent="0.25">
      <c r="A349" s="2"/>
      <c r="B349" s="17">
        <f t="shared" si="31"/>
        <v>13</v>
      </c>
      <c r="C349" s="340" t="str">
        <f>Water_emissions!CW90</f>
        <v>w_BENZENE_HiH</v>
      </c>
      <c r="D349" s="341"/>
      <c r="E349" s="368">
        <f>HLOOKUP($C352,Water_emissions!$E$16:$CQ$32,5,FALSE)</f>
        <v>2.272439076880689E-2</v>
      </c>
      <c r="F349" s="368">
        <f>HLOOKUP($C352,Water_emissions!$E$16:$CQ$32,10,FALSE)</f>
        <v>2.6077772709240553E-3</v>
      </c>
      <c r="G349" s="368">
        <f>HLOOKUP($C352,Water_emissions!$E$16:$CQ$32,15,FALSE)</f>
        <v>6.0444263032399234E-2</v>
      </c>
      <c r="H349" s="344" t="s">
        <v>1085</v>
      </c>
      <c r="I349" s="342" t="s">
        <v>2233</v>
      </c>
      <c r="J349" s="418" t="str">
        <f>Water_emissions!CY90</f>
        <v>[kg/bbl] kg of BENZENE emissions to water per bbl of crude throughput - High Complexity Hydro Cracking</v>
      </c>
      <c r="K349" s="419"/>
      <c r="L349" s="419"/>
      <c r="M349" s="419"/>
      <c r="N349" s="419"/>
      <c r="O349" s="419"/>
      <c r="P349" s="420"/>
      <c r="Q349" s="2"/>
      <c r="R349" s="2"/>
      <c r="S349" s="2"/>
      <c r="T349" s="2"/>
      <c r="U349" s="2"/>
      <c r="V349" s="2"/>
      <c r="W349" s="2"/>
      <c r="X349" s="2"/>
      <c r="Y349" s="2"/>
    </row>
    <row r="350" spans="1:25" x14ac:dyDescent="0.25">
      <c r="A350" s="2"/>
      <c r="B350" s="17">
        <f t="shared" si="31"/>
        <v>13</v>
      </c>
      <c r="C350" s="340" t="str">
        <f>Water_emissions!CW91</f>
        <v>w_BENZENE_HiC</v>
      </c>
      <c r="D350" s="341"/>
      <c r="E350" s="368">
        <f>HLOOKUP($C352,Water_emissions!$E$16:$CQ$32,6,FALSE)</f>
        <v>1.9689759876309301E-2</v>
      </c>
      <c r="F350" s="368">
        <f>HLOOKUP($C352,Water_emissions!$E$16:$CQ$32,11,FALSE)</f>
        <v>0</v>
      </c>
      <c r="G350" s="368">
        <f>HLOOKUP($C352,Water_emissions!$E$16:$CQ$32,16,FALSE)</f>
        <v>0.21216580819229827</v>
      </c>
      <c r="H350" s="344" t="s">
        <v>1085</v>
      </c>
      <c r="I350" s="342" t="s">
        <v>2233</v>
      </c>
      <c r="J350" s="418" t="str">
        <f>Water_emissions!CY91</f>
        <v>[kg/bbl] kg of BENZENE emissions to water per bbl of crude throughput - High Complexity Coking</v>
      </c>
      <c r="K350" s="419"/>
      <c r="L350" s="419"/>
      <c r="M350" s="419"/>
      <c r="N350" s="419"/>
      <c r="O350" s="419"/>
      <c r="P350" s="420"/>
      <c r="Q350" s="2"/>
      <c r="R350" s="2"/>
      <c r="S350" s="2"/>
      <c r="T350" s="2"/>
      <c r="U350" s="2"/>
      <c r="V350" s="2"/>
      <c r="W350" s="2"/>
      <c r="X350" s="2"/>
      <c r="Y350" s="2"/>
    </row>
    <row r="351" spans="1:25" x14ac:dyDescent="0.25">
      <c r="A351" s="2"/>
      <c r="B351" s="17">
        <f t="shared" si="31"/>
        <v>13</v>
      </c>
      <c r="C351" s="340" t="str">
        <f>Water_emissions!CW92</f>
        <v>w_BENZENE_HiB</v>
      </c>
      <c r="D351" s="341"/>
      <c r="E351" s="368">
        <f>HLOOKUP($C352,Water_emissions!$E$16:$CQ$32,7,FALSE)</f>
        <v>6.175249877704206E-3</v>
      </c>
      <c r="F351" s="368">
        <f>HLOOKUP($C352,Water_emissions!$E$16:$CQ$32,12,FALSE)</f>
        <v>0</v>
      </c>
      <c r="G351" s="368">
        <f>HLOOKUP($C352,Water_emissions!$E$16:$CQ$32,17,FALSE)</f>
        <v>5.5833612778559971E-2</v>
      </c>
      <c r="H351" s="344" t="s">
        <v>1085</v>
      </c>
      <c r="I351" s="342" t="s">
        <v>2233</v>
      </c>
      <c r="J351" s="418" t="str">
        <f>Water_emissions!CY92</f>
        <v>[kg/bbl] kg of BENZENE emissions to water per bbl of crude throughput - High Complexity Hydro Cracking and Coking</v>
      </c>
      <c r="K351" s="419"/>
      <c r="L351" s="419"/>
      <c r="M351" s="419"/>
      <c r="N351" s="419"/>
      <c r="O351" s="419"/>
      <c r="P351" s="420"/>
      <c r="Q351" s="2"/>
      <c r="R351" s="2"/>
      <c r="S351" s="2"/>
      <c r="T351" s="2"/>
      <c r="U351" s="2"/>
      <c r="V351" s="2"/>
      <c r="W351" s="2"/>
      <c r="X351" s="2"/>
      <c r="Y351" s="2"/>
    </row>
    <row r="352" spans="1:25" ht="39" x14ac:dyDescent="0.25">
      <c r="A352" s="2"/>
      <c r="B352" s="17">
        <f t="shared" si="31"/>
        <v>9</v>
      </c>
      <c r="C352" s="340" t="str">
        <f>Water_emissions!CW93</f>
        <v>w_BENZENE</v>
      </c>
      <c r="D352" s="39" t="str">
        <f>"IF(NC=0;"&amp;C347&amp;";IF(NC=1;"&amp;C348&amp;";IF(NC=2;"&amp;C349&amp;";IF(NC=3;"&amp;C350&amp;";"&amp;C351&amp;"))))/"&amp;$C$27</f>
        <v>IF(NC=0;w_BENZENE_L;IF(NC=1;w_BENZENE_M;IF(NC=2;w_BENZENE_HiH;IF(NC=3;w_BENZENE_HiC;w_BENZENE_HiB))))/Density_oil</v>
      </c>
      <c r="E352" s="68">
        <f>IF($E$24=0,E347,IF($E$24=1,E348,IF($E$24=2,E349,IF($E$24=3,E350,E351))))/$E$27</f>
        <v>4.4525960841659564E-5</v>
      </c>
      <c r="F352" s="342"/>
      <c r="G352" s="343"/>
      <c r="H352" s="344" t="s">
        <v>489</v>
      </c>
      <c r="I352" s="342" t="s">
        <v>2233</v>
      </c>
      <c r="J352" s="418" t="str">
        <f>Water_emissions!CY93</f>
        <v>[kg/bbl] kg of BENZENE emissions to water per bbl of crude throughput</v>
      </c>
      <c r="K352" s="419"/>
      <c r="L352" s="419"/>
      <c r="M352" s="419"/>
      <c r="N352" s="419"/>
      <c r="O352" s="419"/>
      <c r="P352" s="420"/>
      <c r="Q352" s="2"/>
      <c r="R352" s="2"/>
      <c r="S352" s="2"/>
      <c r="T352" s="2"/>
      <c r="U352" s="2"/>
      <c r="V352" s="2"/>
      <c r="W352" s="2"/>
      <c r="X352" s="2"/>
      <c r="Y352" s="2"/>
    </row>
    <row r="353" spans="1:25" x14ac:dyDescent="0.25">
      <c r="A353" s="2"/>
      <c r="B353" s="17">
        <f t="shared" si="31"/>
        <v>13</v>
      </c>
      <c r="C353" s="340" t="str">
        <f>Water_emissions!CW94</f>
        <v>w_BENZOGHIP_L</v>
      </c>
      <c r="D353" s="341"/>
      <c r="E353" s="368">
        <f>HLOOKUP($C358,Water_emissions!$E$16:$CQ$32,3,FALSE)</f>
        <v>2.1368014033414669E-7</v>
      </c>
      <c r="F353" s="368">
        <f>HLOOKUP($C358,Water_emissions!$E$16:$CQ$32,8,FALSE)</f>
        <v>0</v>
      </c>
      <c r="G353" s="368">
        <f>HLOOKUP($C358,Water_emissions!$E$16:$CQ$32,13,FALSE)</f>
        <v>8.5472056133658674E-7</v>
      </c>
      <c r="H353" s="344" t="s">
        <v>1085</v>
      </c>
      <c r="I353" s="342" t="s">
        <v>2233</v>
      </c>
      <c r="J353" s="418" t="str">
        <f>Water_emissions!CY94</f>
        <v>[kg/bbl] kg of BENZO(G,H,I)PERYLENE emissions to water per bbl of crude throughput - Low Complexity</v>
      </c>
      <c r="K353" s="419"/>
      <c r="L353" s="419"/>
      <c r="M353" s="419"/>
      <c r="N353" s="419"/>
      <c r="O353" s="419"/>
      <c r="P353" s="420"/>
      <c r="Q353" s="2"/>
      <c r="R353" s="2"/>
      <c r="S353" s="2"/>
      <c r="T353" s="2"/>
      <c r="U353" s="2"/>
      <c r="V353" s="2"/>
      <c r="W353" s="2"/>
      <c r="X353" s="2"/>
      <c r="Y353" s="2"/>
    </row>
    <row r="354" spans="1:25" x14ac:dyDescent="0.25">
      <c r="A354" s="2"/>
      <c r="B354" s="17">
        <f t="shared" si="31"/>
        <v>13</v>
      </c>
      <c r="C354" s="340" t="str">
        <f>Water_emissions!CW95</f>
        <v>w_BENZOGHIP_M</v>
      </c>
      <c r="D354" s="341"/>
      <c r="E354" s="368">
        <f>HLOOKUP($C358,Water_emissions!$E$16:$CQ$32,4,FALSE)</f>
        <v>1.3139913802165455E-4</v>
      </c>
      <c r="F354" s="368">
        <f>HLOOKUP($C358,Water_emissions!$E$16:$CQ$32,9,FALSE)</f>
        <v>0</v>
      </c>
      <c r="G354" s="368">
        <f>HLOOKUP($C358,Water_emissions!$E$16:$CQ$32,14,FALSE)</f>
        <v>9.1979396615158194E-4</v>
      </c>
      <c r="H354" s="344" t="s">
        <v>1085</v>
      </c>
      <c r="I354" s="342" t="s">
        <v>2233</v>
      </c>
      <c r="J354" s="418" t="str">
        <f>Water_emissions!CY95</f>
        <v>[kg/bbl] kg of BENZO(G,H,I)PERYLENE emissions to water per bbl of crude throughput - Med Complexity</v>
      </c>
      <c r="K354" s="419"/>
      <c r="L354" s="419"/>
      <c r="M354" s="419"/>
      <c r="N354" s="419"/>
      <c r="O354" s="419"/>
      <c r="P354" s="420"/>
      <c r="Q354" s="2"/>
      <c r="R354" s="2"/>
      <c r="S354" s="2"/>
      <c r="T354" s="2"/>
      <c r="U354" s="2"/>
      <c r="V354" s="2"/>
      <c r="W354" s="2"/>
      <c r="X354" s="2"/>
      <c r="Y354" s="2"/>
    </row>
    <row r="355" spans="1:25" x14ac:dyDescent="0.25">
      <c r="A355" s="2"/>
      <c r="B355" s="17">
        <f t="shared" si="31"/>
        <v>15</v>
      </c>
      <c r="C355" s="340" t="str">
        <f>Water_emissions!CW96</f>
        <v>w_BENZOGHIP_HiH</v>
      </c>
      <c r="D355" s="341"/>
      <c r="E355" s="368">
        <f>HLOOKUP($C358,Water_emissions!$E$16:$CQ$32,5,FALSE)</f>
        <v>1.8068474524081661E-3</v>
      </c>
      <c r="F355" s="368">
        <f>HLOOKUP($C358,Water_emissions!$E$16:$CQ$32,10,FALSE)</f>
        <v>0</v>
      </c>
      <c r="G355" s="368">
        <f>HLOOKUP($C358,Water_emissions!$E$16:$CQ$32,15,FALSE)</f>
        <v>8.8386539667215259E-3</v>
      </c>
      <c r="H355" s="344" t="s">
        <v>1085</v>
      </c>
      <c r="I355" s="342" t="s">
        <v>2233</v>
      </c>
      <c r="J355" s="418" t="str">
        <f>Water_emissions!CY96</f>
        <v>[kg/bbl] kg of BENZO(G,H,I)PERYLENE emissions to water per bbl of crude throughput - High Complexity Hydro Cracking</v>
      </c>
      <c r="K355" s="419"/>
      <c r="L355" s="419"/>
      <c r="M355" s="419"/>
      <c r="N355" s="419"/>
      <c r="O355" s="419"/>
      <c r="P355" s="420"/>
      <c r="Q355" s="2"/>
      <c r="R355" s="2"/>
      <c r="S355" s="2"/>
      <c r="T355" s="2"/>
      <c r="U355" s="2"/>
      <c r="V355" s="2"/>
      <c r="W355" s="2"/>
      <c r="X355" s="2"/>
      <c r="Y355" s="2"/>
    </row>
    <row r="356" spans="1:25" x14ac:dyDescent="0.25">
      <c r="A356" s="2"/>
      <c r="B356" s="17">
        <f t="shared" si="31"/>
        <v>15</v>
      </c>
      <c r="C356" s="340" t="str">
        <f>Water_emissions!CW97</f>
        <v>w_BENZOGHIP_HiC</v>
      </c>
      <c r="D356" s="341"/>
      <c r="E356" s="368">
        <f>HLOOKUP($C358,Water_emissions!$E$16:$CQ$32,6,FALSE)</f>
        <v>6.415338784506279E-3</v>
      </c>
      <c r="F356" s="368">
        <f>HLOOKUP($C358,Water_emissions!$E$16:$CQ$32,11,FALSE)</f>
        <v>0</v>
      </c>
      <c r="G356" s="368">
        <f>HLOOKUP($C358,Water_emissions!$E$16:$CQ$32,16,FALSE)</f>
        <v>8.7096087241105832E-2</v>
      </c>
      <c r="H356" s="344" t="s">
        <v>1085</v>
      </c>
      <c r="I356" s="342" t="s">
        <v>2233</v>
      </c>
      <c r="J356" s="418" t="str">
        <f>Water_emissions!CY97</f>
        <v>[kg/bbl] kg of BENZO(G,H,I)PERYLENE emissions to water per bbl of crude throughput - High Complexity Coking</v>
      </c>
      <c r="K356" s="419"/>
      <c r="L356" s="419"/>
      <c r="M356" s="419"/>
      <c r="N356" s="419"/>
      <c r="O356" s="419"/>
      <c r="P356" s="420"/>
      <c r="Q356" s="2"/>
      <c r="R356" s="2"/>
      <c r="S356" s="2"/>
      <c r="T356" s="2"/>
      <c r="U356" s="2"/>
      <c r="V356" s="2"/>
      <c r="W356" s="2"/>
      <c r="X356" s="2"/>
      <c r="Y356" s="2"/>
    </row>
    <row r="357" spans="1:25" x14ac:dyDescent="0.25">
      <c r="A357" s="2"/>
      <c r="B357" s="17">
        <f t="shared" si="31"/>
        <v>15</v>
      </c>
      <c r="C357" s="340" t="str">
        <f>Water_emissions!CW98</f>
        <v>w_BENZOGHIP_HiB</v>
      </c>
      <c r="D357" s="341"/>
      <c r="E357" s="368">
        <f>HLOOKUP($C358,Water_emissions!$E$16:$CQ$32,7,FALSE)</f>
        <v>1.9944413254061261E-3</v>
      </c>
      <c r="F357" s="368">
        <f>HLOOKUP($C358,Water_emissions!$E$16:$CQ$32,12,FALSE)</f>
        <v>0</v>
      </c>
      <c r="G357" s="368">
        <f>HLOOKUP($C358,Water_emissions!$E$16:$CQ$32,17,FALSE)</f>
        <v>1.7043202290616954E-2</v>
      </c>
      <c r="H357" s="344" t="s">
        <v>1085</v>
      </c>
      <c r="I357" s="342" t="s">
        <v>2233</v>
      </c>
      <c r="J357" s="418" t="str">
        <f>Water_emissions!CY98</f>
        <v>[kg/bbl] kg of BENZO(G,H,I)PERYLENE emissions to water per bbl of crude throughput - High Complexity Hydro Cracking and Coking</v>
      </c>
      <c r="K357" s="419"/>
      <c r="L357" s="419"/>
      <c r="M357" s="419"/>
      <c r="N357" s="419"/>
      <c r="O357" s="419"/>
      <c r="P357" s="420"/>
      <c r="Q357" s="2"/>
      <c r="R357" s="2"/>
      <c r="S357" s="2"/>
      <c r="T357" s="2"/>
      <c r="U357" s="2"/>
      <c r="V357" s="2"/>
      <c r="W357" s="2"/>
      <c r="X357" s="2"/>
      <c r="Y357" s="2"/>
    </row>
    <row r="358" spans="1:25" ht="42.75" customHeight="1" x14ac:dyDescent="0.25">
      <c r="A358" s="2"/>
      <c r="B358" s="17">
        <f t="shared" si="31"/>
        <v>11</v>
      </c>
      <c r="C358" s="340" t="str">
        <f>Water_emissions!CW99</f>
        <v>w_BENZOGHIP</v>
      </c>
      <c r="D358" s="39" t="str">
        <f>"IF(NC=0;"&amp;C353&amp;";IF(NC=1;"&amp;C354&amp;";IF(NC=2;"&amp;C355&amp;";IF(NC=3;"&amp;C356&amp;";"&amp;C357&amp;"))))/"&amp;$C$27</f>
        <v>IF(NC=0;w_BENZOGHIP_L;IF(NC=1;w_BENZOGHIP_M;IF(NC=2;w_BENZOGHIP_HiH;IF(NC=3;w_BENZOGHIP_HiC;w_BENZOGHIP_HiB))))/Density_oil</v>
      </c>
      <c r="E358" s="68">
        <f>IF($E$24=0,E353,IF($E$24=1,E354,IF($E$24=2,E355,IF($E$24=3,E356,E357))))/$E$27</f>
        <v>1.4380700071206819E-5</v>
      </c>
      <c r="F358" s="342"/>
      <c r="G358" s="343"/>
      <c r="H358" s="344" t="s">
        <v>489</v>
      </c>
      <c r="I358" s="342" t="s">
        <v>2233</v>
      </c>
      <c r="J358" s="418" t="str">
        <f>Water_emissions!CY99</f>
        <v>[kg/bbl] kg of BENZO(G,H,I)PERYLENE emissions to water per bbl of crude throughput</v>
      </c>
      <c r="K358" s="419"/>
      <c r="L358" s="419"/>
      <c r="M358" s="419"/>
      <c r="N358" s="419"/>
      <c r="O358" s="419"/>
      <c r="P358" s="420"/>
      <c r="Q358" s="2"/>
      <c r="R358" s="2"/>
      <c r="S358" s="2"/>
      <c r="T358" s="2"/>
      <c r="U358" s="2"/>
      <c r="V358" s="2"/>
      <c r="W358" s="2"/>
      <c r="X358" s="2"/>
      <c r="Y358" s="2"/>
    </row>
    <row r="359" spans="1:25" x14ac:dyDescent="0.25">
      <c r="A359" s="2"/>
      <c r="B359" s="17">
        <f t="shared" si="31"/>
        <v>13</v>
      </c>
      <c r="C359" s="340" t="str">
        <f>Water_emissions!CW100</f>
        <v>w_BENZO_A_P_L</v>
      </c>
      <c r="D359" s="341"/>
      <c r="E359" s="368">
        <f>HLOOKUP($C364,Water_emissions!$E$16:$CQ$32,3,FALSE)</f>
        <v>2.4800331074453369E-8</v>
      </c>
      <c r="F359" s="368">
        <f>HLOOKUP($C364,Water_emissions!$E$16:$CQ$32,8,FALSE)</f>
        <v>2.4800331074453369E-8</v>
      </c>
      <c r="G359" s="368">
        <f>HLOOKUP($C364,Water_emissions!$E$16:$CQ$32,13,FALSE)</f>
        <v>2.4800331074453369E-8</v>
      </c>
      <c r="H359" s="344" t="s">
        <v>1085</v>
      </c>
      <c r="I359" s="342" t="s">
        <v>2233</v>
      </c>
      <c r="J359" s="418" t="str">
        <f>Water_emissions!CY100</f>
        <v>[kg/bbl] kg of BENZO[A]PYRENE emissions to water per bbl of crude throughput - Low Complexity</v>
      </c>
      <c r="K359" s="419"/>
      <c r="L359" s="419"/>
      <c r="M359" s="419"/>
      <c r="N359" s="419"/>
      <c r="O359" s="419"/>
      <c r="P359" s="420"/>
      <c r="Q359" s="2"/>
      <c r="R359" s="2"/>
      <c r="S359" s="2"/>
      <c r="T359" s="2"/>
      <c r="U359" s="2"/>
      <c r="V359" s="2"/>
      <c r="W359" s="2"/>
      <c r="X359" s="2"/>
      <c r="Y359" s="2"/>
    </row>
    <row r="360" spans="1:25" x14ac:dyDescent="0.25">
      <c r="A360" s="2"/>
      <c r="B360" s="17">
        <f t="shared" si="31"/>
        <v>13</v>
      </c>
      <c r="C360" s="340" t="str">
        <f>Water_emissions!CW101</f>
        <v>w_BENZO_A_P_M</v>
      </c>
      <c r="D360" s="341"/>
      <c r="E360" s="368">
        <f>HLOOKUP($C364,Water_emissions!$E$16:$CQ$32,4,FALSE)</f>
        <v>2.4800331074453369E-8</v>
      </c>
      <c r="F360" s="368">
        <f>HLOOKUP($C364,Water_emissions!$E$16:$CQ$32,9,FALSE)</f>
        <v>2.4800331074453369E-8</v>
      </c>
      <c r="G360" s="368">
        <f>HLOOKUP($C364,Water_emissions!$E$16:$CQ$32,14,FALSE)</f>
        <v>2.4800331074453369E-8</v>
      </c>
      <c r="H360" s="344" t="s">
        <v>1085</v>
      </c>
      <c r="I360" s="342" t="s">
        <v>2233</v>
      </c>
      <c r="J360" s="418" t="str">
        <f>Water_emissions!CY101</f>
        <v>[kg/bbl] kg of BENZO[A]PYRENE emissions to water per bbl of crude throughput - Med Complexity</v>
      </c>
      <c r="K360" s="419"/>
      <c r="L360" s="419"/>
      <c r="M360" s="419"/>
      <c r="N360" s="419"/>
      <c r="O360" s="419"/>
      <c r="P360" s="420"/>
      <c r="Q360" s="2"/>
      <c r="R360" s="2"/>
      <c r="S360" s="2"/>
      <c r="T360" s="2"/>
      <c r="U360" s="2"/>
      <c r="V360" s="2"/>
      <c r="W360" s="2"/>
      <c r="X360" s="2"/>
      <c r="Y360" s="2"/>
    </row>
    <row r="361" spans="1:25" x14ac:dyDescent="0.25">
      <c r="A361" s="2"/>
      <c r="B361" s="17">
        <f t="shared" si="31"/>
        <v>15</v>
      </c>
      <c r="C361" s="340" t="str">
        <f>Water_emissions!CW102</f>
        <v>w_BENZO_A_P_HiH</v>
      </c>
      <c r="D361" s="341"/>
      <c r="E361" s="368">
        <f>HLOOKUP($C364,Water_emissions!$E$16:$CQ$32,5,FALSE)</f>
        <v>2.4800331074453369E-8</v>
      </c>
      <c r="F361" s="368">
        <f>HLOOKUP($C364,Water_emissions!$E$16:$CQ$32,10,FALSE)</f>
        <v>2.4800331074453369E-8</v>
      </c>
      <c r="G361" s="368">
        <f>HLOOKUP($C364,Water_emissions!$E$16:$CQ$32,15,FALSE)</f>
        <v>2.4800331074453369E-8</v>
      </c>
      <c r="H361" s="344" t="s">
        <v>1085</v>
      </c>
      <c r="I361" s="342" t="s">
        <v>2233</v>
      </c>
      <c r="J361" s="418" t="str">
        <f>Water_emissions!CY102</f>
        <v>[kg/bbl] kg of BENZO[A]PYRENE emissions to water per bbl of crude throughput - High Complexity Hydro Cracking</v>
      </c>
      <c r="K361" s="419"/>
      <c r="L361" s="419"/>
      <c r="M361" s="419"/>
      <c r="N361" s="419"/>
      <c r="O361" s="419"/>
      <c r="P361" s="420"/>
      <c r="Q361" s="2"/>
      <c r="R361" s="2"/>
      <c r="S361" s="2"/>
      <c r="T361" s="2"/>
      <c r="U361" s="2"/>
      <c r="V361" s="2"/>
      <c r="W361" s="2"/>
      <c r="X361" s="2"/>
      <c r="Y361" s="2"/>
    </row>
    <row r="362" spans="1:25" x14ac:dyDescent="0.25">
      <c r="A362" s="2"/>
      <c r="B362" s="17">
        <f t="shared" si="31"/>
        <v>15</v>
      </c>
      <c r="C362" s="340" t="str">
        <f>Water_emissions!CW103</f>
        <v>w_BENZO_A_P_HiC</v>
      </c>
      <c r="D362" s="341"/>
      <c r="E362" s="368">
        <f>HLOOKUP($C364,Water_emissions!$E$16:$CQ$32,6,FALSE)</f>
        <v>2.4800331074453369E-8</v>
      </c>
      <c r="F362" s="368">
        <f>HLOOKUP($C364,Water_emissions!$E$16:$CQ$32,11,FALSE)</f>
        <v>2.4800331074453369E-8</v>
      </c>
      <c r="G362" s="368">
        <f>HLOOKUP($C364,Water_emissions!$E$16:$CQ$32,16,FALSE)</f>
        <v>2.4800331074453369E-8</v>
      </c>
      <c r="H362" s="344" t="s">
        <v>1085</v>
      </c>
      <c r="I362" s="342" t="s">
        <v>2233</v>
      </c>
      <c r="J362" s="418" t="str">
        <f>Water_emissions!CY103</f>
        <v>[kg/bbl] kg of BENZO[A]PYRENE emissions to water per bbl of crude throughput - High Complexity Coking</v>
      </c>
      <c r="K362" s="419"/>
      <c r="L362" s="419"/>
      <c r="M362" s="419"/>
      <c r="N362" s="419"/>
      <c r="O362" s="419"/>
      <c r="P362" s="420"/>
      <c r="Q362" s="2"/>
      <c r="R362" s="2"/>
      <c r="S362" s="2"/>
      <c r="T362" s="2"/>
      <c r="U362" s="2"/>
      <c r="V362" s="2"/>
      <c r="W362" s="2"/>
      <c r="X362" s="2"/>
      <c r="Y362" s="2"/>
    </row>
    <row r="363" spans="1:25" x14ac:dyDescent="0.25">
      <c r="A363" s="2"/>
      <c r="B363" s="17">
        <f t="shared" si="31"/>
        <v>15</v>
      </c>
      <c r="C363" s="340" t="str">
        <f>Water_emissions!CW104</f>
        <v>w_BENZO_A_P_HiB</v>
      </c>
      <c r="D363" s="341"/>
      <c r="E363" s="368">
        <f>HLOOKUP($C364,Water_emissions!$E$16:$CQ$32,7,FALSE)</f>
        <v>2.4800331074453369E-8</v>
      </c>
      <c r="F363" s="368">
        <f>HLOOKUP($C364,Water_emissions!$E$16:$CQ$32,12,FALSE)</f>
        <v>2.4800331074453369E-8</v>
      </c>
      <c r="G363" s="368">
        <f>HLOOKUP($C364,Water_emissions!$E$16:$CQ$32,17,FALSE)</f>
        <v>2.4800331074453369E-8</v>
      </c>
      <c r="H363" s="344" t="s">
        <v>1085</v>
      </c>
      <c r="I363" s="342" t="s">
        <v>2233</v>
      </c>
      <c r="J363" s="418" t="str">
        <f>Water_emissions!CY104</f>
        <v>[kg/bbl] kg of BENZO[A]PYRENE emissions to water per bbl of crude throughput - High Complexity Hydro Cracking and Coking</v>
      </c>
      <c r="K363" s="419"/>
      <c r="L363" s="419"/>
      <c r="M363" s="419"/>
      <c r="N363" s="419"/>
      <c r="O363" s="419"/>
      <c r="P363" s="420"/>
      <c r="Q363" s="2"/>
      <c r="R363" s="2"/>
      <c r="S363" s="2"/>
      <c r="T363" s="2"/>
      <c r="U363" s="2"/>
      <c r="V363" s="2"/>
      <c r="W363" s="2"/>
      <c r="X363" s="2"/>
      <c r="Y363" s="2"/>
    </row>
    <row r="364" spans="1:25" ht="43.5" customHeight="1" x14ac:dyDescent="0.25">
      <c r="A364" s="2"/>
      <c r="B364" s="17">
        <f t="shared" si="31"/>
        <v>11</v>
      </c>
      <c r="C364" s="340" t="str">
        <f>Water_emissions!CW105</f>
        <v>w_BENZO_A_P</v>
      </c>
      <c r="D364" s="39" t="str">
        <f>"IF(NC=0;"&amp;C359&amp;";IF(NC=1;"&amp;C360&amp;";IF(NC=2;"&amp;C361&amp;";IF(NC=3;"&amp;C362&amp;";"&amp;C363&amp;"))))/"&amp;$C$27</f>
        <v>IF(NC=0;w_BENZO_A_P_L;IF(NC=1;w_BENZO_A_P_M;IF(NC=2;w_BENZO_A_P_HiH;IF(NC=3;w_BENZO_A_P_HiC;w_BENZO_A_P_HiB))))/Density_oil</v>
      </c>
      <c r="E364" s="68">
        <f>IF($E$24=0,E359,IF($E$24=1,E360,IF($E$24=2,E361,IF($E$24=3,E362,E363))))/$E$27</f>
        <v>1.7882006269385777E-10</v>
      </c>
      <c r="F364" s="342"/>
      <c r="G364" s="343"/>
      <c r="H364" s="344" t="s">
        <v>489</v>
      </c>
      <c r="I364" s="342" t="s">
        <v>2233</v>
      </c>
      <c r="J364" s="418" t="str">
        <f>Water_emissions!CY105</f>
        <v>[kg/bbl] kg of BENZO[A]PYRENE emissions to water per bbl of crude throughput</v>
      </c>
      <c r="K364" s="419"/>
      <c r="L364" s="419"/>
      <c r="M364" s="419"/>
      <c r="N364" s="419"/>
      <c r="O364" s="419"/>
      <c r="P364" s="420"/>
      <c r="Q364" s="2"/>
      <c r="R364" s="2"/>
      <c r="S364" s="2"/>
      <c r="T364" s="2"/>
      <c r="U364" s="2"/>
      <c r="V364" s="2"/>
      <c r="W364" s="2"/>
      <c r="X364" s="2"/>
      <c r="Y364" s="2"/>
    </row>
    <row r="365" spans="1:25" x14ac:dyDescent="0.25">
      <c r="A365" s="2"/>
      <c r="B365" s="17">
        <f t="shared" si="31"/>
        <v>12</v>
      </c>
      <c r="C365" s="340" t="str">
        <f>Water_emissions!CW106</f>
        <v>w_BIPHENYL_L</v>
      </c>
      <c r="D365" s="341"/>
      <c r="E365" s="368">
        <f>HLOOKUP($C370,Water_emissions!$E$16:$CQ$32,3,FALSE)</f>
        <v>0</v>
      </c>
      <c r="F365" s="368">
        <f>HLOOKUP($C370,Water_emissions!$E$16:$CQ$32,8,FALSE)</f>
        <v>0</v>
      </c>
      <c r="G365" s="368">
        <f>HLOOKUP($C370,Water_emissions!$E$16:$CQ$32,13,FALSE)</f>
        <v>0</v>
      </c>
      <c r="H365" s="344" t="s">
        <v>1085</v>
      </c>
      <c r="I365" s="342" t="s">
        <v>2233</v>
      </c>
      <c r="J365" s="418" t="str">
        <f>Water_emissions!CY106</f>
        <v>[kg/bbl] kg of BIPHENYL emissions to water per bbl of crude throughput - Low Complexity</v>
      </c>
      <c r="K365" s="419"/>
      <c r="L365" s="419"/>
      <c r="M365" s="419"/>
      <c r="N365" s="419"/>
      <c r="O365" s="419"/>
      <c r="P365" s="420"/>
      <c r="Q365" s="2"/>
      <c r="R365" s="2"/>
      <c r="S365" s="2"/>
      <c r="T365" s="2"/>
      <c r="U365" s="2"/>
      <c r="V365" s="2"/>
      <c r="W365" s="2"/>
      <c r="X365" s="2"/>
      <c r="Y365" s="2"/>
    </row>
    <row r="366" spans="1:25" x14ac:dyDescent="0.25">
      <c r="A366" s="2"/>
      <c r="B366" s="17">
        <f t="shared" si="31"/>
        <v>12</v>
      </c>
      <c r="C366" s="340" t="str">
        <f>Water_emissions!CW107</f>
        <v>w_BIPHENYL_M</v>
      </c>
      <c r="D366" s="341"/>
      <c r="E366" s="368">
        <f>HLOOKUP($C370,Water_emissions!$E$16:$CQ$32,4,FALSE)</f>
        <v>1.7522164820376268E-3</v>
      </c>
      <c r="F366" s="368">
        <f>HLOOKUP($C370,Water_emissions!$E$16:$CQ$32,9,FALSE)</f>
        <v>0</v>
      </c>
      <c r="G366" s="368">
        <f>HLOOKUP($C370,Water_emissions!$E$16:$CQ$32,14,FALSE)</f>
        <v>6.247657128576784E-3</v>
      </c>
      <c r="H366" s="344" t="s">
        <v>1085</v>
      </c>
      <c r="I366" s="342" t="s">
        <v>2233</v>
      </c>
      <c r="J366" s="418" t="str">
        <f>Water_emissions!CY107</f>
        <v>[kg/bbl] kg of BIPHENYL emissions to water per bbl of crude throughput - Med Complexity</v>
      </c>
      <c r="K366" s="419"/>
      <c r="L366" s="419"/>
      <c r="M366" s="419"/>
      <c r="N366" s="419"/>
      <c r="O366" s="419"/>
      <c r="P366" s="420"/>
      <c r="Q366" s="2"/>
      <c r="R366" s="2"/>
      <c r="S366" s="2"/>
      <c r="T366" s="2"/>
      <c r="U366" s="2"/>
      <c r="V366" s="2"/>
      <c r="W366" s="2"/>
      <c r="X366" s="2"/>
      <c r="Y366" s="2"/>
    </row>
    <row r="367" spans="1:25" x14ac:dyDescent="0.25">
      <c r="A367" s="2"/>
      <c r="B367" s="17">
        <f t="shared" si="31"/>
        <v>14</v>
      </c>
      <c r="C367" s="340" t="str">
        <f>Water_emissions!CW108</f>
        <v>w_BIPHENYL_HiH</v>
      </c>
      <c r="D367" s="341"/>
      <c r="E367" s="368">
        <f>HLOOKUP($C370,Water_emissions!$E$16:$CQ$32,5,FALSE)</f>
        <v>2.6869301306810534E-3</v>
      </c>
      <c r="F367" s="368">
        <f>HLOOKUP($C370,Water_emissions!$E$16:$CQ$32,10,FALSE)</f>
        <v>0</v>
      </c>
      <c r="G367" s="368">
        <f>HLOOKUP($C370,Water_emissions!$E$16:$CQ$32,15,FALSE)</f>
        <v>2.7235908672468275E-2</v>
      </c>
      <c r="H367" s="344" t="s">
        <v>1085</v>
      </c>
      <c r="I367" s="342" t="s">
        <v>2233</v>
      </c>
      <c r="J367" s="418" t="str">
        <f>Water_emissions!CY108</f>
        <v>[kg/bbl] kg of BIPHENYL emissions to water per bbl of crude throughput - High Complexity Hydro Cracking</v>
      </c>
      <c r="K367" s="419"/>
      <c r="L367" s="419"/>
      <c r="M367" s="419"/>
      <c r="N367" s="419"/>
      <c r="O367" s="419"/>
      <c r="P367" s="420"/>
      <c r="Q367" s="2"/>
      <c r="R367" s="2"/>
      <c r="S367" s="2"/>
      <c r="T367" s="2"/>
      <c r="U367" s="2"/>
      <c r="V367" s="2"/>
      <c r="W367" s="2"/>
      <c r="X367" s="2"/>
      <c r="Y367" s="2"/>
    </row>
    <row r="368" spans="1:25" x14ac:dyDescent="0.25">
      <c r="A368" s="2"/>
      <c r="B368" s="17">
        <f t="shared" si="31"/>
        <v>14</v>
      </c>
      <c r="C368" s="340" t="str">
        <f>Water_emissions!CW109</f>
        <v>w_BIPHENYL_HiC</v>
      </c>
      <c r="D368" s="341"/>
      <c r="E368" s="368">
        <f>HLOOKUP($C370,Water_emissions!$E$16:$CQ$32,6,FALSE)</f>
        <v>0</v>
      </c>
      <c r="F368" s="368">
        <f>HLOOKUP($C370,Water_emissions!$E$16:$CQ$32,11,FALSE)</f>
        <v>0</v>
      </c>
      <c r="G368" s="368">
        <f>HLOOKUP($C370,Water_emissions!$E$16:$CQ$32,16,FALSE)</f>
        <v>0</v>
      </c>
      <c r="H368" s="344" t="s">
        <v>1085</v>
      </c>
      <c r="I368" s="342" t="s">
        <v>2233</v>
      </c>
      <c r="J368" s="418" t="str">
        <f>Water_emissions!CY109</f>
        <v>[kg/bbl] kg of BIPHENYL emissions to water per bbl of crude throughput - High Complexity Coking</v>
      </c>
      <c r="K368" s="419"/>
      <c r="L368" s="419"/>
      <c r="M368" s="419"/>
      <c r="N368" s="419"/>
      <c r="O368" s="419"/>
      <c r="P368" s="420"/>
      <c r="Q368" s="2"/>
      <c r="R368" s="2"/>
      <c r="S368" s="2"/>
      <c r="T368" s="2"/>
      <c r="U368" s="2"/>
      <c r="V368" s="2"/>
      <c r="W368" s="2"/>
      <c r="X368" s="2"/>
      <c r="Y368" s="2"/>
    </row>
    <row r="369" spans="1:25" x14ac:dyDescent="0.25">
      <c r="A369" s="2"/>
      <c r="B369" s="17">
        <f t="shared" si="31"/>
        <v>14</v>
      </c>
      <c r="C369" s="340" t="str">
        <f>Water_emissions!CW110</f>
        <v>w_BIPHENYL_HiB</v>
      </c>
      <c r="D369" s="341"/>
      <c r="E369" s="368">
        <f>HLOOKUP($C370,Water_emissions!$E$16:$CQ$32,7,FALSE)</f>
        <v>6.9803064426757957E-3</v>
      </c>
      <c r="F369" s="368">
        <f>HLOOKUP($C370,Water_emissions!$E$16:$CQ$32,12,FALSE)</f>
        <v>0</v>
      </c>
      <c r="G369" s="368">
        <f>HLOOKUP($C370,Water_emissions!$E$16:$CQ$32,17,FALSE)</f>
        <v>2.7235908672468275E-2</v>
      </c>
      <c r="H369" s="344" t="s">
        <v>1085</v>
      </c>
      <c r="I369" s="342" t="s">
        <v>2233</v>
      </c>
      <c r="J369" s="418" t="str">
        <f>Water_emissions!CY110</f>
        <v>[kg/bbl] kg of BIPHENYL emissions to water per bbl of crude throughput - High Complexity Hydro Cracking and Coking</v>
      </c>
      <c r="K369" s="419"/>
      <c r="L369" s="419"/>
      <c r="M369" s="419"/>
      <c r="N369" s="419"/>
      <c r="O369" s="419"/>
      <c r="P369" s="420"/>
      <c r="Q369" s="2"/>
      <c r="R369" s="2"/>
      <c r="S369" s="2"/>
      <c r="T369" s="2"/>
      <c r="U369" s="2"/>
      <c r="V369" s="2"/>
      <c r="W369" s="2"/>
      <c r="X369" s="2"/>
      <c r="Y369" s="2"/>
    </row>
    <row r="370" spans="1:25" ht="39" x14ac:dyDescent="0.25">
      <c r="A370" s="2"/>
      <c r="B370" s="17">
        <f t="shared" si="31"/>
        <v>10</v>
      </c>
      <c r="C370" s="340" t="str">
        <f>Water_emissions!CW111</f>
        <v>w_BIPHENYL</v>
      </c>
      <c r="D370" s="39" t="str">
        <f>"IF(NC=0;"&amp;C365&amp;";IF(NC=1;"&amp;C366&amp;";IF(NC=2;"&amp;C367&amp;";IF(NC=3;"&amp;C368&amp;";"&amp;C369&amp;"))))/"&amp;$C$27</f>
        <v>IF(NC=0;w_BIPHENYL_L;IF(NC=1;w_BIPHENYL_M;IF(NC=2;w_BIPHENYL_HiH;IF(NC=3;w_BIPHENYL_HiC;w_BIPHENYL_HiB))))/Density_oil</v>
      </c>
      <c r="E370" s="68">
        <f>IF($E$24=0,E365,IF($E$24=1,E366,IF($E$24=2,E367,IF($E$24=3,E368,E369))))/$E$27</f>
        <v>5.0330732761362432E-5</v>
      </c>
      <c r="F370" s="342"/>
      <c r="G370" s="343"/>
      <c r="H370" s="344" t="s">
        <v>489</v>
      </c>
      <c r="I370" s="342" t="s">
        <v>2233</v>
      </c>
      <c r="J370" s="418" t="str">
        <f>Water_emissions!CY111</f>
        <v>[kg/bbl] kg of BIPHENYL emissions to water per bbl of crude throughput</v>
      </c>
      <c r="K370" s="419"/>
      <c r="L370" s="419"/>
      <c r="M370" s="419"/>
      <c r="N370" s="419"/>
      <c r="O370" s="419"/>
      <c r="P370" s="420"/>
      <c r="Q370" s="2"/>
      <c r="R370" s="2"/>
      <c r="S370" s="2"/>
      <c r="T370" s="2"/>
      <c r="U370" s="2"/>
      <c r="V370" s="2"/>
      <c r="W370" s="2"/>
      <c r="X370" s="2"/>
      <c r="Y370" s="2"/>
    </row>
    <row r="371" spans="1:25" x14ac:dyDescent="0.25">
      <c r="A371" s="2"/>
      <c r="B371" s="17">
        <f t="shared" si="31"/>
        <v>13</v>
      </c>
      <c r="C371" s="340" t="str">
        <f>Water_emissions!CW112</f>
        <v>w_Bromideas_L</v>
      </c>
      <c r="D371" s="341"/>
      <c r="E371" s="368">
        <f>HLOOKUP($C376,Water_emissions!$E$16:$CQ$32,3,FALSE)</f>
        <v>1.1379144115179657E-4</v>
      </c>
      <c r="F371" s="368">
        <f>HLOOKUP($C376,Water_emissions!$E$16:$CQ$32,8,FALSE)</f>
        <v>1.1379144115179657E-4</v>
      </c>
      <c r="G371" s="368">
        <f>HLOOKUP($C376,Water_emissions!$E$16:$CQ$32,13,FALSE)</f>
        <v>1.1379144115179657E-4</v>
      </c>
      <c r="H371" s="344" t="s">
        <v>1085</v>
      </c>
      <c r="I371" s="342" t="s">
        <v>2233</v>
      </c>
      <c r="J371" s="418" t="str">
        <f>Water_emissions!CY112</f>
        <v>[kg/bbl] kg of Bromide (as Br) emissions to water per bbl of crude throughput - Low Complexity</v>
      </c>
      <c r="K371" s="419"/>
      <c r="L371" s="419"/>
      <c r="M371" s="419"/>
      <c r="N371" s="419"/>
      <c r="O371" s="419"/>
      <c r="P371" s="420"/>
      <c r="Q371" s="2"/>
      <c r="R371" s="2"/>
      <c r="S371" s="2"/>
      <c r="T371" s="2"/>
      <c r="U371" s="2"/>
      <c r="V371" s="2"/>
      <c r="W371" s="2"/>
      <c r="X371" s="2"/>
      <c r="Y371" s="2"/>
    </row>
    <row r="372" spans="1:25" x14ac:dyDescent="0.25">
      <c r="A372" s="2"/>
      <c r="B372" s="17">
        <f t="shared" si="31"/>
        <v>13</v>
      </c>
      <c r="C372" s="340" t="str">
        <f>Water_emissions!CW113</f>
        <v>w_Bromideas_M</v>
      </c>
      <c r="D372" s="341"/>
      <c r="E372" s="368">
        <f>HLOOKUP($C376,Water_emissions!$E$16:$CQ$32,4,FALSE)</f>
        <v>1.1379144115179657E-4</v>
      </c>
      <c r="F372" s="368">
        <f>HLOOKUP($C376,Water_emissions!$E$16:$CQ$32,9,FALSE)</f>
        <v>1.1379144115179657E-4</v>
      </c>
      <c r="G372" s="368">
        <f>HLOOKUP($C376,Water_emissions!$E$16:$CQ$32,14,FALSE)</f>
        <v>1.1379144115179657E-4</v>
      </c>
      <c r="H372" s="344" t="s">
        <v>1085</v>
      </c>
      <c r="I372" s="342" t="s">
        <v>2233</v>
      </c>
      <c r="J372" s="418" t="str">
        <f>Water_emissions!CY113</f>
        <v>[kg/bbl] kg of Bromide (as Br) emissions to water per bbl of crude throughput - Med Complexity</v>
      </c>
      <c r="K372" s="419"/>
      <c r="L372" s="419"/>
      <c r="M372" s="419"/>
      <c r="N372" s="419"/>
      <c r="O372" s="419"/>
      <c r="P372" s="420"/>
      <c r="Q372" s="2"/>
      <c r="R372" s="2"/>
      <c r="S372" s="2"/>
      <c r="T372" s="2"/>
      <c r="U372" s="2"/>
      <c r="V372" s="2"/>
      <c r="W372" s="2"/>
      <c r="X372" s="2"/>
      <c r="Y372" s="2"/>
    </row>
    <row r="373" spans="1:25" x14ac:dyDescent="0.25">
      <c r="A373" s="2"/>
      <c r="B373" s="17">
        <f t="shared" si="31"/>
        <v>15</v>
      </c>
      <c r="C373" s="340" t="str">
        <f>Water_emissions!CW114</f>
        <v>w_Bromideas_HiH</v>
      </c>
      <c r="D373" s="341"/>
      <c r="E373" s="368">
        <f>HLOOKUP($C376,Water_emissions!$E$16:$CQ$32,5,FALSE)</f>
        <v>1.1379144115179657E-4</v>
      </c>
      <c r="F373" s="368">
        <f>HLOOKUP($C376,Water_emissions!$E$16:$CQ$32,10,FALSE)</f>
        <v>1.1379144115179657E-4</v>
      </c>
      <c r="G373" s="368">
        <f>HLOOKUP($C376,Water_emissions!$E$16:$CQ$32,15,FALSE)</f>
        <v>1.1379144115179657E-4</v>
      </c>
      <c r="H373" s="344" t="s">
        <v>1085</v>
      </c>
      <c r="I373" s="342" t="s">
        <v>2233</v>
      </c>
      <c r="J373" s="418" t="str">
        <f>Water_emissions!CY114</f>
        <v>[kg/bbl] kg of Bromide (as Br) emissions to water per bbl of crude throughput - High Complexity Hydro Cracking</v>
      </c>
      <c r="K373" s="419"/>
      <c r="L373" s="419"/>
      <c r="M373" s="419"/>
      <c r="N373" s="419"/>
      <c r="O373" s="419"/>
      <c r="P373" s="420"/>
      <c r="Q373" s="2"/>
      <c r="R373" s="2"/>
      <c r="S373" s="2"/>
      <c r="T373" s="2"/>
      <c r="U373" s="2"/>
      <c r="V373" s="2"/>
      <c r="W373" s="2"/>
      <c r="X373" s="2"/>
      <c r="Y373" s="2"/>
    </row>
    <row r="374" spans="1:25" x14ac:dyDescent="0.25">
      <c r="A374" s="2"/>
      <c r="B374" s="17">
        <f t="shared" si="31"/>
        <v>15</v>
      </c>
      <c r="C374" s="340" t="str">
        <f>Water_emissions!CW115</f>
        <v>w_Bromideas_HiC</v>
      </c>
      <c r="D374" s="341"/>
      <c r="E374" s="368">
        <f>HLOOKUP($C376,Water_emissions!$E$16:$CQ$32,6,FALSE)</f>
        <v>1.1379144115179657E-4</v>
      </c>
      <c r="F374" s="368">
        <f>HLOOKUP($C376,Water_emissions!$E$16:$CQ$32,11,FALSE)</f>
        <v>1.1379144115179657E-4</v>
      </c>
      <c r="G374" s="368">
        <f>HLOOKUP($C376,Water_emissions!$E$16:$CQ$32,16,FALSE)</f>
        <v>1.1379144115179657E-4</v>
      </c>
      <c r="H374" s="344" t="s">
        <v>1085</v>
      </c>
      <c r="I374" s="342" t="s">
        <v>2233</v>
      </c>
      <c r="J374" s="418" t="str">
        <f>Water_emissions!CY115</f>
        <v>[kg/bbl] kg of Bromide (as Br) emissions to water per bbl of crude throughput - High Complexity Coking</v>
      </c>
      <c r="K374" s="419"/>
      <c r="L374" s="419"/>
      <c r="M374" s="419"/>
      <c r="N374" s="419"/>
      <c r="O374" s="419"/>
      <c r="P374" s="420"/>
      <c r="Q374" s="2"/>
      <c r="R374" s="2"/>
      <c r="S374" s="2"/>
      <c r="T374" s="2"/>
      <c r="U374" s="2"/>
      <c r="V374" s="2"/>
      <c r="W374" s="2"/>
      <c r="X374" s="2"/>
      <c r="Y374" s="2"/>
    </row>
    <row r="375" spans="1:25" x14ac:dyDescent="0.25">
      <c r="A375" s="2"/>
      <c r="B375" s="17">
        <f t="shared" si="31"/>
        <v>15</v>
      </c>
      <c r="C375" s="340" t="str">
        <f>Water_emissions!CW116</f>
        <v>w_Bromideas_HiB</v>
      </c>
      <c r="D375" s="341"/>
      <c r="E375" s="368">
        <f>HLOOKUP($C376,Water_emissions!$E$16:$CQ$32,7,FALSE)</f>
        <v>1.1379144115179657E-4</v>
      </c>
      <c r="F375" s="368">
        <f>HLOOKUP($C376,Water_emissions!$E$16:$CQ$32,12,FALSE)</f>
        <v>1.1379144115179657E-4</v>
      </c>
      <c r="G375" s="368">
        <f>HLOOKUP($C376,Water_emissions!$E$16:$CQ$32,17,FALSE)</f>
        <v>1.1379144115179657E-4</v>
      </c>
      <c r="H375" s="344" t="s">
        <v>1085</v>
      </c>
      <c r="I375" s="342" t="s">
        <v>2233</v>
      </c>
      <c r="J375" s="418" t="str">
        <f>Water_emissions!CY116</f>
        <v>[kg/bbl] kg of Bromide (as Br) emissions to water per bbl of crude throughput - High Complexity Hydro Cracking and Coking</v>
      </c>
      <c r="K375" s="419"/>
      <c r="L375" s="419"/>
      <c r="M375" s="419"/>
      <c r="N375" s="419"/>
      <c r="O375" s="419"/>
      <c r="P375" s="420"/>
      <c r="Q375" s="2"/>
      <c r="R375" s="2"/>
      <c r="S375" s="2"/>
      <c r="T375" s="2"/>
      <c r="U375" s="2"/>
      <c r="V375" s="2"/>
      <c r="W375" s="2"/>
      <c r="X375" s="2"/>
      <c r="Y375" s="2"/>
    </row>
    <row r="376" spans="1:25" ht="39" x14ac:dyDescent="0.25">
      <c r="A376" s="2"/>
      <c r="B376" s="17">
        <f t="shared" si="31"/>
        <v>11</v>
      </c>
      <c r="C376" s="340" t="str">
        <f>Water_emissions!CW117</f>
        <v>w_Bromideas</v>
      </c>
      <c r="D376" s="39" t="str">
        <f>"IF(NC=0;"&amp;C371&amp;";IF(NC=1;"&amp;C372&amp;";IF(NC=2;"&amp;C373&amp;";IF(NC=3;"&amp;C374&amp;";"&amp;C375&amp;"))))/"&amp;$C$27</f>
        <v>IF(NC=0;w_Bromideas_L;IF(NC=1;w_Bromideas_M;IF(NC=2;w_Bromideas_HiH;IF(NC=3;w_Bromideas_HiC;w_Bromideas_HiB))))/Density_oil</v>
      </c>
      <c r="E376" s="68">
        <f>IF($E$24=0,E371,IF($E$24=1,E372,IF($E$24=2,E373,IF($E$24=3,E374,E375))))/$E$27</f>
        <v>8.2048068550783198E-7</v>
      </c>
      <c r="F376" s="342"/>
      <c r="G376" s="343"/>
      <c r="H376" s="344" t="s">
        <v>489</v>
      </c>
      <c r="I376" s="342" t="s">
        <v>2233</v>
      </c>
      <c r="J376" s="418" t="str">
        <f>Water_emissions!CY117</f>
        <v>[kg/bbl] kg of Bromide (as Br) emissions to water per bbl of crude throughput</v>
      </c>
      <c r="K376" s="419"/>
      <c r="L376" s="419"/>
      <c r="M376" s="419"/>
      <c r="N376" s="419"/>
      <c r="O376" s="419"/>
      <c r="P376" s="420"/>
      <c r="Q376" s="2"/>
      <c r="R376" s="2"/>
      <c r="S376" s="2"/>
      <c r="T376" s="2"/>
      <c r="U376" s="2"/>
      <c r="V376" s="2"/>
      <c r="W376" s="2"/>
      <c r="X376" s="2"/>
      <c r="Y376" s="2"/>
    </row>
    <row r="377" spans="1:25" x14ac:dyDescent="0.25">
      <c r="A377" s="2"/>
      <c r="B377" s="17">
        <f t="shared" si="31"/>
        <v>13</v>
      </c>
      <c r="C377" s="340" t="str">
        <f>Water_emissions!CW118</f>
        <v>w_Cadmiumto_L</v>
      </c>
      <c r="D377" s="341"/>
      <c r="E377" s="368">
        <f>HLOOKUP($C382,Water_emissions!$E$16:$CQ$32,3,FALSE)</f>
        <v>0</v>
      </c>
      <c r="F377" s="368">
        <f>HLOOKUP($C382,Water_emissions!$E$16:$CQ$32,8,FALSE)</f>
        <v>0</v>
      </c>
      <c r="G377" s="368">
        <f>HLOOKUP($C382,Water_emissions!$E$16:$CQ$32,13,FALSE)</f>
        <v>0</v>
      </c>
      <c r="H377" s="344" t="s">
        <v>1085</v>
      </c>
      <c r="I377" s="342" t="s">
        <v>2233</v>
      </c>
      <c r="J377" s="418" t="str">
        <f>Water_emissions!CY118</f>
        <v>[kg/bbl] kg of Cadmium, total (as Cd) emissions to water per bbl of crude throughput - Low Complexity</v>
      </c>
      <c r="K377" s="419"/>
      <c r="L377" s="419"/>
      <c r="M377" s="419"/>
      <c r="N377" s="419"/>
      <c r="O377" s="419"/>
      <c r="P377" s="420"/>
      <c r="Q377" s="2"/>
      <c r="R377" s="2"/>
      <c r="S377" s="2"/>
      <c r="T377" s="2"/>
      <c r="U377" s="2"/>
      <c r="V377" s="2"/>
      <c r="W377" s="2"/>
      <c r="X377" s="2"/>
      <c r="Y377" s="2"/>
    </row>
    <row r="378" spans="1:25" x14ac:dyDescent="0.25">
      <c r="A378" s="2"/>
      <c r="B378" s="17">
        <f t="shared" si="31"/>
        <v>13</v>
      </c>
      <c r="C378" s="340" t="str">
        <f>Water_emissions!CW119</f>
        <v>w_Cadmiumto_M</v>
      </c>
      <c r="D378" s="341"/>
      <c r="E378" s="368">
        <f>HLOOKUP($C382,Water_emissions!$E$16:$CQ$32,4,FALSE)</f>
        <v>0</v>
      </c>
      <c r="F378" s="368">
        <f>HLOOKUP($C382,Water_emissions!$E$16:$CQ$32,9,FALSE)</f>
        <v>0</v>
      </c>
      <c r="G378" s="368">
        <f>HLOOKUP($C382,Water_emissions!$E$16:$CQ$32,14,FALSE)</f>
        <v>0</v>
      </c>
      <c r="H378" s="344" t="s">
        <v>1085</v>
      </c>
      <c r="I378" s="342" t="s">
        <v>2233</v>
      </c>
      <c r="J378" s="418" t="str">
        <f>Water_emissions!CY119</f>
        <v>[kg/bbl] kg of Cadmium, total (as Cd) emissions to water per bbl of crude throughput - Med Complexity</v>
      </c>
      <c r="K378" s="419"/>
      <c r="L378" s="419"/>
      <c r="M378" s="419"/>
      <c r="N378" s="419"/>
      <c r="O378" s="419"/>
      <c r="P378" s="420"/>
      <c r="Q378" s="2"/>
      <c r="R378" s="2"/>
      <c r="S378" s="2"/>
      <c r="T378" s="2"/>
      <c r="U378" s="2"/>
      <c r="V378" s="2"/>
      <c r="W378" s="2"/>
      <c r="X378" s="2"/>
      <c r="Y378" s="2"/>
    </row>
    <row r="379" spans="1:25" x14ac:dyDescent="0.25">
      <c r="A379" s="2"/>
      <c r="B379" s="17">
        <f t="shared" si="31"/>
        <v>15</v>
      </c>
      <c r="C379" s="340" t="str">
        <f>Water_emissions!CW120</f>
        <v>w_Cadmiumto_HiH</v>
      </c>
      <c r="D379" s="341"/>
      <c r="E379" s="368">
        <f>HLOOKUP($C382,Water_emissions!$E$16:$CQ$32,5,FALSE)</f>
        <v>0</v>
      </c>
      <c r="F379" s="368">
        <f>HLOOKUP($C382,Water_emissions!$E$16:$CQ$32,10,FALSE)</f>
        <v>0</v>
      </c>
      <c r="G379" s="368">
        <f>HLOOKUP($C382,Water_emissions!$E$16:$CQ$32,15,FALSE)</f>
        <v>0</v>
      </c>
      <c r="H379" s="344" t="s">
        <v>1085</v>
      </c>
      <c r="I379" s="342" t="s">
        <v>2233</v>
      </c>
      <c r="J379" s="418" t="str">
        <f>Water_emissions!CY120</f>
        <v>[kg/bbl] kg of Cadmium, total (as Cd) emissions to water per bbl of crude throughput - High Complexity Hydro Cracking</v>
      </c>
      <c r="K379" s="419"/>
      <c r="L379" s="419"/>
      <c r="M379" s="419"/>
      <c r="N379" s="419"/>
      <c r="O379" s="419"/>
      <c r="P379" s="420"/>
      <c r="Q379" s="2"/>
      <c r="R379" s="2"/>
      <c r="S379" s="2"/>
      <c r="T379" s="2"/>
      <c r="U379" s="2"/>
      <c r="V379" s="2"/>
      <c r="W379" s="2"/>
      <c r="X379" s="2"/>
      <c r="Y379" s="2"/>
    </row>
    <row r="380" spans="1:25" x14ac:dyDescent="0.25">
      <c r="A380" s="2"/>
      <c r="B380" s="17">
        <f t="shared" si="31"/>
        <v>15</v>
      </c>
      <c r="C380" s="340" t="str">
        <f>Water_emissions!CW121</f>
        <v>w_Cadmiumto_HiC</v>
      </c>
      <c r="D380" s="341"/>
      <c r="E380" s="368">
        <f>HLOOKUP($C382,Water_emissions!$E$16:$CQ$32,6,FALSE)</f>
        <v>0</v>
      </c>
      <c r="F380" s="368">
        <f>HLOOKUP($C382,Water_emissions!$E$16:$CQ$32,11,FALSE)</f>
        <v>0</v>
      </c>
      <c r="G380" s="368">
        <f>HLOOKUP($C382,Water_emissions!$E$16:$CQ$32,16,FALSE)</f>
        <v>0</v>
      </c>
      <c r="H380" s="344" t="s">
        <v>1085</v>
      </c>
      <c r="I380" s="342" t="s">
        <v>2233</v>
      </c>
      <c r="J380" s="418" t="str">
        <f>Water_emissions!CY121</f>
        <v>[kg/bbl] kg of Cadmium, total (as Cd) emissions to water per bbl of crude throughput - High Complexity Coking</v>
      </c>
      <c r="K380" s="419"/>
      <c r="L380" s="419"/>
      <c r="M380" s="419"/>
      <c r="N380" s="419"/>
      <c r="O380" s="419"/>
      <c r="P380" s="420"/>
      <c r="Q380" s="2"/>
      <c r="R380" s="2"/>
      <c r="S380" s="2"/>
      <c r="T380" s="2"/>
      <c r="U380" s="2"/>
      <c r="V380" s="2"/>
      <c r="W380" s="2"/>
      <c r="X380" s="2"/>
      <c r="Y380" s="2"/>
    </row>
    <row r="381" spans="1:25" x14ac:dyDescent="0.25">
      <c r="A381" s="2"/>
      <c r="B381" s="17">
        <f t="shared" si="31"/>
        <v>15</v>
      </c>
      <c r="C381" s="340" t="str">
        <f>Water_emissions!CW122</f>
        <v>w_Cadmiumto_HiB</v>
      </c>
      <c r="D381" s="341"/>
      <c r="E381" s="368">
        <f>HLOOKUP($C382,Water_emissions!$E$16:$CQ$32,7,FALSE)</f>
        <v>0</v>
      </c>
      <c r="F381" s="368">
        <f>HLOOKUP($C382,Water_emissions!$E$16:$CQ$32,12,FALSE)</f>
        <v>0</v>
      </c>
      <c r="G381" s="368">
        <f>HLOOKUP($C382,Water_emissions!$E$16:$CQ$32,17,FALSE)</f>
        <v>0</v>
      </c>
      <c r="H381" s="344" t="s">
        <v>1085</v>
      </c>
      <c r="I381" s="342" t="s">
        <v>2233</v>
      </c>
      <c r="J381" s="418" t="str">
        <f>Water_emissions!CY122</f>
        <v>[kg/bbl] kg of Cadmium, total (as Cd) emissions to water per bbl of crude throughput - High Complexity Hydro Cracking and Coking</v>
      </c>
      <c r="K381" s="419"/>
      <c r="L381" s="419"/>
      <c r="M381" s="419"/>
      <c r="N381" s="419"/>
      <c r="O381" s="419"/>
      <c r="P381" s="420"/>
      <c r="Q381" s="2"/>
      <c r="R381" s="2"/>
      <c r="S381" s="2"/>
      <c r="T381" s="2"/>
      <c r="U381" s="2"/>
      <c r="V381" s="2"/>
      <c r="W381" s="2"/>
      <c r="X381" s="2"/>
      <c r="Y381" s="2"/>
    </row>
    <row r="382" spans="1:25" ht="39" x14ac:dyDescent="0.25">
      <c r="A382" s="2"/>
      <c r="B382" s="17">
        <f t="shared" si="31"/>
        <v>11</v>
      </c>
      <c r="C382" s="340" t="str">
        <f>Water_emissions!CW123</f>
        <v>w_Cadmiumto</v>
      </c>
      <c r="D382" s="39" t="str">
        <f>"IF(NC=0;"&amp;C377&amp;";IF(NC=1;"&amp;C378&amp;";IF(NC=2;"&amp;C379&amp;";IF(NC=3;"&amp;C380&amp;";"&amp;C381&amp;"))))/"&amp;$C$27</f>
        <v>IF(NC=0;w_Cadmiumto_L;IF(NC=1;w_Cadmiumto_M;IF(NC=2;w_Cadmiumto_HiH;IF(NC=3;w_Cadmiumto_HiC;w_Cadmiumto_HiB))))/Density_oil</v>
      </c>
      <c r="E382" s="68">
        <f>IF($E$24=0,E377,IF($E$24=1,E378,IF($E$24=2,E379,IF($E$24=3,E380,E381))))/$E$27</f>
        <v>0</v>
      </c>
      <c r="F382" s="342"/>
      <c r="G382" s="343"/>
      <c r="H382" s="344" t="s">
        <v>489</v>
      </c>
      <c r="I382" s="342" t="s">
        <v>2233</v>
      </c>
      <c r="J382" s="418" t="str">
        <f>Water_emissions!CY123</f>
        <v>[kg/bbl] kg of Cadmium, total (as Cd) emissions to water per bbl of crude throughput</v>
      </c>
      <c r="K382" s="419"/>
      <c r="L382" s="419"/>
      <c r="M382" s="419"/>
      <c r="N382" s="419"/>
      <c r="O382" s="419"/>
      <c r="P382" s="420"/>
      <c r="Q382" s="2"/>
      <c r="R382" s="2"/>
      <c r="S382" s="2"/>
      <c r="T382" s="2"/>
      <c r="U382" s="2"/>
      <c r="V382" s="2"/>
      <c r="W382" s="2"/>
      <c r="X382" s="2"/>
      <c r="Y382" s="2"/>
    </row>
    <row r="383" spans="1:25" x14ac:dyDescent="0.25">
      <c r="A383" s="2"/>
      <c r="B383" s="17">
        <f t="shared" si="31"/>
        <v>13</v>
      </c>
      <c r="C383" s="340" t="str">
        <f>Water_emissions!CW124</f>
        <v>w_CARBONDIS_L</v>
      </c>
      <c r="D383" s="341"/>
      <c r="E383" s="368">
        <f>HLOOKUP($C388,Water_emissions!$E$16:$CQ$32,3,FALSE)</f>
        <v>2.8545329984014617E-3</v>
      </c>
      <c r="F383" s="368">
        <f>HLOOKUP($C388,Water_emissions!$E$16:$CQ$32,8,FALSE)</f>
        <v>0</v>
      </c>
      <c r="G383" s="368">
        <f>HLOOKUP($C388,Water_emissions!$E$16:$CQ$32,13,FALSE)</f>
        <v>8.5635989952043846E-3</v>
      </c>
      <c r="H383" s="344" t="s">
        <v>1085</v>
      </c>
      <c r="I383" s="342" t="s">
        <v>2233</v>
      </c>
      <c r="J383" s="418" t="str">
        <f>Water_emissions!CY124</f>
        <v>[kg/bbl] kg of CARBON DISULFIDE emissions to water per bbl of crude throughput - Low Complexity</v>
      </c>
      <c r="K383" s="419"/>
      <c r="L383" s="419"/>
      <c r="M383" s="419"/>
      <c r="N383" s="419"/>
      <c r="O383" s="419"/>
      <c r="P383" s="420"/>
      <c r="Q383" s="2"/>
      <c r="R383" s="2"/>
      <c r="S383" s="2"/>
      <c r="T383" s="2"/>
      <c r="U383" s="2"/>
      <c r="V383" s="2"/>
      <c r="W383" s="2"/>
      <c r="X383" s="2"/>
      <c r="Y383" s="2"/>
    </row>
    <row r="384" spans="1:25" x14ac:dyDescent="0.25">
      <c r="A384" s="2"/>
      <c r="B384" s="17">
        <f t="shared" si="31"/>
        <v>13</v>
      </c>
      <c r="C384" s="340" t="str">
        <f>Water_emissions!CW125</f>
        <v>w_CARBONDIS_M</v>
      </c>
      <c r="D384" s="341"/>
      <c r="E384" s="368">
        <f>HLOOKUP($C388,Water_emissions!$E$16:$CQ$32,4,FALSE)</f>
        <v>1.5416510018032962E-2</v>
      </c>
      <c r="F384" s="368">
        <f>HLOOKUP($C388,Water_emissions!$E$16:$CQ$32,9,FALSE)</f>
        <v>0</v>
      </c>
      <c r="G384" s="368">
        <f>HLOOKUP($C388,Water_emissions!$E$16:$CQ$32,14,FALSE)</f>
        <v>5.5152715061748257E-2</v>
      </c>
      <c r="H384" s="344" t="s">
        <v>1085</v>
      </c>
      <c r="I384" s="342" t="s">
        <v>2233</v>
      </c>
      <c r="J384" s="418" t="str">
        <f>Water_emissions!CY125</f>
        <v>[kg/bbl] kg of CARBON DISULFIDE emissions to water per bbl of crude throughput - Med Complexity</v>
      </c>
      <c r="K384" s="419"/>
      <c r="L384" s="419"/>
      <c r="M384" s="419"/>
      <c r="N384" s="419"/>
      <c r="O384" s="419"/>
      <c r="P384" s="420"/>
      <c r="Q384" s="2"/>
      <c r="R384" s="2"/>
      <c r="S384" s="2"/>
      <c r="T384" s="2"/>
      <c r="U384" s="2"/>
      <c r="V384" s="2"/>
      <c r="W384" s="2"/>
      <c r="X384" s="2"/>
      <c r="Y384" s="2"/>
    </row>
    <row r="385" spans="1:25" x14ac:dyDescent="0.25">
      <c r="A385" s="2"/>
      <c r="B385" s="17">
        <f t="shared" si="31"/>
        <v>15</v>
      </c>
      <c r="C385" s="340" t="str">
        <f>Water_emissions!CW126</f>
        <v>w_CARBONDIS_HiH</v>
      </c>
      <c r="D385" s="341"/>
      <c r="E385" s="368">
        <f>HLOOKUP($C388,Water_emissions!$E$16:$CQ$32,5,FALSE)</f>
        <v>1.5416510018032962E-2</v>
      </c>
      <c r="F385" s="368">
        <f>HLOOKUP($C388,Water_emissions!$E$16:$CQ$32,10,FALSE)</f>
        <v>0</v>
      </c>
      <c r="G385" s="368">
        <f>HLOOKUP($C388,Water_emissions!$E$16:$CQ$32,15,FALSE)</f>
        <v>5.5152715061748257E-2</v>
      </c>
      <c r="H385" s="344" t="s">
        <v>1085</v>
      </c>
      <c r="I385" s="342" t="s">
        <v>2233</v>
      </c>
      <c r="J385" s="418" t="str">
        <f>Water_emissions!CY126</f>
        <v>[kg/bbl] kg of CARBON DISULFIDE emissions to water per bbl of crude throughput - High Complexity Hydro Cracking</v>
      </c>
      <c r="K385" s="419"/>
      <c r="L385" s="419"/>
      <c r="M385" s="419"/>
      <c r="N385" s="419"/>
      <c r="O385" s="419"/>
      <c r="P385" s="420"/>
      <c r="Q385" s="2"/>
      <c r="R385" s="2"/>
      <c r="S385" s="2"/>
      <c r="T385" s="2"/>
      <c r="U385" s="2"/>
      <c r="V385" s="2"/>
      <c r="W385" s="2"/>
      <c r="X385" s="2"/>
      <c r="Y385" s="2"/>
    </row>
    <row r="386" spans="1:25" x14ac:dyDescent="0.25">
      <c r="A386" s="2"/>
      <c r="B386" s="17">
        <f t="shared" si="31"/>
        <v>15</v>
      </c>
      <c r="C386" s="340" t="str">
        <f>Water_emissions!CW127</f>
        <v>w_CARBONDIS_HiC</v>
      </c>
      <c r="D386" s="341"/>
      <c r="E386" s="368">
        <f>HLOOKUP($C388,Water_emissions!$E$16:$CQ$32,6,FALSE)</f>
        <v>0</v>
      </c>
      <c r="F386" s="368">
        <f>HLOOKUP($C388,Water_emissions!$E$16:$CQ$32,11,FALSE)</f>
        <v>0</v>
      </c>
      <c r="G386" s="368">
        <f>HLOOKUP($C388,Water_emissions!$E$16:$CQ$32,16,FALSE)</f>
        <v>0</v>
      </c>
      <c r="H386" s="344" t="s">
        <v>1085</v>
      </c>
      <c r="I386" s="342" t="s">
        <v>2233</v>
      </c>
      <c r="J386" s="418" t="str">
        <f>Water_emissions!CY127</f>
        <v>[kg/bbl] kg of CARBON DISULFIDE emissions to water per bbl of crude throughput - High Complexity Coking</v>
      </c>
      <c r="K386" s="419"/>
      <c r="L386" s="419"/>
      <c r="M386" s="419"/>
      <c r="N386" s="419"/>
      <c r="O386" s="419"/>
      <c r="P386" s="420"/>
      <c r="Q386" s="2"/>
      <c r="R386" s="2"/>
      <c r="S386" s="2"/>
      <c r="T386" s="2"/>
      <c r="U386" s="2"/>
      <c r="V386" s="2"/>
      <c r="W386" s="2"/>
      <c r="X386" s="2"/>
      <c r="Y386" s="2"/>
    </row>
    <row r="387" spans="1:25" x14ac:dyDescent="0.25">
      <c r="A387" s="2"/>
      <c r="B387" s="17">
        <f t="shared" si="31"/>
        <v>15</v>
      </c>
      <c r="C387" s="340" t="str">
        <f>Water_emissions!CW128</f>
        <v>w_CARBONDIS_HiB</v>
      </c>
      <c r="D387" s="341"/>
      <c r="E387" s="368">
        <f>HLOOKUP($C388,Water_emissions!$E$16:$CQ$32,7,FALSE)</f>
        <v>3.2546247791773071E-2</v>
      </c>
      <c r="F387" s="368">
        <f>HLOOKUP($C388,Water_emissions!$E$16:$CQ$32,12,FALSE)</f>
        <v>0</v>
      </c>
      <c r="G387" s="368">
        <f>HLOOKUP($C388,Water_emissions!$E$16:$CQ$32,17,FALSE)</f>
        <v>5.5152715061748257E-2</v>
      </c>
      <c r="H387" s="344" t="s">
        <v>1085</v>
      </c>
      <c r="I387" s="342" t="s">
        <v>2233</v>
      </c>
      <c r="J387" s="418" t="str">
        <f>Water_emissions!CY128</f>
        <v>[kg/bbl] kg of CARBON DISULFIDE emissions to water per bbl of crude throughput - High Complexity Hydro Cracking and Coking</v>
      </c>
      <c r="K387" s="419"/>
      <c r="L387" s="419"/>
      <c r="M387" s="419"/>
      <c r="N387" s="419"/>
      <c r="O387" s="419"/>
      <c r="P387" s="420"/>
      <c r="Q387" s="2"/>
      <c r="R387" s="2"/>
      <c r="S387" s="2"/>
      <c r="T387" s="2"/>
      <c r="U387" s="2"/>
      <c r="V387" s="2"/>
      <c r="W387" s="2"/>
      <c r="X387" s="2"/>
      <c r="Y387" s="2"/>
    </row>
    <row r="388" spans="1:25" ht="39" x14ac:dyDescent="0.25">
      <c r="A388" s="2"/>
      <c r="B388" s="17">
        <f t="shared" si="31"/>
        <v>11</v>
      </c>
      <c r="C388" s="340" t="str">
        <f>Water_emissions!CW129</f>
        <v>w_CARBONDIS</v>
      </c>
      <c r="D388" s="39" t="str">
        <f>"IF(NC=0;"&amp;C383&amp;";IF(NC=1;"&amp;C384&amp;";IF(NC=2;"&amp;C385&amp;";IF(NC=3;"&amp;C386&amp;";"&amp;C387&amp;"))))/"&amp;$C$27</f>
        <v>IF(NC=0;w_CARBONDIS_L;IF(NC=1;w_CARBONDIS_M;IF(NC=2;w_CARBONDIS_HiH;IF(NC=3;w_CARBONDIS_HiC;w_CARBONDIS_HiB))))/Density_oil</v>
      </c>
      <c r="E388" s="68">
        <f>IF($E$24=0,E383,IF($E$24=1,E384,IF($E$24=2,E385,IF($E$24=3,E386,E387))))/$E$27</f>
        <v>2.3467114423201179E-4</v>
      </c>
      <c r="F388" s="342"/>
      <c r="G388" s="343"/>
      <c r="H388" s="344" t="s">
        <v>489</v>
      </c>
      <c r="I388" s="342" t="s">
        <v>2233</v>
      </c>
      <c r="J388" s="418" t="str">
        <f>Water_emissions!CY129</f>
        <v>[kg/bbl] kg of CARBON DISULFIDE emissions to water per bbl of crude throughput</v>
      </c>
      <c r="K388" s="419"/>
      <c r="L388" s="419"/>
      <c r="M388" s="419"/>
      <c r="N388" s="419"/>
      <c r="O388" s="419"/>
      <c r="P388" s="420"/>
      <c r="Q388" s="2"/>
      <c r="R388" s="2"/>
      <c r="S388" s="2"/>
      <c r="T388" s="2"/>
      <c r="U388" s="2"/>
      <c r="V388" s="2"/>
      <c r="W388" s="2"/>
      <c r="X388" s="2"/>
      <c r="Y388" s="2"/>
    </row>
    <row r="389" spans="1:25" x14ac:dyDescent="0.25">
      <c r="A389" s="2"/>
      <c r="B389" s="17">
        <f t="shared" si="31"/>
        <v>13</v>
      </c>
      <c r="C389" s="340" t="str">
        <f>Water_emissions!CW130</f>
        <v>w_CARBONYLS_L</v>
      </c>
      <c r="D389" s="341"/>
      <c r="E389" s="368">
        <f>HLOOKUP($C394,Water_emissions!$E$16:$CQ$32,3,FALSE)</f>
        <v>0</v>
      </c>
      <c r="F389" s="368">
        <f>HLOOKUP($C394,Water_emissions!$E$16:$CQ$32,8,FALSE)</f>
        <v>0</v>
      </c>
      <c r="G389" s="368">
        <f>HLOOKUP($C394,Water_emissions!$E$16:$CQ$32,13,FALSE)</f>
        <v>0</v>
      </c>
      <c r="H389" s="344" t="s">
        <v>1085</v>
      </c>
      <c r="I389" s="342" t="s">
        <v>2233</v>
      </c>
      <c r="J389" s="418" t="str">
        <f>Water_emissions!CY130</f>
        <v>[kg/bbl] kg of CARBONYL SULFIDE emissions to water per bbl of crude throughput - Low Complexity</v>
      </c>
      <c r="K389" s="419"/>
      <c r="L389" s="419"/>
      <c r="M389" s="419"/>
      <c r="N389" s="419"/>
      <c r="O389" s="419"/>
      <c r="P389" s="420"/>
      <c r="Q389" s="2"/>
      <c r="R389" s="2"/>
      <c r="S389" s="2"/>
      <c r="T389" s="2"/>
      <c r="U389" s="2"/>
      <c r="V389" s="2"/>
      <c r="W389" s="2"/>
      <c r="X389" s="2"/>
      <c r="Y389" s="2"/>
    </row>
    <row r="390" spans="1:25" x14ac:dyDescent="0.25">
      <c r="A390" s="2"/>
      <c r="B390" s="17">
        <f t="shared" si="31"/>
        <v>13</v>
      </c>
      <c r="C390" s="340" t="str">
        <f>Water_emissions!CW131</f>
        <v>w_CARBONYLS_M</v>
      </c>
      <c r="D390" s="341"/>
      <c r="E390" s="368">
        <f>HLOOKUP($C394,Water_emissions!$E$16:$CQ$32,4,FALSE)</f>
        <v>9.9411066654509203E-2</v>
      </c>
      <c r="F390" s="368">
        <f>HLOOKUP($C394,Water_emissions!$E$16:$CQ$32,9,FALSE)</f>
        <v>0</v>
      </c>
      <c r="G390" s="368">
        <f>HLOOKUP($C394,Water_emissions!$E$16:$CQ$32,14,FALSE)</f>
        <v>0.59646639992705519</v>
      </c>
      <c r="H390" s="344" t="s">
        <v>1085</v>
      </c>
      <c r="I390" s="342" t="s">
        <v>2233</v>
      </c>
      <c r="J390" s="418" t="str">
        <f>Water_emissions!CY131</f>
        <v>[kg/bbl] kg of CARBONYL SULFIDE emissions to water per bbl of crude throughput - Med Complexity</v>
      </c>
      <c r="K390" s="419"/>
      <c r="L390" s="419"/>
      <c r="M390" s="419"/>
      <c r="N390" s="419"/>
      <c r="O390" s="419"/>
      <c r="P390" s="420"/>
      <c r="Q390" s="2"/>
      <c r="R390" s="2"/>
      <c r="S390" s="2"/>
      <c r="T390" s="2"/>
      <c r="U390" s="2"/>
      <c r="V390" s="2"/>
      <c r="W390" s="2"/>
      <c r="X390" s="2"/>
      <c r="Y390" s="2"/>
    </row>
    <row r="391" spans="1:25" x14ac:dyDescent="0.25">
      <c r="A391" s="2"/>
      <c r="B391" s="17">
        <f t="shared" si="31"/>
        <v>15</v>
      </c>
      <c r="C391" s="340" t="str">
        <f>Water_emissions!CW132</f>
        <v>w_CARBONYLS_HiH</v>
      </c>
      <c r="D391" s="341"/>
      <c r="E391" s="368">
        <f>HLOOKUP($C394,Water_emissions!$E$16:$CQ$32,5,FALSE)</f>
        <v>9.9411066654509203E-2</v>
      </c>
      <c r="F391" s="368">
        <f>HLOOKUP($C394,Water_emissions!$E$16:$CQ$32,10,FALSE)</f>
        <v>0</v>
      </c>
      <c r="G391" s="368">
        <f>HLOOKUP($C394,Water_emissions!$E$16:$CQ$32,15,FALSE)</f>
        <v>0.59646639992705519</v>
      </c>
      <c r="H391" s="344" t="s">
        <v>1085</v>
      </c>
      <c r="I391" s="342" t="s">
        <v>2233</v>
      </c>
      <c r="J391" s="418" t="str">
        <f>Water_emissions!CY132</f>
        <v>[kg/bbl] kg of CARBONYL SULFIDE emissions to water per bbl of crude throughput - High Complexity Hydro Cracking</v>
      </c>
      <c r="K391" s="419"/>
      <c r="L391" s="419"/>
      <c r="M391" s="419"/>
      <c r="N391" s="419"/>
      <c r="O391" s="419"/>
      <c r="P391" s="420"/>
      <c r="Q391" s="2"/>
      <c r="R391" s="2"/>
      <c r="S391" s="2"/>
      <c r="T391" s="2"/>
      <c r="U391" s="2"/>
      <c r="V391" s="2"/>
      <c r="W391" s="2"/>
      <c r="X391" s="2"/>
      <c r="Y391" s="2"/>
    </row>
    <row r="392" spans="1:25" x14ac:dyDescent="0.25">
      <c r="A392" s="2"/>
      <c r="B392" s="17">
        <f t="shared" si="31"/>
        <v>15</v>
      </c>
      <c r="C392" s="340" t="str">
        <f>Water_emissions!CW133</f>
        <v>w_CARBONYLS_HiC</v>
      </c>
      <c r="D392" s="341"/>
      <c r="E392" s="368">
        <f>HLOOKUP($C394,Water_emissions!$E$16:$CQ$32,6,FALSE)</f>
        <v>0</v>
      </c>
      <c r="F392" s="368">
        <f>HLOOKUP($C394,Water_emissions!$E$16:$CQ$32,11,FALSE)</f>
        <v>0</v>
      </c>
      <c r="G392" s="368">
        <f>HLOOKUP($C394,Water_emissions!$E$16:$CQ$32,16,FALSE)</f>
        <v>0</v>
      </c>
      <c r="H392" s="344" t="s">
        <v>1085</v>
      </c>
      <c r="I392" s="342" t="s">
        <v>2233</v>
      </c>
      <c r="J392" s="418" t="str">
        <f>Water_emissions!CY133</f>
        <v>[kg/bbl] kg of CARBONYL SULFIDE emissions to water per bbl of crude throughput - High Complexity Coking</v>
      </c>
      <c r="K392" s="419"/>
      <c r="L392" s="419"/>
      <c r="M392" s="419"/>
      <c r="N392" s="419"/>
      <c r="O392" s="419"/>
      <c r="P392" s="420"/>
      <c r="Q392" s="2"/>
      <c r="R392" s="2"/>
      <c r="S392" s="2"/>
      <c r="T392" s="2"/>
      <c r="U392" s="2"/>
      <c r="V392" s="2"/>
      <c r="W392" s="2"/>
      <c r="X392" s="2"/>
      <c r="Y392" s="2"/>
    </row>
    <row r="393" spans="1:25" x14ac:dyDescent="0.25">
      <c r="A393" s="2"/>
      <c r="B393" s="17">
        <f t="shared" si="31"/>
        <v>15</v>
      </c>
      <c r="C393" s="340" t="str">
        <f>Water_emissions!CW134</f>
        <v>w_CARBONYLS_HiB</v>
      </c>
      <c r="D393" s="341"/>
      <c r="E393" s="368">
        <f>HLOOKUP($C394,Water_emissions!$E$16:$CQ$32,7,FALSE)</f>
        <v>0.19882213330901841</v>
      </c>
      <c r="F393" s="368">
        <f>HLOOKUP($C394,Water_emissions!$E$16:$CQ$32,12,FALSE)</f>
        <v>0</v>
      </c>
      <c r="G393" s="368">
        <f>HLOOKUP($C394,Water_emissions!$E$16:$CQ$32,17,FALSE)</f>
        <v>0.59646639992705519</v>
      </c>
      <c r="H393" s="344" t="s">
        <v>1085</v>
      </c>
      <c r="I393" s="342" t="s">
        <v>2233</v>
      </c>
      <c r="J393" s="418" t="str">
        <f>Water_emissions!CY134</f>
        <v>[kg/bbl] kg of CARBONYL SULFIDE emissions to water per bbl of crude throughput - High Complexity Hydro Cracking and Coking</v>
      </c>
      <c r="K393" s="419"/>
      <c r="L393" s="419"/>
      <c r="M393" s="419"/>
      <c r="N393" s="419"/>
      <c r="O393" s="419"/>
      <c r="P393" s="420"/>
      <c r="Q393" s="2"/>
      <c r="R393" s="2"/>
      <c r="S393" s="2"/>
      <c r="T393" s="2"/>
      <c r="U393" s="2"/>
      <c r="V393" s="2"/>
      <c r="W393" s="2"/>
      <c r="X393" s="2"/>
      <c r="Y393" s="2"/>
    </row>
    <row r="394" spans="1:25" ht="39" x14ac:dyDescent="0.25">
      <c r="A394" s="2"/>
      <c r="B394" s="17">
        <f t="shared" si="31"/>
        <v>11</v>
      </c>
      <c r="C394" s="340" t="str">
        <f>Water_emissions!CW135</f>
        <v>w_CARBONYLS</v>
      </c>
      <c r="D394" s="39" t="str">
        <f>"IF(NC=0;"&amp;C389&amp;";IF(NC=1;"&amp;C390&amp;";IF(NC=2;"&amp;C391&amp;";IF(NC=3;"&amp;C392&amp;";"&amp;C393&amp;"))))/"&amp;$C$27</f>
        <v>IF(NC=0;w_CARBONYLS_L;IF(NC=1;w_CARBONYLS_M;IF(NC=2;w_CARBONYLS_HiH;IF(NC=3;w_CARBONYLS_HiC;w_CARBONYLS_HiB))))/Density_oil</v>
      </c>
      <c r="E394" s="68">
        <f>IF($E$24=0,E389,IF($E$24=1,E390,IF($E$24=2,E391,IF($E$24=3,E392,E393))))/$E$27</f>
        <v>1.4335851499929567E-3</v>
      </c>
      <c r="F394" s="342"/>
      <c r="G394" s="343"/>
      <c r="H394" s="344" t="s">
        <v>489</v>
      </c>
      <c r="I394" s="342" t="s">
        <v>2233</v>
      </c>
      <c r="J394" s="418" t="str">
        <f>Water_emissions!CY135</f>
        <v>[kg/bbl] kg of CARBONYL SULFIDE emissions to water per bbl of crude throughput</v>
      </c>
      <c r="K394" s="419"/>
      <c r="L394" s="419"/>
      <c r="M394" s="419"/>
      <c r="N394" s="419"/>
      <c r="O394" s="419"/>
      <c r="P394" s="420"/>
      <c r="Q394" s="2"/>
      <c r="R394" s="2"/>
      <c r="S394" s="2"/>
      <c r="T394" s="2"/>
      <c r="U394" s="2"/>
      <c r="V394" s="2"/>
      <c r="W394" s="2"/>
      <c r="X394" s="2"/>
      <c r="Y394" s="2"/>
    </row>
    <row r="395" spans="1:25" x14ac:dyDescent="0.25">
      <c r="A395" s="2"/>
      <c r="B395" s="17">
        <f t="shared" si="31"/>
        <v>13</v>
      </c>
      <c r="C395" s="340" t="str">
        <f>Water_emissions!CW136</f>
        <v>w_CERTAINGL_L</v>
      </c>
      <c r="D395" s="341"/>
      <c r="E395" s="368">
        <f>HLOOKUP($C400,Water_emissions!$E$16:$CQ$32,3,FALSE)</f>
        <v>0</v>
      </c>
      <c r="F395" s="368">
        <f>HLOOKUP($C400,Water_emissions!$E$16:$CQ$32,8,FALSE)</f>
        <v>0</v>
      </c>
      <c r="G395" s="368">
        <f>HLOOKUP($C400,Water_emissions!$E$16:$CQ$32,13,FALSE)</f>
        <v>0</v>
      </c>
      <c r="H395" s="344" t="s">
        <v>1085</v>
      </c>
      <c r="I395" s="342" t="s">
        <v>2233</v>
      </c>
      <c r="J395" s="418" t="str">
        <f>Water_emissions!CY136</f>
        <v>[kg/bbl] kg of CERTAIN GLYCOL ETHERS emissions to water per bbl of crude throughput - Low Complexity</v>
      </c>
      <c r="K395" s="419"/>
      <c r="L395" s="419"/>
      <c r="M395" s="419"/>
      <c r="N395" s="419"/>
      <c r="O395" s="419"/>
      <c r="P395" s="420"/>
      <c r="Q395" s="2"/>
      <c r="R395" s="2"/>
      <c r="S395" s="2"/>
      <c r="T395" s="2"/>
      <c r="U395" s="2"/>
      <c r="V395" s="2"/>
      <c r="W395" s="2"/>
      <c r="X395" s="2"/>
      <c r="Y395" s="2"/>
    </row>
    <row r="396" spans="1:25" x14ac:dyDescent="0.25">
      <c r="A396" s="2"/>
      <c r="B396" s="17">
        <f t="shared" si="31"/>
        <v>13</v>
      </c>
      <c r="C396" s="340" t="str">
        <f>Water_emissions!CW137</f>
        <v>w_CERTAINGL_M</v>
      </c>
      <c r="D396" s="341"/>
      <c r="E396" s="368">
        <f>HLOOKUP($C400,Water_emissions!$E$16:$CQ$32,4,FALSE)</f>
        <v>1.4005622020085887E-2</v>
      </c>
      <c r="F396" s="368">
        <f>HLOOKUP($C400,Water_emissions!$E$16:$CQ$32,9,FALSE)</f>
        <v>0</v>
      </c>
      <c r="G396" s="368">
        <f>HLOOKUP($C400,Water_emissions!$E$16:$CQ$32,14,FALSE)</f>
        <v>4.201686606025766E-2</v>
      </c>
      <c r="H396" s="344" t="s">
        <v>1085</v>
      </c>
      <c r="I396" s="342" t="s">
        <v>2233</v>
      </c>
      <c r="J396" s="418" t="str">
        <f>Water_emissions!CY137</f>
        <v>[kg/bbl] kg of CERTAIN GLYCOL ETHERS emissions to water per bbl of crude throughput - Med Complexity</v>
      </c>
      <c r="K396" s="419"/>
      <c r="L396" s="419"/>
      <c r="M396" s="419"/>
      <c r="N396" s="419"/>
      <c r="O396" s="419"/>
      <c r="P396" s="420"/>
      <c r="Q396" s="2"/>
      <c r="R396" s="2"/>
      <c r="S396" s="2"/>
      <c r="T396" s="2"/>
      <c r="U396" s="2"/>
      <c r="V396" s="2"/>
      <c r="W396" s="2"/>
      <c r="X396" s="2"/>
      <c r="Y396" s="2"/>
    </row>
    <row r="397" spans="1:25" x14ac:dyDescent="0.25">
      <c r="A397" s="2"/>
      <c r="B397" s="17">
        <f t="shared" si="31"/>
        <v>15</v>
      </c>
      <c r="C397" s="340" t="str">
        <f>Water_emissions!CW138</f>
        <v>w_CERTAINGL_HiH</v>
      </c>
      <c r="D397" s="341"/>
      <c r="E397" s="368">
        <f>HLOOKUP($C400,Water_emissions!$E$16:$CQ$32,5,FALSE)</f>
        <v>1.4005622020085887E-2</v>
      </c>
      <c r="F397" s="368">
        <f>HLOOKUP($C400,Water_emissions!$E$16:$CQ$32,10,FALSE)</f>
        <v>0</v>
      </c>
      <c r="G397" s="368">
        <f>HLOOKUP($C400,Water_emissions!$E$16:$CQ$32,15,FALSE)</f>
        <v>4.201686606025766E-2</v>
      </c>
      <c r="H397" s="344" t="s">
        <v>1085</v>
      </c>
      <c r="I397" s="342" t="s">
        <v>2233</v>
      </c>
      <c r="J397" s="418" t="str">
        <f>Water_emissions!CY138</f>
        <v>[kg/bbl] kg of CERTAIN GLYCOL ETHERS emissions to water per bbl of crude throughput - High Complexity Hydro Cracking</v>
      </c>
      <c r="K397" s="419"/>
      <c r="L397" s="419"/>
      <c r="M397" s="419"/>
      <c r="N397" s="419"/>
      <c r="O397" s="419"/>
      <c r="P397" s="420"/>
      <c r="Q397" s="2"/>
      <c r="R397" s="2"/>
      <c r="S397" s="2"/>
      <c r="T397" s="2"/>
      <c r="U397" s="2"/>
      <c r="V397" s="2"/>
      <c r="W397" s="2"/>
      <c r="X397" s="2"/>
      <c r="Y397" s="2"/>
    </row>
    <row r="398" spans="1:25" x14ac:dyDescent="0.25">
      <c r="A398" s="2"/>
      <c r="B398" s="17">
        <f t="shared" si="31"/>
        <v>15</v>
      </c>
      <c r="C398" s="340" t="str">
        <f>Water_emissions!CW139</f>
        <v>w_CERTAINGL_HiC</v>
      </c>
      <c r="D398" s="341"/>
      <c r="E398" s="368">
        <f>HLOOKUP($C400,Water_emissions!$E$16:$CQ$32,6,FALSE)</f>
        <v>1.4005622020085887E-2</v>
      </c>
      <c r="F398" s="368">
        <f>HLOOKUP($C400,Water_emissions!$E$16:$CQ$32,11,FALSE)</f>
        <v>0</v>
      </c>
      <c r="G398" s="368">
        <f>HLOOKUP($C400,Water_emissions!$E$16:$CQ$32,16,FALSE)</f>
        <v>4.201686606025766E-2</v>
      </c>
      <c r="H398" s="344" t="s">
        <v>1085</v>
      </c>
      <c r="I398" s="342" t="s">
        <v>2233</v>
      </c>
      <c r="J398" s="418" t="str">
        <f>Water_emissions!CY139</f>
        <v>[kg/bbl] kg of CERTAIN GLYCOL ETHERS emissions to water per bbl of crude throughput - High Complexity Coking</v>
      </c>
      <c r="K398" s="419"/>
      <c r="L398" s="419"/>
      <c r="M398" s="419"/>
      <c r="N398" s="419"/>
      <c r="O398" s="419"/>
      <c r="P398" s="420"/>
      <c r="Q398" s="2"/>
      <c r="R398" s="2"/>
      <c r="S398" s="2"/>
      <c r="T398" s="2"/>
      <c r="U398" s="2"/>
      <c r="V398" s="2"/>
      <c r="W398" s="2"/>
      <c r="X398" s="2"/>
      <c r="Y398" s="2"/>
    </row>
    <row r="399" spans="1:25" x14ac:dyDescent="0.25">
      <c r="A399" s="2"/>
      <c r="B399" s="17">
        <f t="shared" si="31"/>
        <v>15</v>
      </c>
      <c r="C399" s="340" t="str">
        <f>Water_emissions!CW140</f>
        <v>w_CERTAINGL_HiB</v>
      </c>
      <c r="D399" s="341"/>
      <c r="E399" s="368">
        <f>HLOOKUP($C400,Water_emissions!$E$16:$CQ$32,7,FALSE)</f>
        <v>4.201686606025766E-2</v>
      </c>
      <c r="F399" s="368">
        <f>HLOOKUP($C400,Water_emissions!$E$16:$CQ$32,12,FALSE)</f>
        <v>4.201686606025766E-2</v>
      </c>
      <c r="G399" s="368">
        <f>HLOOKUP($C400,Water_emissions!$E$16:$CQ$32,17,FALSE)</f>
        <v>4.201686606025766E-2</v>
      </c>
      <c r="H399" s="344" t="s">
        <v>1085</v>
      </c>
      <c r="I399" s="342" t="s">
        <v>2233</v>
      </c>
      <c r="J399" s="418" t="str">
        <f>Water_emissions!CY140</f>
        <v>[kg/bbl] kg of CERTAIN GLYCOL ETHERS emissions to water per bbl of crude throughput - High Complexity Hydro Cracking and Coking</v>
      </c>
      <c r="K399" s="419"/>
      <c r="L399" s="419"/>
      <c r="M399" s="419"/>
      <c r="N399" s="419"/>
      <c r="O399" s="419"/>
      <c r="P399" s="420"/>
      <c r="Q399" s="2"/>
      <c r="R399" s="2"/>
      <c r="S399" s="2"/>
      <c r="T399" s="2"/>
      <c r="U399" s="2"/>
      <c r="V399" s="2"/>
      <c r="W399" s="2"/>
      <c r="X399" s="2"/>
      <c r="Y399" s="2"/>
    </row>
    <row r="400" spans="1:25" ht="39" customHeight="1" x14ac:dyDescent="0.25">
      <c r="A400" s="2"/>
      <c r="B400" s="17">
        <f t="shared" si="31"/>
        <v>11</v>
      </c>
      <c r="C400" s="340" t="str">
        <f>Water_emissions!CW141</f>
        <v>w_CERTAINGL</v>
      </c>
      <c r="D400" s="39" t="str">
        <f>"IF(NC=0;"&amp;C395&amp;";IF(NC=1;"&amp;C396&amp;";IF(NC=2;"&amp;C397&amp;";IF(NC=3;"&amp;C398&amp;";"&amp;C399&amp;"))))/"&amp;$C$27</f>
        <v>IF(NC=0;w_CERTAINGL_L;IF(NC=1;w_CERTAINGL_M;IF(NC=2;w_CERTAINGL_HiH;IF(NC=3;w_CERTAINGL_HiC;w_CERTAINGL_HiB))))/Density_oil</v>
      </c>
      <c r="E400" s="68">
        <f>IF($E$24=0,E395,IF($E$24=1,E396,IF($E$24=2,E397,IF($E$24=3,E398,E399))))/$E$27</f>
        <v>3.029579968323187E-4</v>
      </c>
      <c r="F400" s="342"/>
      <c r="G400" s="343"/>
      <c r="H400" s="344" t="s">
        <v>489</v>
      </c>
      <c r="I400" s="342" t="s">
        <v>2233</v>
      </c>
      <c r="J400" s="418" t="str">
        <f>Water_emissions!CY141</f>
        <v>[kg/bbl] kg of CERTAIN GLYCOL ETHERS emissions to water per bbl of crude throughput</v>
      </c>
      <c r="K400" s="419"/>
      <c r="L400" s="419"/>
      <c r="M400" s="419"/>
      <c r="N400" s="419"/>
      <c r="O400" s="419"/>
      <c r="P400" s="420"/>
      <c r="Q400" s="2"/>
      <c r="R400" s="2"/>
      <c r="S400" s="2"/>
      <c r="T400" s="2"/>
      <c r="U400" s="2"/>
      <c r="V400" s="2"/>
      <c r="W400" s="2"/>
      <c r="X400" s="2"/>
      <c r="Y400" s="2"/>
    </row>
    <row r="401" spans="1:25" x14ac:dyDescent="0.25">
      <c r="A401" s="2"/>
      <c r="B401" s="17">
        <f t="shared" si="31"/>
        <v>13</v>
      </c>
      <c r="C401" s="340" t="str">
        <f>Water_emissions!CW142</f>
        <v>w_ChemicalO_L</v>
      </c>
      <c r="D401" s="341"/>
      <c r="E401" s="368">
        <f>HLOOKUP($C406,Water_emissions!$E$16:$CQ$32,3,FALSE)</f>
        <v>4.7422227548623713E-3</v>
      </c>
      <c r="F401" s="368">
        <f>HLOOKUP($C406,Water_emissions!$E$16:$CQ$32,8,FALSE)</f>
        <v>5.7839286375485025E-5</v>
      </c>
      <c r="G401" s="368">
        <f>HLOOKUP($C406,Water_emissions!$E$16:$CQ$32,13,FALSE)</f>
        <v>1.9800577765342466E-2</v>
      </c>
      <c r="H401" s="344" t="s">
        <v>1085</v>
      </c>
      <c r="I401" s="342" t="s">
        <v>2233</v>
      </c>
      <c r="J401" s="418" t="str">
        <f>Water_emissions!CY142</f>
        <v>[kg/bbl] kg of Chemical Oxygen Demand (COD) emissions to water per bbl of crude throughput - Low Complexity</v>
      </c>
      <c r="K401" s="419"/>
      <c r="L401" s="419"/>
      <c r="M401" s="419"/>
      <c r="N401" s="419"/>
      <c r="O401" s="419"/>
      <c r="P401" s="420"/>
      <c r="Q401" s="2"/>
      <c r="R401" s="2"/>
      <c r="S401" s="2"/>
      <c r="T401" s="2"/>
      <c r="U401" s="2"/>
      <c r="V401" s="2"/>
      <c r="W401" s="2"/>
      <c r="X401" s="2"/>
      <c r="Y401" s="2"/>
    </row>
    <row r="402" spans="1:25" x14ac:dyDescent="0.25">
      <c r="A402" s="2"/>
      <c r="B402" s="17">
        <f t="shared" ref="B402:B465" si="32">LEN(C402)</f>
        <v>13</v>
      </c>
      <c r="C402" s="340" t="str">
        <f>Water_emissions!CW143</f>
        <v>w_ChemicalO_M</v>
      </c>
      <c r="D402" s="341"/>
      <c r="E402" s="368">
        <f>HLOOKUP($C406,Water_emissions!$E$16:$CQ$32,4,FALSE)</f>
        <v>2.8641922174886415E-3</v>
      </c>
      <c r="F402" s="368">
        <f>HLOOKUP($C406,Water_emissions!$E$16:$CQ$32,9,FALSE)</f>
        <v>4.0812958422976279E-5</v>
      </c>
      <c r="G402" s="368">
        <f>HLOOKUP($C406,Water_emissions!$E$16:$CQ$32,14,FALSE)</f>
        <v>8.6760104446457036E-3</v>
      </c>
      <c r="H402" s="344" t="s">
        <v>1085</v>
      </c>
      <c r="I402" s="342" t="s">
        <v>2233</v>
      </c>
      <c r="J402" s="418" t="str">
        <f>Water_emissions!CY143</f>
        <v>[kg/bbl] kg of Chemical Oxygen Demand (COD) emissions to water per bbl of crude throughput - Med Complexity</v>
      </c>
      <c r="K402" s="419"/>
      <c r="L402" s="419"/>
      <c r="M402" s="419"/>
      <c r="N402" s="419"/>
      <c r="O402" s="419"/>
      <c r="P402" s="420"/>
      <c r="Q402" s="2"/>
      <c r="R402" s="2"/>
      <c r="S402" s="2"/>
      <c r="T402" s="2"/>
      <c r="U402" s="2"/>
      <c r="V402" s="2"/>
      <c r="W402" s="2"/>
      <c r="X402" s="2"/>
      <c r="Y402" s="2"/>
    </row>
    <row r="403" spans="1:25" x14ac:dyDescent="0.25">
      <c r="A403" s="2"/>
      <c r="B403" s="17">
        <f t="shared" si="32"/>
        <v>15</v>
      </c>
      <c r="C403" s="340" t="str">
        <f>Water_emissions!CW144</f>
        <v>w_ChemicalO_HiH</v>
      </c>
      <c r="D403" s="341"/>
      <c r="E403" s="368">
        <f>HLOOKUP($C406,Water_emissions!$E$16:$CQ$32,5,FALSE)</f>
        <v>8.7060548846274819E-3</v>
      </c>
      <c r="F403" s="368">
        <f>HLOOKUP($C406,Water_emissions!$E$16:$CQ$32,10,FALSE)</f>
        <v>1.084291050022641E-3</v>
      </c>
      <c r="G403" s="368">
        <f>HLOOKUP($C406,Water_emissions!$E$16:$CQ$32,15,FALSE)</f>
        <v>3.6173128394373921E-2</v>
      </c>
      <c r="H403" s="344" t="s">
        <v>1085</v>
      </c>
      <c r="I403" s="342" t="s">
        <v>2233</v>
      </c>
      <c r="J403" s="418" t="str">
        <f>Water_emissions!CY144</f>
        <v>[kg/bbl] kg of Chemical Oxygen Demand (COD) emissions to water per bbl of crude throughput - High Complexity Hydro Cracking</v>
      </c>
      <c r="K403" s="419"/>
      <c r="L403" s="419"/>
      <c r="M403" s="419"/>
      <c r="N403" s="419"/>
      <c r="O403" s="419"/>
      <c r="P403" s="420"/>
      <c r="Q403" s="2"/>
      <c r="R403" s="2"/>
      <c r="S403" s="2"/>
      <c r="T403" s="2"/>
      <c r="U403" s="2"/>
      <c r="V403" s="2"/>
      <c r="W403" s="2"/>
      <c r="X403" s="2"/>
      <c r="Y403" s="2"/>
    </row>
    <row r="404" spans="1:25" x14ac:dyDescent="0.25">
      <c r="A404" s="2"/>
      <c r="B404" s="17">
        <f t="shared" si="32"/>
        <v>15</v>
      </c>
      <c r="C404" s="340" t="str">
        <f>Water_emissions!CW145</f>
        <v>w_ChemicalO_HiC</v>
      </c>
      <c r="D404" s="341"/>
      <c r="E404" s="368">
        <f>HLOOKUP($C406,Water_emissions!$E$16:$CQ$32,6,FALSE)</f>
        <v>8.988509310163862E-3</v>
      </c>
      <c r="F404" s="368">
        <f>HLOOKUP($C406,Water_emissions!$E$16:$CQ$32,11,FALSE)</f>
        <v>-1.7887629070983809E-3</v>
      </c>
      <c r="G404" s="368">
        <f>HLOOKUP($C406,Water_emissions!$E$16:$CQ$32,16,FALSE)</f>
        <v>5.1727239136304871E-2</v>
      </c>
      <c r="H404" s="344" t="s">
        <v>1085</v>
      </c>
      <c r="I404" s="342" t="s">
        <v>2233</v>
      </c>
      <c r="J404" s="418" t="str">
        <f>Water_emissions!CY145</f>
        <v>[kg/bbl] kg of Chemical Oxygen Demand (COD) emissions to water per bbl of crude throughput - High Complexity Coking</v>
      </c>
      <c r="K404" s="419"/>
      <c r="L404" s="419"/>
      <c r="M404" s="419"/>
      <c r="N404" s="419"/>
      <c r="O404" s="419"/>
      <c r="P404" s="420"/>
      <c r="Q404" s="2"/>
      <c r="R404" s="2"/>
      <c r="S404" s="2"/>
      <c r="T404" s="2"/>
      <c r="U404" s="2"/>
      <c r="V404" s="2"/>
      <c r="W404" s="2"/>
      <c r="X404" s="2"/>
      <c r="Y404" s="2"/>
    </row>
    <row r="405" spans="1:25" x14ac:dyDescent="0.25">
      <c r="A405" s="2"/>
      <c r="B405" s="17">
        <f t="shared" si="32"/>
        <v>15</v>
      </c>
      <c r="C405" s="340" t="str">
        <f>Water_emissions!CW146</f>
        <v>w_ChemicalO_HiB</v>
      </c>
      <c r="D405" s="341"/>
      <c r="E405" s="368">
        <f>HLOOKUP($C406,Water_emissions!$E$16:$CQ$32,7,FALSE)</f>
        <v>7.8133457041855113E-3</v>
      </c>
      <c r="F405" s="368">
        <f>HLOOKUP($C406,Water_emissions!$E$16:$CQ$32,12,FALSE)</f>
        <v>9.2466477460431218E-4</v>
      </c>
      <c r="G405" s="368">
        <f>HLOOKUP($C406,Water_emissions!$E$16:$CQ$32,17,FALSE)</f>
        <v>2.3286371156140493E-2</v>
      </c>
      <c r="H405" s="344" t="s">
        <v>1085</v>
      </c>
      <c r="I405" s="342" t="s">
        <v>2233</v>
      </c>
      <c r="J405" s="418" t="str">
        <f>Water_emissions!CY146</f>
        <v>[kg/bbl] kg of Chemical Oxygen Demand (COD) emissions to water per bbl of crude throughput - High Complexity Hydro Cracking and Coking</v>
      </c>
      <c r="K405" s="419"/>
      <c r="L405" s="419"/>
      <c r="M405" s="419"/>
      <c r="N405" s="419"/>
      <c r="O405" s="419"/>
      <c r="P405" s="420"/>
      <c r="Q405" s="2"/>
      <c r="R405" s="2"/>
      <c r="S405" s="2"/>
      <c r="T405" s="2"/>
      <c r="U405" s="2"/>
      <c r="V405" s="2"/>
      <c r="W405" s="2"/>
      <c r="X405" s="2"/>
      <c r="Y405" s="2"/>
    </row>
    <row r="406" spans="1:25" ht="39" x14ac:dyDescent="0.25">
      <c r="A406" s="2"/>
      <c r="B406" s="17">
        <f t="shared" si="32"/>
        <v>11</v>
      </c>
      <c r="C406" s="340" t="str">
        <f>Water_emissions!CW147</f>
        <v>w_ChemicalO</v>
      </c>
      <c r="D406" s="39" t="str">
        <f>"IF(NC=0;"&amp;C401&amp;";IF(NC=1;"&amp;C402&amp;";IF(NC=2;"&amp;C403&amp;";IF(NC=3;"&amp;C404&amp;";"&amp;C405&amp;"))))/"&amp;$C$27</f>
        <v>IF(NC=0;w_ChemicalO_L;IF(NC=1;w_ChemicalO_M;IF(NC=2;w_ChemicalO_HiH;IF(NC=3;w_ChemicalO_HiC;w_ChemicalO_HiB))))/Density_oil</v>
      </c>
      <c r="E406" s="68">
        <f>IF($E$24=0,E401,IF($E$24=1,E402,IF($E$24=2,E403,IF($E$24=3,E404,E405))))/$E$27</f>
        <v>5.6337270840326193E-5</v>
      </c>
      <c r="F406" s="342"/>
      <c r="G406" s="343"/>
      <c r="H406" s="344" t="s">
        <v>489</v>
      </c>
      <c r="I406" s="342" t="s">
        <v>2233</v>
      </c>
      <c r="J406" s="418" t="str">
        <f>Water_emissions!CY147</f>
        <v>[kg/bbl] kg of Chemical Oxygen Demand (COD) emissions to water per bbl of crude throughput</v>
      </c>
      <c r="K406" s="419"/>
      <c r="L406" s="419"/>
      <c r="M406" s="419"/>
      <c r="N406" s="419"/>
      <c r="O406" s="419"/>
      <c r="P406" s="420"/>
      <c r="Q406" s="2"/>
      <c r="R406" s="2"/>
      <c r="S406" s="2"/>
      <c r="T406" s="2"/>
      <c r="U406" s="2"/>
      <c r="V406" s="2"/>
      <c r="W406" s="2"/>
      <c r="X406" s="2"/>
      <c r="Y406" s="2"/>
    </row>
    <row r="407" spans="1:25" x14ac:dyDescent="0.25">
      <c r="A407" s="2"/>
      <c r="B407" s="17">
        <f t="shared" si="32"/>
        <v>13</v>
      </c>
      <c r="C407" s="340" t="str">
        <f>Water_emissions!CW148</f>
        <v>w_Chloridea_L</v>
      </c>
      <c r="D407" s="341"/>
      <c r="E407" s="368">
        <f>HLOOKUP($C412,Water_emissions!$E$16:$CQ$32,3,FALSE)</f>
        <v>1.1556314526181988E-3</v>
      </c>
      <c r="F407" s="368">
        <f>HLOOKUP($C412,Water_emissions!$E$16:$CQ$32,8,FALSE)</f>
        <v>1.1556314526181988E-3</v>
      </c>
      <c r="G407" s="368">
        <f>HLOOKUP($C412,Water_emissions!$E$16:$CQ$32,13,FALSE)</f>
        <v>1.1556314526181988E-3</v>
      </c>
      <c r="H407" s="344" t="s">
        <v>1085</v>
      </c>
      <c r="I407" s="342" t="s">
        <v>2233</v>
      </c>
      <c r="J407" s="418" t="str">
        <f>Water_emissions!CY148</f>
        <v>[kg/bbl] kg of Chloride (as Cl) emissions to water per bbl of crude throughput - Low Complexity</v>
      </c>
      <c r="K407" s="419"/>
      <c r="L407" s="419"/>
      <c r="M407" s="419"/>
      <c r="N407" s="419"/>
      <c r="O407" s="419"/>
      <c r="P407" s="420"/>
      <c r="Q407" s="2"/>
      <c r="R407" s="2"/>
      <c r="S407" s="2"/>
      <c r="T407" s="2"/>
      <c r="U407" s="2"/>
      <c r="V407" s="2"/>
      <c r="W407" s="2"/>
      <c r="X407" s="2"/>
      <c r="Y407" s="2"/>
    </row>
    <row r="408" spans="1:25" x14ac:dyDescent="0.25">
      <c r="A408" s="2"/>
      <c r="B408" s="17">
        <f t="shared" si="32"/>
        <v>13</v>
      </c>
      <c r="C408" s="340" t="str">
        <f>Water_emissions!CW149</f>
        <v>w_Chloridea_M</v>
      </c>
      <c r="D408" s="341"/>
      <c r="E408" s="368">
        <f>HLOOKUP($C412,Water_emissions!$E$16:$CQ$32,4,FALSE)</f>
        <v>1.2095939688589838E-2</v>
      </c>
      <c r="F408" s="368">
        <f>HLOOKUP($C412,Water_emissions!$E$16:$CQ$32,9,FALSE)</f>
        <v>4.1547450109158659E-3</v>
      </c>
      <c r="G408" s="368">
        <f>HLOOKUP($C412,Water_emissions!$E$16:$CQ$32,14,FALSE)</f>
        <v>2.0333470466430532E-2</v>
      </c>
      <c r="H408" s="344" t="s">
        <v>1085</v>
      </c>
      <c r="I408" s="342" t="s">
        <v>2233</v>
      </c>
      <c r="J408" s="418" t="str">
        <f>Water_emissions!CY149</f>
        <v>[kg/bbl] kg of Chloride (as Cl) emissions to water per bbl of crude throughput - Med Complexity</v>
      </c>
      <c r="K408" s="419"/>
      <c r="L408" s="419"/>
      <c r="M408" s="419"/>
      <c r="N408" s="419"/>
      <c r="O408" s="419"/>
      <c r="P408" s="420"/>
      <c r="Q408" s="2"/>
      <c r="R408" s="2"/>
      <c r="S408" s="2"/>
      <c r="T408" s="2"/>
      <c r="U408" s="2"/>
      <c r="V408" s="2"/>
      <c r="W408" s="2"/>
      <c r="X408" s="2"/>
      <c r="Y408" s="2"/>
    </row>
    <row r="409" spans="1:25" x14ac:dyDescent="0.25">
      <c r="A409" s="2"/>
      <c r="B409" s="17">
        <f t="shared" si="32"/>
        <v>15</v>
      </c>
      <c r="C409" s="340" t="str">
        <f>Water_emissions!CW150</f>
        <v>w_Chloridea_HiH</v>
      </c>
      <c r="D409" s="341"/>
      <c r="E409" s="368">
        <f>HLOOKUP($C412,Water_emissions!$E$16:$CQ$32,5,FALSE)</f>
        <v>1.2873010610902621E-2</v>
      </c>
      <c r="F409" s="368">
        <f>HLOOKUP($C412,Water_emissions!$E$16:$CQ$32,10,FALSE)</f>
        <v>1.1556314526181988E-3</v>
      </c>
      <c r="G409" s="368">
        <f>HLOOKUP($C412,Water_emissions!$E$16:$CQ$32,15,FALSE)</f>
        <v>3.4640327004566207E-2</v>
      </c>
      <c r="H409" s="344" t="s">
        <v>1085</v>
      </c>
      <c r="I409" s="342" t="s">
        <v>2233</v>
      </c>
      <c r="J409" s="418" t="str">
        <f>Water_emissions!CY150</f>
        <v>[kg/bbl] kg of Chloride (as Cl) emissions to water per bbl of crude throughput - High Complexity Hydro Cracking</v>
      </c>
      <c r="K409" s="419"/>
      <c r="L409" s="419"/>
      <c r="M409" s="419"/>
      <c r="N409" s="419"/>
      <c r="O409" s="419"/>
      <c r="P409" s="420"/>
      <c r="Q409" s="2"/>
      <c r="R409" s="2"/>
      <c r="S409" s="2"/>
      <c r="T409" s="2"/>
      <c r="U409" s="2"/>
      <c r="V409" s="2"/>
      <c r="W409" s="2"/>
      <c r="X409" s="2"/>
      <c r="Y409" s="2"/>
    </row>
    <row r="410" spans="1:25" x14ac:dyDescent="0.25">
      <c r="A410" s="2"/>
      <c r="B410" s="17">
        <f t="shared" si="32"/>
        <v>15</v>
      </c>
      <c r="C410" s="340" t="str">
        <f>Water_emissions!CW151</f>
        <v>w_Chloridea_HiC</v>
      </c>
      <c r="D410" s="341"/>
      <c r="E410" s="368">
        <f>HLOOKUP($C412,Water_emissions!$E$16:$CQ$32,6,FALSE)</f>
        <v>1.5057871772366501E-2</v>
      </c>
      <c r="F410" s="368">
        <f>HLOOKUP($C412,Water_emissions!$E$16:$CQ$32,11,FALSE)</f>
        <v>5.5521064427271902E-3</v>
      </c>
      <c r="G410" s="368">
        <f>HLOOKUP($C412,Water_emissions!$E$16:$CQ$32,16,FALSE)</f>
        <v>3.4640327004566207E-2</v>
      </c>
      <c r="H410" s="344" t="s">
        <v>1085</v>
      </c>
      <c r="I410" s="342" t="s">
        <v>2233</v>
      </c>
      <c r="J410" s="418" t="str">
        <f>Water_emissions!CY151</f>
        <v>[kg/bbl] kg of Chloride (as Cl) emissions to water per bbl of crude throughput - High Complexity Coking</v>
      </c>
      <c r="K410" s="419"/>
      <c r="L410" s="419"/>
      <c r="M410" s="419"/>
      <c r="N410" s="419"/>
      <c r="O410" s="419"/>
      <c r="P410" s="420"/>
      <c r="Q410" s="2"/>
      <c r="R410" s="2"/>
      <c r="S410" s="2"/>
      <c r="T410" s="2"/>
      <c r="U410" s="2"/>
      <c r="V410" s="2"/>
      <c r="W410" s="2"/>
      <c r="X410" s="2"/>
      <c r="Y410" s="2"/>
    </row>
    <row r="411" spans="1:25" x14ac:dyDescent="0.25">
      <c r="A411" s="2"/>
      <c r="B411" s="17">
        <f t="shared" si="32"/>
        <v>15</v>
      </c>
      <c r="C411" s="340" t="str">
        <f>Water_emissions!CW152</f>
        <v>w_Chloridea_HiB</v>
      </c>
      <c r="D411" s="341"/>
      <c r="E411" s="368">
        <f>HLOOKUP($C412,Water_emissions!$E$16:$CQ$32,7,FALSE)</f>
        <v>1.5527584250586248E-2</v>
      </c>
      <c r="F411" s="368">
        <f>HLOOKUP($C412,Water_emissions!$E$16:$CQ$32,12,FALSE)</f>
        <v>5.1967248977261493E-3</v>
      </c>
      <c r="G411" s="368">
        <f>HLOOKUP($C412,Water_emissions!$E$16:$CQ$32,17,FALSE)</f>
        <v>2.5858443603446347E-2</v>
      </c>
      <c r="H411" s="344" t="s">
        <v>1085</v>
      </c>
      <c r="I411" s="342" t="s">
        <v>2233</v>
      </c>
      <c r="J411" s="418" t="str">
        <f>Water_emissions!CY152</f>
        <v>[kg/bbl] kg of Chloride (as Cl) emissions to water per bbl of crude throughput - High Complexity Hydro Cracking and Coking</v>
      </c>
      <c r="K411" s="419"/>
      <c r="L411" s="419"/>
      <c r="M411" s="419"/>
      <c r="N411" s="419"/>
      <c r="O411" s="419"/>
      <c r="P411" s="420"/>
      <c r="Q411" s="2"/>
      <c r="R411" s="2"/>
      <c r="S411" s="2"/>
      <c r="T411" s="2"/>
      <c r="U411" s="2"/>
      <c r="V411" s="2"/>
      <c r="W411" s="2"/>
      <c r="X411" s="2"/>
      <c r="Y411" s="2"/>
    </row>
    <row r="412" spans="1:25" ht="26.25" x14ac:dyDescent="0.25">
      <c r="A412" s="2"/>
      <c r="B412" s="17">
        <f t="shared" si="32"/>
        <v>11</v>
      </c>
      <c r="C412" s="340" t="str">
        <f>Water_emissions!CW153</f>
        <v>w_Chloridea</v>
      </c>
      <c r="D412" s="39" t="str">
        <f>"IF(NC=0;"&amp;C407&amp;";IF(NC=1;"&amp;C408&amp;";IF(NC=2;"&amp;C409&amp;";IF(NC=3;"&amp;C410&amp;";"&amp;C411&amp;"))))/"&amp;$C$27</f>
        <v>IF(NC=0;w_Chloridea_L;IF(NC=1;w_Chloridea_M;IF(NC=2;w_Chloridea_HiH;IF(NC=3;w_Chloridea_HiC;w_Chloridea_HiB))))/Density_oil</v>
      </c>
      <c r="E412" s="68">
        <f>IF($E$24=0,E407,IF($E$24=1,E408,IF($E$24=2,E409,IF($E$24=3,E410,E411))))/$E$27</f>
        <v>1.1195994040717427E-4</v>
      </c>
      <c r="F412" s="342"/>
      <c r="G412" s="343"/>
      <c r="H412" s="344" t="s">
        <v>489</v>
      </c>
      <c r="I412" s="342" t="s">
        <v>2233</v>
      </c>
      <c r="J412" s="418" t="str">
        <f>Water_emissions!CY153</f>
        <v>[kg/bbl] kg of Chloride (as Cl) emissions to water per bbl of crude throughput</v>
      </c>
      <c r="K412" s="419"/>
      <c r="L412" s="419"/>
      <c r="M412" s="419"/>
      <c r="N412" s="419"/>
      <c r="O412" s="419"/>
      <c r="P412" s="420"/>
      <c r="Q412" s="2"/>
      <c r="R412" s="2"/>
      <c r="S412" s="2"/>
      <c r="T412" s="2"/>
      <c r="U412" s="2"/>
      <c r="V412" s="2"/>
      <c r="W412" s="2"/>
      <c r="X412" s="2"/>
      <c r="Y412" s="2"/>
    </row>
    <row r="413" spans="1:25" x14ac:dyDescent="0.25">
      <c r="A413" s="2"/>
      <c r="B413" s="17">
        <f t="shared" si="32"/>
        <v>12</v>
      </c>
      <c r="C413" s="340" t="str">
        <f>Water_emissions!CW154</f>
        <v>w_CHLORINE_L</v>
      </c>
      <c r="D413" s="341"/>
      <c r="E413" s="368">
        <f>HLOOKUP($C418,Water_emissions!$E$16:$CQ$32,3,FALSE)</f>
        <v>1.7030496670751647E-5</v>
      </c>
      <c r="F413" s="368">
        <f>HLOOKUP($C418,Water_emissions!$E$16:$CQ$32,8,FALSE)</f>
        <v>0</v>
      </c>
      <c r="G413" s="368">
        <f>HLOOKUP($C418,Water_emissions!$E$16:$CQ$32,13,FALSE)</f>
        <v>9.0877824215475741E-5</v>
      </c>
      <c r="H413" s="344" t="s">
        <v>1085</v>
      </c>
      <c r="I413" s="342" t="s">
        <v>2233</v>
      </c>
      <c r="J413" s="418" t="str">
        <f>Water_emissions!CY154</f>
        <v>[kg/bbl] kg of CHLORINE emissions to water per bbl of crude throughput - Low Complexity</v>
      </c>
      <c r="K413" s="419"/>
      <c r="L413" s="419"/>
      <c r="M413" s="419"/>
      <c r="N413" s="419"/>
      <c r="O413" s="419"/>
      <c r="P413" s="420"/>
      <c r="Q413" s="2"/>
      <c r="R413" s="2"/>
      <c r="S413" s="2"/>
      <c r="T413" s="2"/>
      <c r="U413" s="2"/>
      <c r="V413" s="2"/>
      <c r="W413" s="2"/>
      <c r="X413" s="2"/>
      <c r="Y413" s="2"/>
    </row>
    <row r="414" spans="1:25" x14ac:dyDescent="0.25">
      <c r="A414" s="2"/>
      <c r="B414" s="17">
        <f t="shared" si="32"/>
        <v>12</v>
      </c>
      <c r="C414" s="340" t="str">
        <f>Water_emissions!CW155</f>
        <v>w_CHLORINE_M</v>
      </c>
      <c r="D414" s="341"/>
      <c r="E414" s="368">
        <f>HLOOKUP($C418,Water_emissions!$E$16:$CQ$32,4,FALSE)</f>
        <v>0</v>
      </c>
      <c r="F414" s="368">
        <f>HLOOKUP($C418,Water_emissions!$E$16:$CQ$32,9,FALSE)</f>
        <v>0</v>
      </c>
      <c r="G414" s="368">
        <f>HLOOKUP($C418,Water_emissions!$E$16:$CQ$32,14,FALSE)</f>
        <v>0</v>
      </c>
      <c r="H414" s="344" t="s">
        <v>1085</v>
      </c>
      <c r="I414" s="342" t="s">
        <v>2233</v>
      </c>
      <c r="J414" s="418" t="str">
        <f>Water_emissions!CY155</f>
        <v>[kg/bbl] kg of CHLORINE emissions to water per bbl of crude throughput - Med Complexity</v>
      </c>
      <c r="K414" s="419"/>
      <c r="L414" s="419"/>
      <c r="M414" s="419"/>
      <c r="N414" s="419"/>
      <c r="O414" s="419"/>
      <c r="P414" s="420"/>
      <c r="Q414" s="2"/>
      <c r="R414" s="2"/>
      <c r="S414" s="2"/>
      <c r="T414" s="2"/>
      <c r="U414" s="2"/>
      <c r="V414" s="2"/>
      <c r="W414" s="2"/>
      <c r="X414" s="2"/>
      <c r="Y414" s="2"/>
    </row>
    <row r="415" spans="1:25" x14ac:dyDescent="0.25">
      <c r="A415" s="2"/>
      <c r="B415" s="17">
        <f t="shared" si="32"/>
        <v>14</v>
      </c>
      <c r="C415" s="340" t="str">
        <f>Water_emissions!CW156</f>
        <v>w_CHLORINE_HiH</v>
      </c>
      <c r="D415" s="341"/>
      <c r="E415" s="368">
        <f>HLOOKUP($C418,Water_emissions!$E$16:$CQ$32,5,FALSE)</f>
        <v>9.0877824215475741E-5</v>
      </c>
      <c r="F415" s="368">
        <f>HLOOKUP($C418,Water_emissions!$E$16:$CQ$32,10,FALSE)</f>
        <v>9.0877824215475741E-5</v>
      </c>
      <c r="G415" s="368">
        <f>HLOOKUP($C418,Water_emissions!$E$16:$CQ$32,15,FALSE)</f>
        <v>9.0877824215475741E-5</v>
      </c>
      <c r="H415" s="344" t="s">
        <v>1085</v>
      </c>
      <c r="I415" s="342" t="s">
        <v>2233</v>
      </c>
      <c r="J415" s="418" t="str">
        <f>Water_emissions!CY156</f>
        <v>[kg/bbl] kg of CHLORINE emissions to water per bbl of crude throughput - High Complexity Hydro Cracking</v>
      </c>
      <c r="K415" s="419"/>
      <c r="L415" s="419"/>
      <c r="M415" s="419"/>
      <c r="N415" s="419"/>
      <c r="O415" s="419"/>
      <c r="P415" s="420"/>
      <c r="Q415" s="2"/>
      <c r="R415" s="2"/>
      <c r="S415" s="2"/>
      <c r="T415" s="2"/>
      <c r="U415" s="2"/>
      <c r="V415" s="2"/>
      <c r="W415" s="2"/>
      <c r="X415" s="2"/>
      <c r="Y415" s="2"/>
    </row>
    <row r="416" spans="1:25" x14ac:dyDescent="0.25">
      <c r="A416" s="2"/>
      <c r="B416" s="17">
        <f t="shared" si="32"/>
        <v>14</v>
      </c>
      <c r="C416" s="340" t="str">
        <f>Water_emissions!CW157</f>
        <v>w_CHLORINE_HiC</v>
      </c>
      <c r="D416" s="341"/>
      <c r="E416" s="368">
        <f>HLOOKUP($C418,Water_emissions!$E$16:$CQ$32,6,FALSE)</f>
        <v>5.4245711707616647E-6</v>
      </c>
      <c r="F416" s="368">
        <f>HLOOKUP($C418,Water_emissions!$E$16:$CQ$32,11,FALSE)</f>
        <v>0</v>
      </c>
      <c r="G416" s="368">
        <f>HLOOKUP($C418,Water_emissions!$E$16:$CQ$32,16,FALSE)</f>
        <v>2.1288197202673777E-5</v>
      </c>
      <c r="H416" s="344" t="s">
        <v>1085</v>
      </c>
      <c r="I416" s="342" t="s">
        <v>2233</v>
      </c>
      <c r="J416" s="418" t="str">
        <f>Water_emissions!CY157</f>
        <v>[kg/bbl] kg of CHLORINE emissions to water per bbl of crude throughput - High Complexity Coking</v>
      </c>
      <c r="K416" s="419"/>
      <c r="L416" s="419"/>
      <c r="M416" s="419"/>
      <c r="N416" s="419"/>
      <c r="O416" s="419"/>
      <c r="P416" s="420"/>
      <c r="Q416" s="2"/>
      <c r="R416" s="2"/>
      <c r="S416" s="2"/>
      <c r="T416" s="2"/>
      <c r="U416" s="2"/>
      <c r="V416" s="2"/>
      <c r="W416" s="2"/>
      <c r="X416" s="2"/>
      <c r="Y416" s="2"/>
    </row>
    <row r="417" spans="1:25" x14ac:dyDescent="0.25">
      <c r="A417" s="2"/>
      <c r="B417" s="17">
        <f t="shared" si="32"/>
        <v>14</v>
      </c>
      <c r="C417" s="340" t="str">
        <f>Water_emissions!CW158</f>
        <v>w_CHLORINE_HiB</v>
      </c>
      <c r="D417" s="341"/>
      <c r="E417" s="368">
        <f>HLOOKUP($C418,Water_emissions!$E$16:$CQ$32,7,FALSE)</f>
        <v>1.1833932233745384E-5</v>
      </c>
      <c r="F417" s="368">
        <f>HLOOKUP($C418,Water_emissions!$E$16:$CQ$32,12,FALSE)</f>
        <v>5.9591672221879397E-8</v>
      </c>
      <c r="G417" s="368">
        <f>HLOOKUP($C418,Water_emissions!$E$16:$CQ$32,17,FALSE)</f>
        <v>2.3608272795268889E-5</v>
      </c>
      <c r="H417" s="344" t="s">
        <v>1085</v>
      </c>
      <c r="I417" s="342" t="s">
        <v>2233</v>
      </c>
      <c r="J417" s="418" t="str">
        <f>Water_emissions!CY158</f>
        <v>[kg/bbl] kg of CHLORINE emissions to water per bbl of crude throughput - High Complexity Hydro Cracking and Coking</v>
      </c>
      <c r="K417" s="419"/>
      <c r="L417" s="419"/>
      <c r="M417" s="419"/>
      <c r="N417" s="419"/>
      <c r="O417" s="419"/>
      <c r="P417" s="420"/>
      <c r="Q417" s="2"/>
      <c r="R417" s="2"/>
      <c r="S417" s="2"/>
      <c r="T417" s="2"/>
      <c r="U417" s="2"/>
      <c r="V417" s="2"/>
      <c r="W417" s="2"/>
      <c r="X417" s="2"/>
      <c r="Y417" s="2"/>
    </row>
    <row r="418" spans="1:25" ht="39" x14ac:dyDescent="0.25">
      <c r="A418" s="2"/>
      <c r="B418" s="17">
        <f t="shared" si="32"/>
        <v>10</v>
      </c>
      <c r="C418" s="340" t="str">
        <f>Water_emissions!CW159</f>
        <v>w_CHLORINE</v>
      </c>
      <c r="D418" s="39" t="str">
        <f>"IF(NC=0;"&amp;C413&amp;";IF(NC=1;"&amp;C414&amp;";IF(NC=2;"&amp;C415&amp;";IF(NC=3;"&amp;C416&amp;";"&amp;C417&amp;"))))/"&amp;$C$27</f>
        <v>IF(NC=0;w_CHLORINE_L;IF(NC=1;w_CHLORINE_M;IF(NC=2;w_CHLORINE_HiH;IF(NC=3;w_CHLORINE_HiC;w_CHLORINE_HiB))))/Density_oil</v>
      </c>
      <c r="E418" s="68">
        <f>IF($E$24=0,E413,IF($E$24=1,E414,IF($E$24=2,E415,IF($E$24=3,E416,E417))))/$E$27</f>
        <v>8.5327268317520081E-8</v>
      </c>
      <c r="F418" s="342"/>
      <c r="G418" s="343"/>
      <c r="H418" s="344" t="s">
        <v>489</v>
      </c>
      <c r="I418" s="342" t="s">
        <v>2233</v>
      </c>
      <c r="J418" s="418" t="str">
        <f>Water_emissions!CY159</f>
        <v>[kg/bbl] kg of CHLORINE emissions to water per bbl of crude throughput</v>
      </c>
      <c r="K418" s="419"/>
      <c r="L418" s="419"/>
      <c r="M418" s="419"/>
      <c r="N418" s="419"/>
      <c r="O418" s="419"/>
      <c r="P418" s="420"/>
      <c r="Q418" s="2"/>
      <c r="R418" s="2"/>
      <c r="S418" s="2"/>
      <c r="T418" s="2"/>
      <c r="U418" s="2"/>
      <c r="V418" s="2"/>
      <c r="W418" s="2"/>
      <c r="X418" s="2"/>
      <c r="Y418" s="2"/>
    </row>
    <row r="419" spans="1:25" x14ac:dyDescent="0.25">
      <c r="A419" s="2"/>
      <c r="B419" s="17">
        <f t="shared" si="32"/>
        <v>13</v>
      </c>
      <c r="C419" s="340" t="str">
        <f>Water_emissions!CW160</f>
        <v>w_Chromiumh_L</v>
      </c>
      <c r="D419" s="341"/>
      <c r="E419" s="368">
        <f>HLOOKUP($C424,Water_emissions!$E$16:$CQ$32,3,FALSE)</f>
        <v>9.2522184936938059E-7</v>
      </c>
      <c r="F419" s="368">
        <f>HLOOKUP($C424,Water_emissions!$E$16:$CQ$32,8,FALSE)</f>
        <v>1.7367157294131241E-8</v>
      </c>
      <c r="G419" s="368">
        <f>HLOOKUP($C424,Water_emissions!$E$16:$CQ$32,13,FALSE)</f>
        <v>2.7309969440314915E-6</v>
      </c>
      <c r="H419" s="344" t="s">
        <v>1085</v>
      </c>
      <c r="I419" s="342" t="s">
        <v>2233</v>
      </c>
      <c r="J419" s="418" t="str">
        <f>Water_emissions!CY160</f>
        <v>[kg/bbl] kg of Chromium, hexavalent (as Cr) emissions to water per bbl of crude throughput - Low Complexity</v>
      </c>
      <c r="K419" s="419"/>
      <c r="L419" s="419"/>
      <c r="M419" s="419"/>
      <c r="N419" s="419"/>
      <c r="O419" s="419"/>
      <c r="P419" s="420"/>
      <c r="Q419" s="2"/>
      <c r="R419" s="2"/>
      <c r="S419" s="2"/>
      <c r="T419" s="2"/>
      <c r="U419" s="2"/>
      <c r="V419" s="2"/>
      <c r="W419" s="2"/>
      <c r="X419" s="2"/>
      <c r="Y419" s="2"/>
    </row>
    <row r="420" spans="1:25" x14ac:dyDescent="0.25">
      <c r="A420" s="2"/>
      <c r="B420" s="17">
        <f t="shared" si="32"/>
        <v>13</v>
      </c>
      <c r="C420" s="340" t="str">
        <f>Water_emissions!CW161</f>
        <v>w_Chromiumh_M</v>
      </c>
      <c r="D420" s="341"/>
      <c r="E420" s="368">
        <f>HLOOKUP($C424,Water_emissions!$E$16:$CQ$32,4,FALSE)</f>
        <v>1.9142719374985292E-8</v>
      </c>
      <c r="F420" s="368">
        <f>HLOOKUP($C424,Water_emissions!$E$16:$CQ$32,9,FALSE)</f>
        <v>0</v>
      </c>
      <c r="G420" s="368">
        <f>HLOOKUP($C424,Water_emissions!$E$16:$CQ$32,14,FALSE)</f>
        <v>6.0090954070482641E-8</v>
      </c>
      <c r="H420" s="344" t="s">
        <v>1085</v>
      </c>
      <c r="I420" s="342" t="s">
        <v>2233</v>
      </c>
      <c r="J420" s="418" t="str">
        <f>Water_emissions!CY161</f>
        <v>[kg/bbl] kg of Chromium, hexavalent (as Cr) emissions to water per bbl of crude throughput - Med Complexity</v>
      </c>
      <c r="K420" s="419"/>
      <c r="L420" s="419"/>
      <c r="M420" s="419"/>
      <c r="N420" s="419"/>
      <c r="O420" s="419"/>
      <c r="P420" s="420"/>
      <c r="Q420" s="2"/>
      <c r="R420" s="2"/>
      <c r="S420" s="2"/>
      <c r="T420" s="2"/>
      <c r="U420" s="2"/>
      <c r="V420" s="2"/>
      <c r="W420" s="2"/>
      <c r="X420" s="2"/>
      <c r="Y420" s="2"/>
    </row>
    <row r="421" spans="1:25" x14ac:dyDescent="0.25">
      <c r="A421" s="2"/>
      <c r="B421" s="17">
        <f t="shared" si="32"/>
        <v>15</v>
      </c>
      <c r="C421" s="340" t="str">
        <f>Water_emissions!CW162</f>
        <v>w_Chromiumh_HiH</v>
      </c>
      <c r="D421" s="341"/>
      <c r="E421" s="368">
        <f>HLOOKUP($C424,Water_emissions!$E$16:$CQ$32,5,FALSE)</f>
        <v>1.6829279089554333E-7</v>
      </c>
      <c r="F421" s="368">
        <f>HLOOKUP($C424,Water_emissions!$E$16:$CQ$32,10,FALSE)</f>
        <v>0</v>
      </c>
      <c r="G421" s="368">
        <f>HLOOKUP($C424,Water_emissions!$E$16:$CQ$32,15,FALSE)</f>
        <v>7.9449095469932192E-7</v>
      </c>
      <c r="H421" s="344" t="s">
        <v>1085</v>
      </c>
      <c r="I421" s="342" t="s">
        <v>2233</v>
      </c>
      <c r="J421" s="418" t="str">
        <f>Water_emissions!CY162</f>
        <v>[kg/bbl] kg of Chromium, hexavalent (as Cr) emissions to water per bbl of crude throughput - High Complexity Hydro Cracking</v>
      </c>
      <c r="K421" s="419"/>
      <c r="L421" s="419"/>
      <c r="M421" s="419"/>
      <c r="N421" s="419"/>
      <c r="O421" s="419"/>
      <c r="P421" s="420"/>
      <c r="Q421" s="2"/>
      <c r="R421" s="2"/>
      <c r="S421" s="2"/>
      <c r="T421" s="2"/>
      <c r="U421" s="2"/>
      <c r="V421" s="2"/>
      <c r="W421" s="2"/>
      <c r="X421" s="2"/>
      <c r="Y421" s="2"/>
    </row>
    <row r="422" spans="1:25" x14ac:dyDescent="0.25">
      <c r="A422" s="2"/>
      <c r="B422" s="17">
        <f t="shared" si="32"/>
        <v>15</v>
      </c>
      <c r="C422" s="340" t="str">
        <f>Water_emissions!CW163</f>
        <v>w_Chromiumh_HiC</v>
      </c>
      <c r="D422" s="341"/>
      <c r="E422" s="368">
        <f>HLOOKUP($C424,Water_emissions!$E$16:$CQ$32,6,FALSE)</f>
        <v>1.1830983978077867E-7</v>
      </c>
      <c r="F422" s="368">
        <f>HLOOKUP($C424,Water_emissions!$E$16:$CQ$32,11,FALSE)</f>
        <v>0</v>
      </c>
      <c r="G422" s="368">
        <f>HLOOKUP($C424,Water_emissions!$E$16:$CQ$32,16,FALSE)</f>
        <v>5.6199881419864946E-7</v>
      </c>
      <c r="H422" s="344" t="s">
        <v>1085</v>
      </c>
      <c r="I422" s="342" t="s">
        <v>2233</v>
      </c>
      <c r="J422" s="418" t="str">
        <f>Water_emissions!CY163</f>
        <v>[kg/bbl] kg of Chromium, hexavalent (as Cr) emissions to water per bbl of crude throughput - High Complexity Coking</v>
      </c>
      <c r="K422" s="419"/>
      <c r="L422" s="419"/>
      <c r="M422" s="419"/>
      <c r="N422" s="419"/>
      <c r="O422" s="419"/>
      <c r="P422" s="420"/>
      <c r="Q422" s="2"/>
      <c r="R422" s="2"/>
      <c r="S422" s="2"/>
      <c r="T422" s="2"/>
      <c r="U422" s="2"/>
      <c r="V422" s="2"/>
      <c r="W422" s="2"/>
      <c r="X422" s="2"/>
      <c r="Y422" s="2"/>
    </row>
    <row r="423" spans="1:25" x14ac:dyDescent="0.25">
      <c r="A423" s="2"/>
      <c r="B423" s="17">
        <f t="shared" si="32"/>
        <v>15</v>
      </c>
      <c r="C423" s="340" t="str">
        <f>Water_emissions!CW164</f>
        <v>w_Chromiumh_HiB</v>
      </c>
      <c r="D423" s="341"/>
      <c r="E423" s="368">
        <f>HLOOKUP($C424,Water_emissions!$E$16:$CQ$32,7,FALSE)</f>
        <v>7.5932454855894249E-8</v>
      </c>
      <c r="F423" s="368">
        <f>HLOOKUP($C424,Water_emissions!$E$16:$CQ$32,12,FALSE)</f>
        <v>0</v>
      </c>
      <c r="G423" s="368">
        <f>HLOOKUP($C424,Water_emissions!$E$16:$CQ$32,17,FALSE)</f>
        <v>3.2621131539019146E-7</v>
      </c>
      <c r="H423" s="344" t="s">
        <v>1085</v>
      </c>
      <c r="I423" s="342" t="s">
        <v>2233</v>
      </c>
      <c r="J423" s="418" t="str">
        <f>Water_emissions!CY164</f>
        <v>[kg/bbl] kg of Chromium, hexavalent (as Cr) emissions to water per bbl of crude throughput - High Complexity Hydro Cracking and Coking</v>
      </c>
      <c r="K423" s="419"/>
      <c r="L423" s="419"/>
      <c r="M423" s="419"/>
      <c r="N423" s="419"/>
      <c r="O423" s="419"/>
      <c r="P423" s="420"/>
      <c r="Q423" s="2"/>
      <c r="R423" s="2"/>
      <c r="S423" s="2"/>
      <c r="T423" s="2"/>
      <c r="U423" s="2"/>
      <c r="V423" s="2"/>
      <c r="W423" s="2"/>
      <c r="X423" s="2"/>
      <c r="Y423" s="2"/>
    </row>
    <row r="424" spans="1:25" ht="39" x14ac:dyDescent="0.25">
      <c r="A424" s="2"/>
      <c r="B424" s="17">
        <f t="shared" si="32"/>
        <v>11</v>
      </c>
      <c r="C424" s="340" t="str">
        <f>Water_emissions!CW165</f>
        <v>w_Chromiumh</v>
      </c>
      <c r="D424" s="39" t="str">
        <f>"IF(NC=0;"&amp;C419&amp;";IF(NC=1;"&amp;C420&amp;";IF(NC=2;"&amp;C421&amp;";IF(NC=3;"&amp;C422&amp;";"&amp;C423&amp;"))))/"&amp;$C$27</f>
        <v>IF(NC=0;w_Chromiumh_L;IF(NC=1;w_Chromiumh_M;IF(NC=2;w_Chromiumh_HiH;IF(NC=3;w_Chromiumh_HiC;w_Chromiumh_HiB))))/Density_oil</v>
      </c>
      <c r="E424" s="68">
        <f>IF($E$24=0,E419,IF($E$24=1,E420,IF($E$24=2,E421,IF($E$24=3,E422,E423))))/$E$27</f>
        <v>5.4750262393941914E-10</v>
      </c>
      <c r="F424" s="342"/>
      <c r="G424" s="343"/>
      <c r="H424" s="344" t="s">
        <v>489</v>
      </c>
      <c r="I424" s="342" t="s">
        <v>2233</v>
      </c>
      <c r="J424" s="418" t="str">
        <f>Water_emissions!CY165</f>
        <v>[kg/bbl] kg of Chromium, hexavalent (as Cr) emissions to water per bbl of crude throughput</v>
      </c>
      <c r="K424" s="419"/>
      <c r="L424" s="419"/>
      <c r="M424" s="419"/>
      <c r="N424" s="419"/>
      <c r="O424" s="419"/>
      <c r="P424" s="420"/>
      <c r="Q424" s="2"/>
      <c r="R424" s="2"/>
      <c r="S424" s="2"/>
      <c r="T424" s="2"/>
      <c r="U424" s="2"/>
      <c r="V424" s="2"/>
      <c r="W424" s="2"/>
      <c r="X424" s="2"/>
      <c r="Y424" s="2"/>
    </row>
    <row r="425" spans="1:25" x14ac:dyDescent="0.25">
      <c r="A425" s="2"/>
      <c r="B425" s="17">
        <f t="shared" si="32"/>
        <v>12</v>
      </c>
      <c r="C425" s="340" t="str">
        <f>Water_emissions!CW166</f>
        <v>w_Chrysene_L</v>
      </c>
      <c r="D425" s="341"/>
      <c r="E425" s="368">
        <f>HLOOKUP($C430,Water_emissions!$E$16:$CQ$32,3,FALSE)</f>
        <v>6.2000827686133422E-8</v>
      </c>
      <c r="F425" s="368">
        <f>HLOOKUP($C430,Water_emissions!$E$16:$CQ$32,8,FALSE)</f>
        <v>6.2000827686133422E-8</v>
      </c>
      <c r="G425" s="368">
        <f>HLOOKUP($C430,Water_emissions!$E$16:$CQ$32,13,FALSE)</f>
        <v>6.2000827686133422E-8</v>
      </c>
      <c r="H425" s="344" t="s">
        <v>1085</v>
      </c>
      <c r="I425" s="342" t="s">
        <v>2233</v>
      </c>
      <c r="J425" s="418" t="str">
        <f>Water_emissions!CY166</f>
        <v>[kg/bbl] kg of Chrysene emissions to water per bbl of crude throughput - Low Complexity</v>
      </c>
      <c r="K425" s="419"/>
      <c r="L425" s="419"/>
      <c r="M425" s="419"/>
      <c r="N425" s="419"/>
      <c r="O425" s="419"/>
      <c r="P425" s="420"/>
      <c r="Q425" s="2"/>
      <c r="R425" s="2"/>
      <c r="S425" s="2"/>
      <c r="T425" s="2"/>
      <c r="U425" s="2"/>
      <c r="V425" s="2"/>
      <c r="W425" s="2"/>
      <c r="X425" s="2"/>
      <c r="Y425" s="2"/>
    </row>
    <row r="426" spans="1:25" x14ac:dyDescent="0.25">
      <c r="A426" s="2"/>
      <c r="B426" s="17">
        <f t="shared" si="32"/>
        <v>12</v>
      </c>
      <c r="C426" s="340" t="str">
        <f>Water_emissions!CW167</f>
        <v>w_Chrysene_M</v>
      </c>
      <c r="D426" s="341"/>
      <c r="E426" s="368">
        <f>HLOOKUP($C430,Water_emissions!$E$16:$CQ$32,4,FALSE)</f>
        <v>6.2000827686133422E-8</v>
      </c>
      <c r="F426" s="368">
        <f>HLOOKUP($C430,Water_emissions!$E$16:$CQ$32,9,FALSE)</f>
        <v>6.2000827686133422E-8</v>
      </c>
      <c r="G426" s="368">
        <f>HLOOKUP($C430,Water_emissions!$E$16:$CQ$32,14,FALSE)</f>
        <v>6.2000827686133422E-8</v>
      </c>
      <c r="H426" s="344" t="s">
        <v>1085</v>
      </c>
      <c r="I426" s="342" t="s">
        <v>2233</v>
      </c>
      <c r="J426" s="418" t="str">
        <f>Water_emissions!CY167</f>
        <v>[kg/bbl] kg of Chrysene emissions to water per bbl of crude throughput - Med Complexity</v>
      </c>
      <c r="K426" s="419"/>
      <c r="L426" s="419"/>
      <c r="M426" s="419"/>
      <c r="N426" s="419"/>
      <c r="O426" s="419"/>
      <c r="P426" s="420"/>
      <c r="Q426" s="2"/>
      <c r="R426" s="2"/>
      <c r="S426" s="2"/>
      <c r="T426" s="2"/>
      <c r="U426" s="2"/>
      <c r="V426" s="2"/>
      <c r="W426" s="2"/>
      <c r="X426" s="2"/>
      <c r="Y426" s="2"/>
    </row>
    <row r="427" spans="1:25" x14ac:dyDescent="0.25">
      <c r="A427" s="2"/>
      <c r="B427" s="17">
        <f t="shared" si="32"/>
        <v>14</v>
      </c>
      <c r="C427" s="340" t="str">
        <f>Water_emissions!CW168</f>
        <v>w_Chrysene_HiH</v>
      </c>
      <c r="D427" s="341"/>
      <c r="E427" s="368">
        <f>HLOOKUP($C430,Water_emissions!$E$16:$CQ$32,5,FALSE)</f>
        <v>6.2000827686133422E-8</v>
      </c>
      <c r="F427" s="368">
        <f>HLOOKUP($C430,Water_emissions!$E$16:$CQ$32,10,FALSE)</f>
        <v>6.2000827686133422E-8</v>
      </c>
      <c r="G427" s="368">
        <f>HLOOKUP($C430,Water_emissions!$E$16:$CQ$32,15,FALSE)</f>
        <v>6.2000827686133422E-8</v>
      </c>
      <c r="H427" s="344" t="s">
        <v>1085</v>
      </c>
      <c r="I427" s="342" t="s">
        <v>2233</v>
      </c>
      <c r="J427" s="418" t="str">
        <f>Water_emissions!CY168</f>
        <v>[kg/bbl] kg of Chrysene emissions to water per bbl of crude throughput - High Complexity Hydro Cracking</v>
      </c>
      <c r="K427" s="419"/>
      <c r="L427" s="419"/>
      <c r="M427" s="419"/>
      <c r="N427" s="419"/>
      <c r="O427" s="419"/>
      <c r="P427" s="420"/>
      <c r="Q427" s="2"/>
      <c r="R427" s="2"/>
      <c r="S427" s="2"/>
      <c r="T427" s="2"/>
      <c r="U427" s="2"/>
      <c r="V427" s="2"/>
      <c r="W427" s="2"/>
      <c r="X427" s="2"/>
      <c r="Y427" s="2"/>
    </row>
    <row r="428" spans="1:25" x14ac:dyDescent="0.25">
      <c r="A428" s="2"/>
      <c r="B428" s="17">
        <f t="shared" si="32"/>
        <v>14</v>
      </c>
      <c r="C428" s="340" t="str">
        <f>Water_emissions!CW169</f>
        <v>w_Chrysene_HiC</v>
      </c>
      <c r="D428" s="341"/>
      <c r="E428" s="368">
        <f>HLOOKUP($C430,Water_emissions!$E$16:$CQ$32,6,FALSE)</f>
        <v>6.2000827686133422E-8</v>
      </c>
      <c r="F428" s="368">
        <f>HLOOKUP($C430,Water_emissions!$E$16:$CQ$32,11,FALSE)</f>
        <v>6.2000827686133422E-8</v>
      </c>
      <c r="G428" s="368">
        <f>HLOOKUP($C430,Water_emissions!$E$16:$CQ$32,16,FALSE)</f>
        <v>6.2000827686133422E-8</v>
      </c>
      <c r="H428" s="344" t="s">
        <v>1085</v>
      </c>
      <c r="I428" s="342" t="s">
        <v>2233</v>
      </c>
      <c r="J428" s="418" t="str">
        <f>Water_emissions!CY169</f>
        <v>[kg/bbl] kg of Chrysene emissions to water per bbl of crude throughput - High Complexity Coking</v>
      </c>
      <c r="K428" s="419"/>
      <c r="L428" s="419"/>
      <c r="M428" s="419"/>
      <c r="N428" s="419"/>
      <c r="O428" s="419"/>
      <c r="P428" s="420"/>
      <c r="Q428" s="2"/>
      <c r="R428" s="2"/>
      <c r="S428" s="2"/>
      <c r="T428" s="2"/>
      <c r="U428" s="2"/>
      <c r="V428" s="2"/>
      <c r="W428" s="2"/>
      <c r="X428" s="2"/>
      <c r="Y428" s="2"/>
    </row>
    <row r="429" spans="1:25" x14ac:dyDescent="0.25">
      <c r="A429" s="2"/>
      <c r="B429" s="17">
        <f t="shared" si="32"/>
        <v>14</v>
      </c>
      <c r="C429" s="340" t="str">
        <f>Water_emissions!CW170</f>
        <v>w_Chrysene_HiB</v>
      </c>
      <c r="D429" s="341"/>
      <c r="E429" s="368">
        <f>HLOOKUP($C430,Water_emissions!$E$16:$CQ$32,7,FALSE)</f>
        <v>6.2000827686133422E-8</v>
      </c>
      <c r="F429" s="368">
        <f>HLOOKUP($C430,Water_emissions!$E$16:$CQ$32,12,FALSE)</f>
        <v>6.2000827686133422E-8</v>
      </c>
      <c r="G429" s="368">
        <f>HLOOKUP($C430,Water_emissions!$E$16:$CQ$32,17,FALSE)</f>
        <v>6.2000827686133422E-8</v>
      </c>
      <c r="H429" s="344" t="s">
        <v>1085</v>
      </c>
      <c r="I429" s="342" t="s">
        <v>2233</v>
      </c>
      <c r="J429" s="418" t="str">
        <f>Water_emissions!CY170</f>
        <v>[kg/bbl] kg of Chrysene emissions to water per bbl of crude throughput - High Complexity Hydro Cracking and Coking</v>
      </c>
      <c r="K429" s="419"/>
      <c r="L429" s="419"/>
      <c r="M429" s="419"/>
      <c r="N429" s="419"/>
      <c r="O429" s="419"/>
      <c r="P429" s="420"/>
      <c r="Q429" s="2"/>
      <c r="R429" s="2"/>
      <c r="S429" s="2"/>
      <c r="T429" s="2"/>
      <c r="U429" s="2"/>
      <c r="V429" s="2"/>
      <c r="W429" s="2"/>
      <c r="X429" s="2"/>
      <c r="Y429" s="2"/>
    </row>
    <row r="430" spans="1:25" ht="26.25" x14ac:dyDescent="0.25">
      <c r="A430" s="2"/>
      <c r="B430" s="17">
        <f t="shared" si="32"/>
        <v>10</v>
      </c>
      <c r="C430" s="340" t="str">
        <f>Water_emissions!CW171</f>
        <v>w_Chrysene</v>
      </c>
      <c r="D430" s="39" t="str">
        <f>"IF(NC=0;"&amp;C425&amp;";IF(NC=1;"&amp;C426&amp;";IF(NC=2;"&amp;C427&amp;";IF(NC=3;"&amp;C428&amp;";"&amp;C429&amp;"))))/"&amp;$C$27</f>
        <v>IF(NC=0;w_Chrysene_L;IF(NC=1;w_Chrysene_M;IF(NC=2;w_Chrysene_HiH;IF(NC=3;w_Chrysene_HiC;w_Chrysene_HiB))))/Density_oil</v>
      </c>
      <c r="E430" s="68">
        <f>IF($E$24=0,E425,IF($E$24=1,E426,IF($E$24=2,E427,IF($E$24=3,E428,E429))))/$E$27</f>
        <v>4.4705015673464442E-10</v>
      </c>
      <c r="F430" s="342"/>
      <c r="G430" s="343"/>
      <c r="H430" s="344" t="s">
        <v>489</v>
      </c>
      <c r="I430" s="342" t="s">
        <v>2233</v>
      </c>
      <c r="J430" s="418" t="str">
        <f>Water_emissions!CY171</f>
        <v>[kg/bbl] kg of Chrysene emissions to water per bbl of crude throughput</v>
      </c>
      <c r="K430" s="419"/>
      <c r="L430" s="419"/>
      <c r="M430" s="419"/>
      <c r="N430" s="419"/>
      <c r="O430" s="419"/>
      <c r="P430" s="420"/>
      <c r="Q430" s="2"/>
      <c r="R430" s="2"/>
      <c r="S430" s="2"/>
      <c r="T430" s="2"/>
      <c r="U430" s="2"/>
      <c r="V430" s="2"/>
      <c r="W430" s="2"/>
      <c r="X430" s="2"/>
      <c r="Y430" s="2"/>
    </row>
    <row r="431" spans="1:25" x14ac:dyDescent="0.25">
      <c r="A431" s="2"/>
      <c r="B431" s="17">
        <f t="shared" si="32"/>
        <v>13</v>
      </c>
      <c r="C431" s="340" t="str">
        <f>Water_emissions!CW172</f>
        <v>w_Coppertot_L</v>
      </c>
      <c r="D431" s="341"/>
      <c r="E431" s="368">
        <f>HLOOKUP($C436,Water_emissions!$E$16:$CQ$32,3,FALSE)</f>
        <v>3.2563590731762235E-7</v>
      </c>
      <c r="F431" s="368">
        <f>HLOOKUP($C436,Water_emissions!$E$16:$CQ$32,8,FALSE)</f>
        <v>3.6117926893762606E-8</v>
      </c>
      <c r="G431" s="368">
        <f>HLOOKUP($C436,Water_emissions!$E$16:$CQ$32,13,FALSE)</f>
        <v>6.1515388774148212E-7</v>
      </c>
      <c r="H431" s="344" t="s">
        <v>1085</v>
      </c>
      <c r="I431" s="342" t="s">
        <v>2233</v>
      </c>
      <c r="J431" s="418" t="str">
        <f>Water_emissions!CY172</f>
        <v>[kg/bbl] kg of Copper, total (as Cu) emissions to water per bbl of crude throughput - Low Complexity</v>
      </c>
      <c r="K431" s="419"/>
      <c r="L431" s="419"/>
      <c r="M431" s="419"/>
      <c r="N431" s="419"/>
      <c r="O431" s="419"/>
      <c r="P431" s="420"/>
      <c r="Q431" s="2"/>
      <c r="R431" s="2"/>
      <c r="S431" s="2"/>
      <c r="T431" s="2"/>
      <c r="U431" s="2"/>
      <c r="V431" s="2"/>
      <c r="W431" s="2"/>
      <c r="X431" s="2"/>
      <c r="Y431" s="2"/>
    </row>
    <row r="432" spans="1:25" x14ac:dyDescent="0.25">
      <c r="A432" s="2"/>
      <c r="B432" s="17">
        <f t="shared" si="32"/>
        <v>13</v>
      </c>
      <c r="C432" s="340" t="str">
        <f>Water_emissions!CW173</f>
        <v>w_Coppertot_M</v>
      </c>
      <c r="D432" s="341"/>
      <c r="E432" s="368">
        <f>HLOOKUP($C436,Water_emissions!$E$16:$CQ$32,4,FALSE)</f>
        <v>7.824607730885721E-8</v>
      </c>
      <c r="F432" s="368">
        <f>HLOOKUP($C436,Water_emissions!$E$16:$CQ$32,9,FALSE)</f>
        <v>1.2612248429292409E-9</v>
      </c>
      <c r="G432" s="368">
        <f>HLOOKUP($C436,Water_emissions!$E$16:$CQ$32,14,FALSE)</f>
        <v>1.5523092977478517E-7</v>
      </c>
      <c r="H432" s="344" t="s">
        <v>1085</v>
      </c>
      <c r="I432" s="342" t="s">
        <v>2233</v>
      </c>
      <c r="J432" s="418" t="str">
        <f>Water_emissions!CY173</f>
        <v>[kg/bbl] kg of Copper, total (as Cu) emissions to water per bbl of crude throughput - Med Complexity</v>
      </c>
      <c r="K432" s="419"/>
      <c r="L432" s="419"/>
      <c r="M432" s="419"/>
      <c r="N432" s="419"/>
      <c r="O432" s="419"/>
      <c r="P432" s="420"/>
      <c r="Q432" s="2"/>
      <c r="R432" s="2"/>
      <c r="S432" s="2"/>
      <c r="T432" s="2"/>
      <c r="U432" s="2"/>
      <c r="V432" s="2"/>
      <c r="W432" s="2"/>
      <c r="X432" s="2"/>
      <c r="Y432" s="2"/>
    </row>
    <row r="433" spans="1:25" x14ac:dyDescent="0.25">
      <c r="A433" s="2"/>
      <c r="B433" s="17">
        <f t="shared" si="32"/>
        <v>15</v>
      </c>
      <c r="C433" s="340" t="str">
        <f>Water_emissions!CW174</f>
        <v>w_Coppertot_HiH</v>
      </c>
      <c r="D433" s="341"/>
      <c r="E433" s="368">
        <f>HLOOKUP($C436,Water_emissions!$E$16:$CQ$32,5,FALSE)</f>
        <v>3.6215433755366733E-7</v>
      </c>
      <c r="F433" s="368">
        <f>HLOOKUP($C436,Water_emissions!$E$16:$CQ$32,10,FALSE)</f>
        <v>8.7587114105886707E-8</v>
      </c>
      <c r="G433" s="368">
        <f>HLOOKUP($C436,Water_emissions!$E$16:$CQ$32,15,FALSE)</f>
        <v>6.3672156100144795E-7</v>
      </c>
      <c r="H433" s="344" t="s">
        <v>1085</v>
      </c>
      <c r="I433" s="342" t="s">
        <v>2233</v>
      </c>
      <c r="J433" s="418" t="str">
        <f>Water_emissions!CY174</f>
        <v>[kg/bbl] kg of Copper, total (as Cu) emissions to water per bbl of crude throughput - High Complexity Hydro Cracking</v>
      </c>
      <c r="K433" s="419"/>
      <c r="L433" s="419"/>
      <c r="M433" s="419"/>
      <c r="N433" s="419"/>
      <c r="O433" s="419"/>
      <c r="P433" s="420"/>
      <c r="Q433" s="2"/>
      <c r="R433" s="2"/>
      <c r="S433" s="2"/>
      <c r="T433" s="2"/>
      <c r="U433" s="2"/>
      <c r="V433" s="2"/>
      <c r="W433" s="2"/>
      <c r="X433" s="2"/>
      <c r="Y433" s="2"/>
    </row>
    <row r="434" spans="1:25" x14ac:dyDescent="0.25">
      <c r="A434" s="2"/>
      <c r="B434" s="17">
        <f t="shared" si="32"/>
        <v>15</v>
      </c>
      <c r="C434" s="340" t="str">
        <f>Water_emissions!CW175</f>
        <v>w_Coppertot_HiC</v>
      </c>
      <c r="D434" s="341"/>
      <c r="E434" s="368">
        <f>HLOOKUP($C436,Water_emissions!$E$16:$CQ$32,6,FALSE)</f>
        <v>4.2405681201119118E-6</v>
      </c>
      <c r="F434" s="368">
        <f>HLOOKUP($C436,Water_emissions!$E$16:$CQ$32,11,FALSE)</f>
        <v>9.8980753018467405E-8</v>
      </c>
      <c r="G434" s="368">
        <f>HLOOKUP($C436,Water_emissions!$E$16:$CQ$32,16,FALSE)</f>
        <v>8.3821554872053563E-6</v>
      </c>
      <c r="H434" s="344" t="s">
        <v>1085</v>
      </c>
      <c r="I434" s="342" t="s">
        <v>2233</v>
      </c>
      <c r="J434" s="418" t="str">
        <f>Water_emissions!CY175</f>
        <v>[kg/bbl] kg of Copper, total (as Cu) emissions to water per bbl of crude throughput - High Complexity Coking</v>
      </c>
      <c r="K434" s="419"/>
      <c r="L434" s="419"/>
      <c r="M434" s="419"/>
      <c r="N434" s="419"/>
      <c r="O434" s="419"/>
      <c r="P434" s="420"/>
      <c r="Q434" s="2"/>
      <c r="R434" s="2"/>
      <c r="S434" s="2"/>
      <c r="T434" s="2"/>
      <c r="U434" s="2"/>
      <c r="V434" s="2"/>
      <c r="W434" s="2"/>
      <c r="X434" s="2"/>
      <c r="Y434" s="2"/>
    </row>
    <row r="435" spans="1:25" x14ac:dyDescent="0.25">
      <c r="A435" s="2"/>
      <c r="B435" s="17">
        <f t="shared" si="32"/>
        <v>15</v>
      </c>
      <c r="C435" s="340" t="str">
        <f>Water_emissions!CW176</f>
        <v>w_Coppertot_HiB</v>
      </c>
      <c r="D435" s="341"/>
      <c r="E435" s="368">
        <f>HLOOKUP($C436,Water_emissions!$E$16:$CQ$32,7,FALSE)</f>
        <v>4.7449120088033031E-7</v>
      </c>
      <c r="F435" s="368">
        <f>HLOOKUP($C436,Water_emissions!$E$16:$CQ$32,12,FALSE)</f>
        <v>0</v>
      </c>
      <c r="G435" s="368">
        <f>HLOOKUP($C436,Water_emissions!$E$16:$CQ$32,17,FALSE)</f>
        <v>4.0015847114440317E-6</v>
      </c>
      <c r="H435" s="344" t="s">
        <v>1085</v>
      </c>
      <c r="I435" s="342" t="s">
        <v>2233</v>
      </c>
      <c r="J435" s="418" t="str">
        <f>Water_emissions!CY176</f>
        <v>[kg/bbl] kg of Copper, total (as Cu) emissions to water per bbl of crude throughput - High Complexity Hydro Cracking and Coking</v>
      </c>
      <c r="K435" s="419"/>
      <c r="L435" s="419"/>
      <c r="M435" s="419"/>
      <c r="N435" s="419"/>
      <c r="O435" s="419"/>
      <c r="P435" s="420"/>
      <c r="Q435" s="2"/>
      <c r="R435" s="2"/>
      <c r="S435" s="2"/>
      <c r="T435" s="2"/>
      <c r="U435" s="2"/>
      <c r="V435" s="2"/>
      <c r="W435" s="2"/>
      <c r="X435" s="2"/>
      <c r="Y435" s="2"/>
    </row>
    <row r="436" spans="1:25" ht="26.25" x14ac:dyDescent="0.25">
      <c r="A436" s="2"/>
      <c r="B436" s="17">
        <f t="shared" si="32"/>
        <v>11</v>
      </c>
      <c r="C436" s="340" t="str">
        <f>Water_emissions!CW177</f>
        <v>w_Coppertot</v>
      </c>
      <c r="D436" s="39" t="str">
        <f>"IF(NC=0;"&amp;C431&amp;";IF(NC=1;"&amp;C432&amp;";IF(NC=2;"&amp;C433&amp;";IF(NC=3;"&amp;C434&amp;";"&amp;C435&amp;"))))/"&amp;$C$27</f>
        <v>IF(NC=0;w_Coppertot_L;IF(NC=1;w_Coppertot_M;IF(NC=2;w_Coppertot_HiH;IF(NC=3;w_Coppertot_HiC;w_Coppertot_HiB))))/Density_oil</v>
      </c>
      <c r="E436" s="68">
        <f>IF($E$24=0,E431,IF($E$24=1,E432,IF($E$24=2,E433,IF($E$24=3,E434,E435))))/$E$27</f>
        <v>3.4212666772221586E-9</v>
      </c>
      <c r="F436" s="342"/>
      <c r="G436" s="343"/>
      <c r="H436" s="344" t="s">
        <v>489</v>
      </c>
      <c r="I436" s="342" t="s">
        <v>2233</v>
      </c>
      <c r="J436" s="418" t="str">
        <f>Water_emissions!CY177</f>
        <v>[kg/bbl] kg of Copper, total (as Cu) emissions to water per bbl of crude throughput</v>
      </c>
      <c r="K436" s="419"/>
      <c r="L436" s="419"/>
      <c r="M436" s="419"/>
      <c r="N436" s="419"/>
      <c r="O436" s="419"/>
      <c r="P436" s="420"/>
      <c r="Q436" s="2"/>
      <c r="R436" s="2"/>
      <c r="S436" s="2"/>
      <c r="T436" s="2"/>
      <c r="U436" s="2"/>
      <c r="V436" s="2"/>
      <c r="W436" s="2"/>
      <c r="X436" s="2"/>
      <c r="Y436" s="2"/>
    </row>
    <row r="437" spans="1:25" x14ac:dyDescent="0.25">
      <c r="A437" s="2"/>
      <c r="B437" s="17">
        <f t="shared" si="32"/>
        <v>11</v>
      </c>
      <c r="C437" s="340" t="str">
        <f>Water_emissions!CW178</f>
        <v>w_CRESOLS_L</v>
      </c>
      <c r="D437" s="341"/>
      <c r="E437" s="368">
        <f>HLOOKUP($C442,Water_emissions!$E$16:$CQ$32,3,FALSE)</f>
        <v>1.2311088470028866E-2</v>
      </c>
      <c r="F437" s="368">
        <f>HLOOKUP($C442,Water_emissions!$E$16:$CQ$32,8,FALSE)</f>
        <v>0</v>
      </c>
      <c r="G437" s="368">
        <f>HLOOKUP($C442,Water_emissions!$E$16:$CQ$32,13,FALSE)</f>
        <v>2.4622176940057732E-2</v>
      </c>
      <c r="H437" s="344" t="s">
        <v>1085</v>
      </c>
      <c r="I437" s="342" t="s">
        <v>2233</v>
      </c>
      <c r="J437" s="418" t="str">
        <f>Water_emissions!CY178</f>
        <v>[kg/bbl] kg of CRESOL(S) emissions to water per bbl of crude throughput - Low Complexity</v>
      </c>
      <c r="K437" s="419"/>
      <c r="L437" s="419"/>
      <c r="M437" s="419"/>
      <c r="N437" s="419"/>
      <c r="O437" s="419"/>
      <c r="P437" s="420"/>
      <c r="Q437" s="2"/>
      <c r="R437" s="2"/>
      <c r="S437" s="2"/>
      <c r="T437" s="2"/>
      <c r="U437" s="2"/>
      <c r="V437" s="2"/>
      <c r="W437" s="2"/>
      <c r="X437" s="2"/>
      <c r="Y437" s="2"/>
    </row>
    <row r="438" spans="1:25" x14ac:dyDescent="0.25">
      <c r="A438" s="2"/>
      <c r="B438" s="17">
        <f t="shared" si="32"/>
        <v>11</v>
      </c>
      <c r="C438" s="340" t="str">
        <f>Water_emissions!CW179</f>
        <v>w_CRESOLS_M</v>
      </c>
      <c r="D438" s="341"/>
      <c r="E438" s="368">
        <f>HLOOKUP($C442,Water_emissions!$E$16:$CQ$32,4,FALSE)</f>
        <v>8.2781456953642373E-3</v>
      </c>
      <c r="F438" s="368">
        <f>HLOOKUP($C442,Water_emissions!$E$16:$CQ$32,9,FALSE)</f>
        <v>0</v>
      </c>
      <c r="G438" s="368">
        <f>HLOOKUP($C442,Water_emissions!$E$16:$CQ$32,14,FALSE)</f>
        <v>3.3112582781456949E-2</v>
      </c>
      <c r="H438" s="344" t="s">
        <v>1085</v>
      </c>
      <c r="I438" s="342" t="s">
        <v>2233</v>
      </c>
      <c r="J438" s="418" t="str">
        <f>Water_emissions!CY179</f>
        <v>[kg/bbl] kg of CRESOL(S) emissions to water per bbl of crude throughput - Med Complexity</v>
      </c>
      <c r="K438" s="419"/>
      <c r="L438" s="419"/>
      <c r="M438" s="419"/>
      <c r="N438" s="419"/>
      <c r="O438" s="419"/>
      <c r="P438" s="420"/>
      <c r="Q438" s="2"/>
      <c r="R438" s="2"/>
      <c r="S438" s="2"/>
      <c r="T438" s="2"/>
      <c r="U438" s="2"/>
      <c r="V438" s="2"/>
      <c r="W438" s="2"/>
      <c r="X438" s="2"/>
      <c r="Y438" s="2"/>
    </row>
    <row r="439" spans="1:25" x14ac:dyDescent="0.25">
      <c r="A439" s="2"/>
      <c r="B439" s="17">
        <f t="shared" si="32"/>
        <v>13</v>
      </c>
      <c r="C439" s="340" t="str">
        <f>Water_emissions!CW180</f>
        <v>w_CRESOLS_HiH</v>
      </c>
      <c r="D439" s="341"/>
      <c r="E439" s="368">
        <f>HLOOKUP($C442,Water_emissions!$E$16:$CQ$32,5,FALSE)</f>
        <v>0.61981273436174578</v>
      </c>
      <c r="F439" s="368">
        <f>HLOOKUP($C442,Water_emissions!$E$16:$CQ$32,10,FALSE)</f>
        <v>0.46939990876632992</v>
      </c>
      <c r="G439" s="368">
        <f>HLOOKUP($C442,Water_emissions!$E$16:$CQ$32,15,FALSE)</f>
        <v>0.77022555995716169</v>
      </c>
      <c r="H439" s="344" t="s">
        <v>1085</v>
      </c>
      <c r="I439" s="342" t="s">
        <v>2233</v>
      </c>
      <c r="J439" s="418" t="str">
        <f>Water_emissions!CY180</f>
        <v>[kg/bbl] kg of CRESOL(S) emissions to water per bbl of crude throughput - High Complexity Hydro Cracking</v>
      </c>
      <c r="K439" s="419"/>
      <c r="L439" s="419"/>
      <c r="M439" s="419"/>
      <c r="N439" s="419"/>
      <c r="O439" s="419"/>
      <c r="P439" s="420"/>
      <c r="Q439" s="2"/>
      <c r="R439" s="2"/>
      <c r="S439" s="2"/>
      <c r="T439" s="2"/>
      <c r="U439" s="2"/>
      <c r="V439" s="2"/>
      <c r="W439" s="2"/>
      <c r="X439" s="2"/>
      <c r="Y439" s="2"/>
    </row>
    <row r="440" spans="1:25" x14ac:dyDescent="0.25">
      <c r="A440" s="2"/>
      <c r="B440" s="17">
        <f t="shared" si="32"/>
        <v>13</v>
      </c>
      <c r="C440" s="340" t="str">
        <f>Water_emissions!CW181</f>
        <v>w_CRESOLS_HiC</v>
      </c>
      <c r="D440" s="341"/>
      <c r="E440" s="368">
        <f>HLOOKUP($C442,Water_emissions!$E$16:$CQ$32,6,FALSE)</f>
        <v>3.0321640784059974E-2</v>
      </c>
      <c r="F440" s="368">
        <f>HLOOKUP($C442,Water_emissions!$E$16:$CQ$32,11,FALSE)</f>
        <v>0</v>
      </c>
      <c r="G440" s="368">
        <f>HLOOKUP($C442,Water_emissions!$E$16:$CQ$32,16,FALSE)</f>
        <v>0.13440418911909505</v>
      </c>
      <c r="H440" s="344" t="s">
        <v>1085</v>
      </c>
      <c r="I440" s="342" t="s">
        <v>2233</v>
      </c>
      <c r="J440" s="418" t="str">
        <f>Water_emissions!CY181</f>
        <v>[kg/bbl] kg of CRESOL(S) emissions to water per bbl of crude throughput - High Complexity Coking</v>
      </c>
      <c r="K440" s="419"/>
      <c r="L440" s="419"/>
      <c r="M440" s="419"/>
      <c r="N440" s="419"/>
      <c r="O440" s="419"/>
      <c r="P440" s="420"/>
      <c r="Q440" s="2"/>
      <c r="R440" s="2"/>
      <c r="S440" s="2"/>
      <c r="T440" s="2"/>
      <c r="U440" s="2"/>
      <c r="V440" s="2"/>
      <c r="W440" s="2"/>
      <c r="X440" s="2"/>
      <c r="Y440" s="2"/>
    </row>
    <row r="441" spans="1:25" x14ac:dyDescent="0.25">
      <c r="A441" s="2"/>
      <c r="B441" s="17">
        <f t="shared" si="32"/>
        <v>13</v>
      </c>
      <c r="C441" s="340" t="str">
        <f>Water_emissions!CW182</f>
        <v>w_CRESOLS_HiB</v>
      </c>
      <c r="D441" s="341"/>
      <c r="E441" s="368">
        <f>HLOOKUP($C442,Water_emissions!$E$16:$CQ$32,7,FALSE)</f>
        <v>2.4117080206093929E-2</v>
      </c>
      <c r="F441" s="368">
        <f>HLOOKUP($C442,Water_emissions!$E$16:$CQ$32,12,FALSE)</f>
        <v>0</v>
      </c>
      <c r="G441" s="368">
        <f>HLOOKUP($C442,Water_emissions!$E$16:$CQ$32,17,FALSE)</f>
        <v>9.505348152518181E-2</v>
      </c>
      <c r="H441" s="344" t="s">
        <v>1085</v>
      </c>
      <c r="I441" s="342" t="s">
        <v>2233</v>
      </c>
      <c r="J441" s="418" t="str">
        <f>Water_emissions!CY182</f>
        <v>[kg/bbl] kg of CRESOL(S) emissions to water per bbl of crude throughput - High Complexity Hydro Cracking and Coking</v>
      </c>
      <c r="K441" s="419"/>
      <c r="L441" s="419"/>
      <c r="M441" s="419"/>
      <c r="N441" s="419"/>
      <c r="O441" s="419"/>
      <c r="P441" s="420"/>
      <c r="Q441" s="2"/>
      <c r="R441" s="2"/>
      <c r="S441" s="2"/>
      <c r="T441" s="2"/>
      <c r="U441" s="2"/>
      <c r="V441" s="2"/>
      <c r="W441" s="2"/>
      <c r="X441" s="2"/>
      <c r="Y441" s="2"/>
    </row>
    <row r="442" spans="1:25" ht="39" x14ac:dyDescent="0.25">
      <c r="A442" s="2"/>
      <c r="B442" s="17">
        <f t="shared" si="32"/>
        <v>9</v>
      </c>
      <c r="C442" s="340" t="str">
        <f>Water_emissions!CW183</f>
        <v>w_CRESOLS</v>
      </c>
      <c r="D442" s="39" t="str">
        <f>"IF(NC=0;"&amp;C437&amp;";IF(NC=1;"&amp;C438&amp;";IF(NC=2;"&amp;C439&amp;";IF(NC=3;"&amp;C440&amp;";"&amp;C441&amp;"))))/"&amp;$C$27</f>
        <v>IF(NC=0;w_CRESOLS_L;IF(NC=1;w_CRESOLS_M;IF(NC=2;w_CRESOLS_HiH;IF(NC=3;w_CRESOLS_HiC;w_CRESOLS_HiB))))/Density_oil</v>
      </c>
      <c r="E442" s="68">
        <f>IF($E$24=0,E437,IF($E$24=1,E438,IF($E$24=2,E439,IF($E$24=3,E440,E441))))/$E$27</f>
        <v>1.7389355736822831E-4</v>
      </c>
      <c r="F442" s="342"/>
      <c r="G442" s="343"/>
      <c r="H442" s="344" t="s">
        <v>489</v>
      </c>
      <c r="I442" s="342" t="s">
        <v>2233</v>
      </c>
      <c r="J442" s="418" t="str">
        <f>Water_emissions!CY183</f>
        <v>[kg/bbl] kg of CRESOL(S) emissions to water per bbl of crude throughput</v>
      </c>
      <c r="K442" s="419"/>
      <c r="L442" s="419"/>
      <c r="M442" s="419"/>
      <c r="N442" s="419"/>
      <c r="O442" s="419"/>
      <c r="P442" s="420"/>
      <c r="Q442" s="2"/>
      <c r="R442" s="2"/>
      <c r="S442" s="2"/>
      <c r="T442" s="2"/>
      <c r="U442" s="2"/>
      <c r="V442" s="2"/>
      <c r="W442" s="2"/>
      <c r="X442" s="2"/>
      <c r="Y442" s="2"/>
    </row>
    <row r="443" spans="1:25" x14ac:dyDescent="0.25">
      <c r="A443" s="2"/>
      <c r="B443" s="17">
        <f t="shared" si="32"/>
        <v>13</v>
      </c>
      <c r="C443" s="340" t="str">
        <f>Water_emissions!CW184</f>
        <v>w_Cyanideto_L</v>
      </c>
      <c r="D443" s="341"/>
      <c r="E443" s="368">
        <f>HLOOKUP($C448,Water_emissions!$E$16:$CQ$32,3,FALSE)</f>
        <v>1.2833531135853043E-6</v>
      </c>
      <c r="F443" s="368">
        <f>HLOOKUP($C448,Water_emissions!$E$16:$CQ$32,8,FALSE)</f>
        <v>0</v>
      </c>
      <c r="G443" s="368">
        <f>HLOOKUP($C448,Water_emissions!$E$16:$CQ$32,13,FALSE)</f>
        <v>3.8651942848495443E-6</v>
      </c>
      <c r="H443" s="344" t="s">
        <v>1085</v>
      </c>
      <c r="I443" s="342" t="s">
        <v>2233</v>
      </c>
      <c r="J443" s="418" t="str">
        <f>Water_emissions!CY184</f>
        <v>[kg/bbl] kg of Cyanide, total (as CN) emissions to water per bbl of crude throughput - Low Complexity</v>
      </c>
      <c r="K443" s="419"/>
      <c r="L443" s="419"/>
      <c r="M443" s="419"/>
      <c r="N443" s="419"/>
      <c r="O443" s="419"/>
      <c r="P443" s="420"/>
      <c r="Q443" s="2"/>
      <c r="R443" s="2"/>
      <c r="S443" s="2"/>
      <c r="T443" s="2"/>
      <c r="U443" s="2"/>
      <c r="V443" s="2"/>
      <c r="W443" s="2"/>
      <c r="X443" s="2"/>
      <c r="Y443" s="2"/>
    </row>
    <row r="444" spans="1:25" x14ac:dyDescent="0.25">
      <c r="A444" s="2"/>
      <c r="B444" s="17">
        <f t="shared" si="32"/>
        <v>13</v>
      </c>
      <c r="C444" s="340" t="str">
        <f>Water_emissions!CW185</f>
        <v>w_Cyanideto_M</v>
      </c>
      <c r="D444" s="341"/>
      <c r="E444" s="368">
        <f>HLOOKUP($C448,Water_emissions!$E$16:$CQ$32,4,FALSE)</f>
        <v>1.2833531135853043E-6</v>
      </c>
      <c r="F444" s="368">
        <f>HLOOKUP($C448,Water_emissions!$E$16:$CQ$32,9,FALSE)</f>
        <v>0</v>
      </c>
      <c r="G444" s="368">
        <f>HLOOKUP($C448,Water_emissions!$E$16:$CQ$32,14,FALSE)</f>
        <v>3.8651942848495443E-6</v>
      </c>
      <c r="H444" s="344" t="s">
        <v>1085</v>
      </c>
      <c r="I444" s="342" t="s">
        <v>2233</v>
      </c>
      <c r="J444" s="418" t="str">
        <f>Water_emissions!CY185</f>
        <v>[kg/bbl] kg of Cyanide, total (as CN) emissions to water per bbl of crude throughput - Med Complexity</v>
      </c>
      <c r="K444" s="419"/>
      <c r="L444" s="419"/>
      <c r="M444" s="419"/>
      <c r="N444" s="419"/>
      <c r="O444" s="419"/>
      <c r="P444" s="420"/>
      <c r="Q444" s="2"/>
      <c r="R444" s="2"/>
      <c r="S444" s="2"/>
      <c r="T444" s="2"/>
      <c r="U444" s="2"/>
      <c r="V444" s="2"/>
      <c r="W444" s="2"/>
      <c r="X444" s="2"/>
      <c r="Y444" s="2"/>
    </row>
    <row r="445" spans="1:25" x14ac:dyDescent="0.25">
      <c r="A445" s="2"/>
      <c r="B445" s="17">
        <f t="shared" si="32"/>
        <v>15</v>
      </c>
      <c r="C445" s="340" t="str">
        <f>Water_emissions!CW186</f>
        <v>w_Cyanideto_HiH</v>
      </c>
      <c r="D445" s="341"/>
      <c r="E445" s="368">
        <f>HLOOKUP($C448,Water_emissions!$E$16:$CQ$32,5,FALSE)</f>
        <v>2.0691439290748301E-6</v>
      </c>
      <c r="F445" s="368">
        <f>HLOOKUP($C448,Water_emissions!$E$16:$CQ$32,10,FALSE)</f>
        <v>5.8612844615410329E-7</v>
      </c>
      <c r="G445" s="368">
        <f>HLOOKUP($C448,Water_emissions!$E$16:$CQ$32,15,FALSE)</f>
        <v>3.5521594119955571E-6</v>
      </c>
      <c r="H445" s="344" t="s">
        <v>1085</v>
      </c>
      <c r="I445" s="342" t="s">
        <v>2233</v>
      </c>
      <c r="J445" s="418" t="str">
        <f>Water_emissions!CY186</f>
        <v>[kg/bbl] kg of Cyanide, total (as CN) emissions to water per bbl of crude throughput - High Complexity Hydro Cracking</v>
      </c>
      <c r="K445" s="419"/>
      <c r="L445" s="419"/>
      <c r="M445" s="419"/>
      <c r="N445" s="419"/>
      <c r="O445" s="419"/>
      <c r="P445" s="420"/>
      <c r="Q445" s="2"/>
      <c r="R445" s="2"/>
      <c r="S445" s="2"/>
      <c r="T445" s="2"/>
      <c r="U445" s="2"/>
      <c r="V445" s="2"/>
      <c r="W445" s="2"/>
      <c r="X445" s="2"/>
      <c r="Y445" s="2"/>
    </row>
    <row r="446" spans="1:25" x14ac:dyDescent="0.25">
      <c r="A446" s="2"/>
      <c r="B446" s="17">
        <f t="shared" si="32"/>
        <v>15</v>
      </c>
      <c r="C446" s="340" t="str">
        <f>Water_emissions!CW187</f>
        <v>w_Cyanideto_HiC</v>
      </c>
      <c r="D446" s="341"/>
      <c r="E446" s="368">
        <f>HLOOKUP($C448,Water_emissions!$E$16:$CQ$32,6,FALSE)</f>
        <v>7.1794577169290308E-7</v>
      </c>
      <c r="F446" s="368">
        <f>HLOOKUP($C448,Water_emissions!$E$16:$CQ$32,11,FALSE)</f>
        <v>9.8089499121094169E-8</v>
      </c>
      <c r="G446" s="368">
        <f>HLOOKUP($C448,Water_emissions!$E$16:$CQ$32,16,FALSE)</f>
        <v>1.2029720164531312E-6</v>
      </c>
      <c r="H446" s="344" t="s">
        <v>1085</v>
      </c>
      <c r="I446" s="342" t="s">
        <v>2233</v>
      </c>
      <c r="J446" s="418" t="str">
        <f>Water_emissions!CY187</f>
        <v>[kg/bbl] kg of Cyanide, total (as CN) emissions to water per bbl of crude throughput - High Complexity Coking</v>
      </c>
      <c r="K446" s="419"/>
      <c r="L446" s="419"/>
      <c r="M446" s="419"/>
      <c r="N446" s="419"/>
      <c r="O446" s="419"/>
      <c r="P446" s="420"/>
      <c r="Q446" s="2"/>
      <c r="R446" s="2"/>
      <c r="S446" s="2"/>
      <c r="T446" s="2"/>
      <c r="U446" s="2"/>
      <c r="V446" s="2"/>
      <c r="W446" s="2"/>
      <c r="X446" s="2"/>
      <c r="Y446" s="2"/>
    </row>
    <row r="447" spans="1:25" x14ac:dyDescent="0.25">
      <c r="A447" s="2"/>
      <c r="B447" s="17">
        <f t="shared" si="32"/>
        <v>15</v>
      </c>
      <c r="C447" s="340" t="str">
        <f>Water_emissions!CW188</f>
        <v>w_Cyanideto_HiB</v>
      </c>
      <c r="D447" s="341"/>
      <c r="E447" s="368">
        <f>HLOOKUP($C448,Water_emissions!$E$16:$CQ$32,7,FALSE)</f>
        <v>1.3082811925249345E-6</v>
      </c>
      <c r="F447" s="368">
        <f>HLOOKUP($C448,Water_emissions!$E$16:$CQ$32,12,FALSE)</f>
        <v>0</v>
      </c>
      <c r="G447" s="368">
        <f>HLOOKUP($C448,Water_emissions!$E$16:$CQ$32,17,FALSE)</f>
        <v>3.8651942848495443E-6</v>
      </c>
      <c r="H447" s="344" t="s">
        <v>1085</v>
      </c>
      <c r="I447" s="342" t="s">
        <v>2233</v>
      </c>
      <c r="J447" s="418" t="str">
        <f>Water_emissions!CY188</f>
        <v>[kg/bbl] kg of Cyanide, total (as CN) emissions to water per bbl of crude throughput - High Complexity Hydro Cracking and Coking</v>
      </c>
      <c r="K447" s="419"/>
      <c r="L447" s="419"/>
      <c r="M447" s="419"/>
      <c r="N447" s="419"/>
      <c r="O447" s="419"/>
      <c r="P447" s="420"/>
      <c r="Q447" s="2"/>
      <c r="R447" s="2"/>
      <c r="S447" s="2"/>
      <c r="T447" s="2"/>
      <c r="U447" s="2"/>
      <c r="V447" s="2"/>
      <c r="W447" s="2"/>
      <c r="X447" s="2"/>
      <c r="Y447" s="2"/>
    </row>
    <row r="448" spans="1:25" ht="26.25" x14ac:dyDescent="0.25">
      <c r="A448" s="2"/>
      <c r="B448" s="17">
        <f t="shared" si="32"/>
        <v>11</v>
      </c>
      <c r="C448" s="340" t="str">
        <f>Water_emissions!CW189</f>
        <v>w_Cyanideto</v>
      </c>
      <c r="D448" s="39" t="str">
        <f>"IF(NC=0;"&amp;C443&amp;";IF(NC=1;"&amp;C444&amp;";IF(NC=2;"&amp;C445&amp;";IF(NC=3;"&amp;C446&amp;";"&amp;C447&amp;"))))"</f>
        <v>IF(NC=0;w_Cyanideto_L;IF(NC=1;w_Cyanideto_M;IF(NC=2;w_Cyanideto_HiH;IF(NC=3;w_Cyanideto_HiC;w_Cyanideto_HiB))))</v>
      </c>
      <c r="E448" s="68">
        <f>IF($E$24=0,E443,IF($E$24=1,E444,IF($E$24=2,E445,IF($E$24=3,E446,E447))))/$E$27</f>
        <v>9.4332178133497065E-9</v>
      </c>
      <c r="F448" s="342"/>
      <c r="G448" s="343"/>
      <c r="H448" s="344" t="s">
        <v>489</v>
      </c>
      <c r="I448" s="342" t="s">
        <v>2233</v>
      </c>
      <c r="J448" s="418" t="str">
        <f>Water_emissions!CY189</f>
        <v>[kg/bbl] kg of Cyanide, total (as CN) emissions to water per bbl of crude throughput</v>
      </c>
      <c r="K448" s="419"/>
      <c r="L448" s="419"/>
      <c r="M448" s="419"/>
      <c r="N448" s="419"/>
      <c r="O448" s="419"/>
      <c r="P448" s="420"/>
      <c r="Q448" s="2"/>
      <c r="R448" s="2"/>
      <c r="S448" s="2"/>
      <c r="T448" s="2"/>
      <c r="U448" s="2"/>
      <c r="V448" s="2"/>
      <c r="W448" s="2"/>
      <c r="X448" s="2"/>
      <c r="Y448" s="2"/>
    </row>
    <row r="449" spans="1:25" x14ac:dyDescent="0.25">
      <c r="A449" s="2"/>
      <c r="B449" s="17">
        <f t="shared" si="32"/>
        <v>13</v>
      </c>
      <c r="C449" s="340" t="str">
        <f>Water_emissions!CW190</f>
        <v>w_CYCLOHEXA_L</v>
      </c>
      <c r="D449" s="341"/>
      <c r="E449" s="368">
        <f>HLOOKUP($C454,Water_emissions!$E$16:$CQ$32,3,FALSE)</f>
        <v>2.641794712954512E-4</v>
      </c>
      <c r="F449" s="368">
        <f>HLOOKUP($C454,Water_emissions!$E$16:$CQ$32,8,FALSE)</f>
        <v>0</v>
      </c>
      <c r="G449" s="368">
        <f>HLOOKUP($C454,Water_emissions!$E$16:$CQ$32,13,FALSE)</f>
        <v>1.8492562990681583E-3</v>
      </c>
      <c r="H449" s="344" t="s">
        <v>1085</v>
      </c>
      <c r="I449" s="342" t="s">
        <v>2233</v>
      </c>
      <c r="J449" s="418" t="str">
        <f>Water_emissions!CY190</f>
        <v>[kg/bbl] kg of CYCLOHEXANE emissions to water per bbl of crude throughput - Low Complexity</v>
      </c>
      <c r="K449" s="419"/>
      <c r="L449" s="419"/>
      <c r="M449" s="419"/>
      <c r="N449" s="419"/>
      <c r="O449" s="419"/>
      <c r="P449" s="420"/>
      <c r="Q449" s="2"/>
      <c r="R449" s="2"/>
      <c r="S449" s="2"/>
      <c r="T449" s="2"/>
      <c r="U449" s="2"/>
      <c r="V449" s="2"/>
      <c r="W449" s="2"/>
      <c r="X449" s="2"/>
      <c r="Y449" s="2"/>
    </row>
    <row r="450" spans="1:25" x14ac:dyDescent="0.25">
      <c r="A450" s="2"/>
      <c r="B450" s="17">
        <f t="shared" si="32"/>
        <v>13</v>
      </c>
      <c r="C450" s="340" t="str">
        <f>Water_emissions!CW191</f>
        <v>w_CYCLOHEXA_M</v>
      </c>
      <c r="D450" s="341"/>
      <c r="E450" s="368">
        <f>HLOOKUP($C454,Water_emissions!$E$16:$CQ$32,4,FALSE)</f>
        <v>2.6583445810165258E-2</v>
      </c>
      <c r="F450" s="368">
        <f>HLOOKUP($C454,Water_emissions!$E$16:$CQ$32,9,FALSE)</f>
        <v>0</v>
      </c>
      <c r="G450" s="368">
        <f>HLOOKUP($C454,Water_emissions!$E$16:$CQ$32,14,FALSE)</f>
        <v>0.27304228680361803</v>
      </c>
      <c r="H450" s="344" t="s">
        <v>1085</v>
      </c>
      <c r="I450" s="342" t="s">
        <v>2233</v>
      </c>
      <c r="J450" s="418" t="str">
        <f>Water_emissions!CY191</f>
        <v>[kg/bbl] kg of CYCLOHEXANE emissions to water per bbl of crude throughput - Med Complexity</v>
      </c>
      <c r="K450" s="419"/>
      <c r="L450" s="419"/>
      <c r="M450" s="419"/>
      <c r="N450" s="419"/>
      <c r="O450" s="419"/>
      <c r="P450" s="420"/>
      <c r="Q450" s="2"/>
      <c r="R450" s="2"/>
      <c r="S450" s="2"/>
      <c r="T450" s="2"/>
      <c r="U450" s="2"/>
      <c r="V450" s="2"/>
      <c r="W450" s="2"/>
      <c r="X450" s="2"/>
      <c r="Y450" s="2"/>
    </row>
    <row r="451" spans="1:25" x14ac:dyDescent="0.25">
      <c r="A451" s="2"/>
      <c r="B451" s="17">
        <f t="shared" si="32"/>
        <v>15</v>
      </c>
      <c r="C451" s="340" t="str">
        <f>Water_emissions!CW192</f>
        <v>w_CYCLOHEXA_HiH</v>
      </c>
      <c r="D451" s="341"/>
      <c r="E451" s="368">
        <f>HLOOKUP($C454,Water_emissions!$E$16:$CQ$32,5,FALSE)</f>
        <v>8.2357828308421022E-3</v>
      </c>
      <c r="F451" s="368">
        <f>HLOOKUP($C454,Water_emissions!$E$16:$CQ$32,10,FALSE)</f>
        <v>6.5194431773101381E-4</v>
      </c>
      <c r="G451" s="368">
        <f>HLOOKUP($C454,Water_emissions!$E$16:$CQ$32,15,FALSE)</f>
        <v>1.8598234779199765E-2</v>
      </c>
      <c r="H451" s="344" t="s">
        <v>1085</v>
      </c>
      <c r="I451" s="342" t="s">
        <v>2233</v>
      </c>
      <c r="J451" s="418" t="str">
        <f>Water_emissions!CY192</f>
        <v>[kg/bbl] kg of CYCLOHEXANE emissions to water per bbl of crude throughput - High Complexity Hydro Cracking</v>
      </c>
      <c r="K451" s="419"/>
      <c r="L451" s="419"/>
      <c r="M451" s="419"/>
      <c r="N451" s="419"/>
      <c r="O451" s="419"/>
      <c r="P451" s="420"/>
      <c r="Q451" s="2"/>
      <c r="R451" s="2"/>
      <c r="S451" s="2"/>
      <c r="T451" s="2"/>
      <c r="U451" s="2"/>
      <c r="V451" s="2"/>
      <c r="W451" s="2"/>
      <c r="X451" s="2"/>
      <c r="Y451" s="2"/>
    </row>
    <row r="452" spans="1:25" x14ac:dyDescent="0.25">
      <c r="A452" s="2"/>
      <c r="B452" s="17">
        <f t="shared" si="32"/>
        <v>15</v>
      </c>
      <c r="C452" s="340" t="str">
        <f>Water_emissions!CW193</f>
        <v>w_CYCLOHEXA_HiC</v>
      </c>
      <c r="D452" s="341"/>
      <c r="E452" s="368">
        <f>HLOOKUP($C454,Water_emissions!$E$16:$CQ$32,6,FALSE)</f>
        <v>3.2096944678732836E-2</v>
      </c>
      <c r="F452" s="368">
        <f>HLOOKUP($C454,Water_emissions!$E$16:$CQ$32,11,FALSE)</f>
        <v>0</v>
      </c>
      <c r="G452" s="368">
        <f>HLOOKUP($C454,Water_emissions!$E$16:$CQ$32,16,FALSE)</f>
        <v>0.16801569781702233</v>
      </c>
      <c r="H452" s="344" t="s">
        <v>1085</v>
      </c>
      <c r="I452" s="342" t="s">
        <v>2233</v>
      </c>
      <c r="J452" s="418" t="str">
        <f>Water_emissions!CY193</f>
        <v>[kg/bbl] kg of CYCLOHEXANE emissions to water per bbl of crude throughput - High Complexity Coking</v>
      </c>
      <c r="K452" s="419"/>
      <c r="L452" s="419"/>
      <c r="M452" s="419"/>
      <c r="N452" s="419"/>
      <c r="O452" s="419"/>
      <c r="P452" s="420"/>
      <c r="Q452" s="2"/>
      <c r="R452" s="2"/>
      <c r="S452" s="2"/>
      <c r="T452" s="2"/>
      <c r="U452" s="2"/>
      <c r="V452" s="2"/>
      <c r="W452" s="2"/>
      <c r="X452" s="2"/>
      <c r="Y452" s="2"/>
    </row>
    <row r="453" spans="1:25" x14ac:dyDescent="0.25">
      <c r="A453" s="2"/>
      <c r="B453" s="17">
        <f t="shared" si="32"/>
        <v>15</v>
      </c>
      <c r="C453" s="340" t="str">
        <f>Water_emissions!CW194</f>
        <v>w_CYCLOHEXA_HiB</v>
      </c>
      <c r="D453" s="341"/>
      <c r="E453" s="368">
        <f>HLOOKUP($C454,Water_emissions!$E$16:$CQ$32,7,FALSE)</f>
        <v>3.9577678444469855E-3</v>
      </c>
      <c r="F453" s="368">
        <f>HLOOKUP($C454,Water_emissions!$E$16:$CQ$32,12,FALSE)</f>
        <v>0</v>
      </c>
      <c r="G453" s="368">
        <f>HLOOKUP($C454,Water_emissions!$E$16:$CQ$32,17,FALSE)</f>
        <v>2.7235908672468275E-2</v>
      </c>
      <c r="H453" s="344" t="s">
        <v>1085</v>
      </c>
      <c r="I453" s="342" t="s">
        <v>2233</v>
      </c>
      <c r="J453" s="418" t="str">
        <f>Water_emissions!CY194</f>
        <v>[kg/bbl] kg of CYCLOHEXANE emissions to water per bbl of crude throughput - High Complexity Hydro Cracking and Coking</v>
      </c>
      <c r="K453" s="419"/>
      <c r="L453" s="419"/>
      <c r="M453" s="419"/>
      <c r="N453" s="419"/>
      <c r="O453" s="419"/>
      <c r="P453" s="420"/>
      <c r="Q453" s="2"/>
      <c r="R453" s="2"/>
      <c r="S453" s="2"/>
      <c r="T453" s="2"/>
      <c r="U453" s="2"/>
      <c r="V453" s="2"/>
      <c r="W453" s="2"/>
      <c r="X453" s="2"/>
      <c r="Y453" s="2"/>
    </row>
    <row r="454" spans="1:25" ht="39" customHeight="1" x14ac:dyDescent="0.25">
      <c r="A454" s="2"/>
      <c r="B454" s="17">
        <f t="shared" si="32"/>
        <v>11</v>
      </c>
      <c r="C454" s="340" t="str">
        <f>Water_emissions!CW195</f>
        <v>w_CYCLOHEXA</v>
      </c>
      <c r="D454" s="39" t="str">
        <f>"IF(NC=0;"&amp;C449&amp;";IF(NC=1;"&amp;C450&amp;";IF(NC=2;"&amp;C451&amp;";IF(NC=3;"&amp;C452&amp;";"&amp;C453&amp;"))))/"&amp;$C$27</f>
        <v>IF(NC=0;w_CYCLOHEXA_L;IF(NC=1;w_CYCLOHEXA_M;IF(NC=2;w_CYCLOHEXA_HiH;IF(NC=3;w_CYCLOHEXA_HiC;w_CYCLOHEXA_HiB))))/Density_oil</v>
      </c>
      <c r="E454" s="68">
        <f>IF($E$24=0,E449,IF($E$24=1,E450,IF($E$24=2,E451,IF($E$24=3,E452,E453))))/$E$27</f>
        <v>2.8537050249331942E-5</v>
      </c>
      <c r="F454" s="342"/>
      <c r="G454" s="343"/>
      <c r="H454" s="344" t="s">
        <v>489</v>
      </c>
      <c r="I454" s="342" t="s">
        <v>2233</v>
      </c>
      <c r="J454" s="418" t="str">
        <f>Water_emissions!CY195</f>
        <v>[kg/bbl] kg of CYCLOHEXANE emissions to water per bbl of crude throughput</v>
      </c>
      <c r="K454" s="419"/>
      <c r="L454" s="419"/>
      <c r="M454" s="419"/>
      <c r="N454" s="419"/>
      <c r="O454" s="419"/>
      <c r="P454" s="420"/>
      <c r="Q454" s="2"/>
      <c r="R454" s="2"/>
      <c r="S454" s="2"/>
      <c r="T454" s="2"/>
      <c r="U454" s="2"/>
      <c r="V454" s="2"/>
      <c r="W454" s="2"/>
      <c r="X454" s="2"/>
      <c r="Y454" s="2"/>
    </row>
    <row r="455" spans="1:25" x14ac:dyDescent="0.25">
      <c r="A455" s="2"/>
      <c r="B455" s="17">
        <f t="shared" si="32"/>
        <v>13</v>
      </c>
      <c r="C455" s="340" t="str">
        <f>Water_emissions!CW196</f>
        <v>w_DIBENZAHA_L</v>
      </c>
      <c r="D455" s="341"/>
      <c r="E455" s="368">
        <f>HLOOKUP($C460,Water_emissions!$E$16:$CQ$32,3,FALSE)</f>
        <v>3.1000413843066711E-8</v>
      </c>
      <c r="F455" s="368">
        <f>HLOOKUP($C460,Water_emissions!$E$16:$CQ$32,8,FALSE)</f>
        <v>0</v>
      </c>
      <c r="G455" s="368">
        <f>HLOOKUP($C460,Water_emissions!$E$16:$CQ$32,13,FALSE)</f>
        <v>6.2000827686133422E-8</v>
      </c>
      <c r="H455" s="344" t="s">
        <v>1085</v>
      </c>
      <c r="I455" s="342" t="s">
        <v>2233</v>
      </c>
      <c r="J455" s="418" t="str">
        <f>Water_emissions!CY196</f>
        <v>[kg/bbl] kg of DIBENZ(A,H)ANTHRACENE emissions to water per bbl of crude throughput - Low Complexity</v>
      </c>
      <c r="K455" s="419"/>
      <c r="L455" s="419"/>
      <c r="M455" s="419"/>
      <c r="N455" s="419"/>
      <c r="O455" s="419"/>
      <c r="P455" s="420"/>
      <c r="Q455" s="2"/>
      <c r="R455" s="2"/>
      <c r="S455" s="2"/>
      <c r="T455" s="2"/>
      <c r="U455" s="2"/>
      <c r="V455" s="2"/>
      <c r="W455" s="2"/>
      <c r="X455" s="2"/>
      <c r="Y455" s="2"/>
    </row>
    <row r="456" spans="1:25" x14ac:dyDescent="0.25">
      <c r="A456" s="2"/>
      <c r="B456" s="17">
        <f t="shared" si="32"/>
        <v>13</v>
      </c>
      <c r="C456" s="340" t="str">
        <f>Water_emissions!CW197</f>
        <v>w_DIBENZAHA_M</v>
      </c>
      <c r="D456" s="341"/>
      <c r="E456" s="368">
        <f>HLOOKUP($C460,Water_emissions!$E$16:$CQ$32,4,FALSE)</f>
        <v>3.1000413843066711E-8</v>
      </c>
      <c r="F456" s="368">
        <f>HLOOKUP($C460,Water_emissions!$E$16:$CQ$32,9,FALSE)</f>
        <v>0</v>
      </c>
      <c r="G456" s="368">
        <f>HLOOKUP($C460,Water_emissions!$E$16:$CQ$32,14,FALSE)</f>
        <v>6.2000827686133422E-8</v>
      </c>
      <c r="H456" s="344" t="s">
        <v>1085</v>
      </c>
      <c r="I456" s="342" t="s">
        <v>2233</v>
      </c>
      <c r="J456" s="418" t="str">
        <f>Water_emissions!CY197</f>
        <v>[kg/bbl] kg of DIBENZ(A,H)ANTHRACENE emissions to water per bbl of crude throughput - Med Complexity</v>
      </c>
      <c r="K456" s="419"/>
      <c r="L456" s="419"/>
      <c r="M456" s="419"/>
      <c r="N456" s="419"/>
      <c r="O456" s="419"/>
      <c r="P456" s="420"/>
      <c r="Q456" s="2"/>
      <c r="R456" s="2"/>
      <c r="S456" s="2"/>
      <c r="T456" s="2"/>
      <c r="U456" s="2"/>
      <c r="V456" s="2"/>
      <c r="W456" s="2"/>
      <c r="X456" s="2"/>
      <c r="Y456" s="2"/>
    </row>
    <row r="457" spans="1:25" x14ac:dyDescent="0.25">
      <c r="A457" s="2"/>
      <c r="B457" s="17">
        <f t="shared" si="32"/>
        <v>15</v>
      </c>
      <c r="C457" s="340" t="str">
        <f>Water_emissions!CW198</f>
        <v>w_DIBENZAHA_HiH</v>
      </c>
      <c r="D457" s="341"/>
      <c r="E457" s="368">
        <f>HLOOKUP($C460,Water_emissions!$E$16:$CQ$32,5,FALSE)</f>
        <v>3.1000413843066711E-8</v>
      </c>
      <c r="F457" s="368">
        <f>HLOOKUP($C460,Water_emissions!$E$16:$CQ$32,10,FALSE)</f>
        <v>0</v>
      </c>
      <c r="G457" s="368">
        <f>HLOOKUP($C460,Water_emissions!$E$16:$CQ$32,15,FALSE)</f>
        <v>6.2000827686133422E-8</v>
      </c>
      <c r="H457" s="344" t="s">
        <v>1085</v>
      </c>
      <c r="I457" s="342" t="s">
        <v>2233</v>
      </c>
      <c r="J457" s="418" t="str">
        <f>Water_emissions!CY198</f>
        <v>[kg/bbl] kg of DIBENZ(A,H)ANTHRACENE emissions to water per bbl of crude throughput - High Complexity Hydro Cracking</v>
      </c>
      <c r="K457" s="419"/>
      <c r="L457" s="419"/>
      <c r="M457" s="419"/>
      <c r="N457" s="419"/>
      <c r="O457" s="419"/>
      <c r="P457" s="420"/>
      <c r="Q457" s="2"/>
      <c r="R457" s="2"/>
      <c r="S457" s="2"/>
      <c r="T457" s="2"/>
      <c r="U457" s="2"/>
      <c r="V457" s="2"/>
      <c r="W457" s="2"/>
      <c r="X457" s="2"/>
      <c r="Y457" s="2"/>
    </row>
    <row r="458" spans="1:25" x14ac:dyDescent="0.25">
      <c r="A458" s="2"/>
      <c r="B458" s="17">
        <f t="shared" si="32"/>
        <v>15</v>
      </c>
      <c r="C458" s="340" t="str">
        <f>Water_emissions!CW199</f>
        <v>w_DIBENZAHA_HiC</v>
      </c>
      <c r="D458" s="341"/>
      <c r="E458" s="368">
        <f>HLOOKUP($C460,Water_emissions!$E$16:$CQ$32,6,FALSE)</f>
        <v>0</v>
      </c>
      <c r="F458" s="368">
        <f>HLOOKUP($C460,Water_emissions!$E$16:$CQ$32,11,FALSE)</f>
        <v>0</v>
      </c>
      <c r="G458" s="368">
        <f>HLOOKUP($C460,Water_emissions!$E$16:$CQ$32,16,FALSE)</f>
        <v>0</v>
      </c>
      <c r="H458" s="344" t="s">
        <v>1085</v>
      </c>
      <c r="I458" s="342" t="s">
        <v>2233</v>
      </c>
      <c r="J458" s="418" t="str">
        <f>Water_emissions!CY199</f>
        <v>[kg/bbl] kg of DIBENZ(A,H)ANTHRACENE emissions to water per bbl of crude throughput - High Complexity Coking</v>
      </c>
      <c r="K458" s="419"/>
      <c r="L458" s="419"/>
      <c r="M458" s="419"/>
      <c r="N458" s="419"/>
      <c r="O458" s="419"/>
      <c r="P458" s="420"/>
      <c r="Q458" s="2"/>
      <c r="R458" s="2"/>
      <c r="S458" s="2"/>
      <c r="T458" s="2"/>
      <c r="U458" s="2"/>
      <c r="V458" s="2"/>
      <c r="W458" s="2"/>
      <c r="X458" s="2"/>
      <c r="Y458" s="2"/>
    </row>
    <row r="459" spans="1:25" x14ac:dyDescent="0.25">
      <c r="A459" s="2"/>
      <c r="B459" s="17">
        <f t="shared" si="32"/>
        <v>15</v>
      </c>
      <c r="C459" s="340" t="str">
        <f>Water_emissions!CW200</f>
        <v>w_DIBENZAHA_HiB</v>
      </c>
      <c r="D459" s="341"/>
      <c r="E459" s="368">
        <f>HLOOKUP($C460,Water_emissions!$E$16:$CQ$32,7,FALSE)</f>
        <v>6.2000827686133422E-8</v>
      </c>
      <c r="F459" s="368">
        <f>HLOOKUP($C460,Water_emissions!$E$16:$CQ$32,12,FALSE)</f>
        <v>6.2000827686133422E-8</v>
      </c>
      <c r="G459" s="368">
        <f>HLOOKUP($C460,Water_emissions!$E$16:$CQ$32,17,FALSE)</f>
        <v>6.2000827686133422E-8</v>
      </c>
      <c r="H459" s="344" t="s">
        <v>1085</v>
      </c>
      <c r="I459" s="342" t="s">
        <v>2233</v>
      </c>
      <c r="J459" s="418" t="str">
        <f>Water_emissions!CY200</f>
        <v>[kg/bbl] kg of DIBENZ(A,H)ANTHRACENE emissions to water per bbl of crude throughput - High Complexity Hydro Cracking and Coking</v>
      </c>
      <c r="K459" s="419"/>
      <c r="L459" s="419"/>
      <c r="M459" s="419"/>
      <c r="N459" s="419"/>
      <c r="O459" s="419"/>
      <c r="P459" s="420"/>
      <c r="Q459" s="2"/>
      <c r="R459" s="2"/>
      <c r="S459" s="2"/>
      <c r="T459" s="2"/>
      <c r="U459" s="2"/>
      <c r="V459" s="2"/>
      <c r="W459" s="2"/>
      <c r="X459" s="2"/>
      <c r="Y459" s="2"/>
    </row>
    <row r="460" spans="1:25" ht="39" customHeight="1" x14ac:dyDescent="0.25">
      <c r="A460" s="2"/>
      <c r="B460" s="17">
        <f t="shared" si="32"/>
        <v>11</v>
      </c>
      <c r="C460" s="340" t="str">
        <f>Water_emissions!CW201</f>
        <v>w_DIBENZAHA</v>
      </c>
      <c r="D460" s="39" t="str">
        <f>"IF(NC=0;"&amp;C455&amp;";IF(NC=1;"&amp;C456&amp;";IF(NC=2;"&amp;C457&amp;";IF(NC=3;"&amp;C458&amp;";"&amp;C459&amp;"))))/"&amp;$C$27</f>
        <v>IF(NC=0;w_DIBENZAHA_L;IF(NC=1;w_DIBENZAHA_M;IF(NC=2;w_DIBENZAHA_HiH;IF(NC=3;w_DIBENZAHA_HiC;w_DIBENZAHA_HiB))))/Density_oil</v>
      </c>
      <c r="E460" s="68">
        <f>IF($E$24=0,E455,IF($E$24=1,E456,IF($E$24=2,E457,IF($E$24=3,E458,E459))))/$E$27</f>
        <v>4.4705015673464442E-10</v>
      </c>
      <c r="F460" s="342"/>
      <c r="G460" s="343"/>
      <c r="H460" s="344" t="s">
        <v>489</v>
      </c>
      <c r="I460" s="342" t="s">
        <v>2233</v>
      </c>
      <c r="J460" s="418" t="str">
        <f>Water_emissions!CY201</f>
        <v>[kg/bbl] kg of DIBENZ(A,H)ANTHRACENE emissions to water per bbl of crude throughput</v>
      </c>
      <c r="K460" s="419"/>
      <c r="L460" s="419"/>
      <c r="M460" s="419"/>
      <c r="N460" s="419"/>
      <c r="O460" s="419"/>
      <c r="P460" s="420"/>
      <c r="Q460" s="2"/>
      <c r="R460" s="2"/>
      <c r="S460" s="2"/>
      <c r="T460" s="2"/>
      <c r="U460" s="2"/>
      <c r="V460" s="2"/>
      <c r="W460" s="2"/>
      <c r="X460" s="2"/>
      <c r="Y460" s="2"/>
    </row>
    <row r="461" spans="1:25" x14ac:dyDescent="0.25">
      <c r="A461" s="2"/>
      <c r="B461" s="17">
        <f t="shared" si="32"/>
        <v>13</v>
      </c>
      <c r="C461" s="340" t="str">
        <f>Water_emissions!CW202</f>
        <v>w_DICYCLOPE_L</v>
      </c>
      <c r="D461" s="341"/>
      <c r="E461" s="368">
        <f>HLOOKUP($C466,Water_emissions!$E$16:$CQ$32,3,FALSE)</f>
        <v>0</v>
      </c>
      <c r="F461" s="368">
        <f>HLOOKUP($C466,Water_emissions!$E$16:$CQ$32,8,FALSE)</f>
        <v>0</v>
      </c>
      <c r="G461" s="368">
        <f>HLOOKUP($C466,Water_emissions!$E$16:$CQ$32,13,FALSE)</f>
        <v>0</v>
      </c>
      <c r="H461" s="344" t="s">
        <v>1085</v>
      </c>
      <c r="I461" s="342" t="s">
        <v>2233</v>
      </c>
      <c r="J461" s="418" t="str">
        <f>Water_emissions!CY202</f>
        <v>[kg/bbl] kg of DICYCLOPENTADIENE emissions to water per bbl of crude throughput - Low Complexity</v>
      </c>
      <c r="K461" s="419"/>
      <c r="L461" s="419"/>
      <c r="M461" s="419"/>
      <c r="N461" s="419"/>
      <c r="O461" s="419"/>
      <c r="P461" s="420"/>
      <c r="Q461" s="2"/>
      <c r="R461" s="2"/>
      <c r="S461" s="2"/>
      <c r="T461" s="2"/>
      <c r="U461" s="2"/>
      <c r="V461" s="2"/>
      <c r="W461" s="2"/>
      <c r="X461" s="2"/>
      <c r="Y461" s="2"/>
    </row>
    <row r="462" spans="1:25" x14ac:dyDescent="0.25">
      <c r="A462" s="2"/>
      <c r="B462" s="17">
        <f t="shared" si="32"/>
        <v>13</v>
      </c>
      <c r="C462" s="340" t="str">
        <f>Water_emissions!CW203</f>
        <v>w_DICYCLOPE_M</v>
      </c>
      <c r="D462" s="341"/>
      <c r="E462" s="368">
        <f>HLOOKUP($C466,Water_emissions!$E$16:$CQ$32,4,FALSE)</f>
        <v>0</v>
      </c>
      <c r="F462" s="368">
        <f>HLOOKUP($C466,Water_emissions!$E$16:$CQ$32,9,FALSE)</f>
        <v>0</v>
      </c>
      <c r="G462" s="368">
        <f>HLOOKUP($C466,Water_emissions!$E$16:$CQ$32,14,FALSE)</f>
        <v>0</v>
      </c>
      <c r="H462" s="344" t="s">
        <v>1085</v>
      </c>
      <c r="I462" s="342" t="s">
        <v>2233</v>
      </c>
      <c r="J462" s="418" t="str">
        <f>Water_emissions!CY203</f>
        <v>[kg/bbl] kg of DICYCLOPENTADIENE emissions to water per bbl of crude throughput - Med Complexity</v>
      </c>
      <c r="K462" s="419"/>
      <c r="L462" s="419"/>
      <c r="M462" s="419"/>
      <c r="N462" s="419"/>
      <c r="O462" s="419"/>
      <c r="P462" s="420"/>
      <c r="Q462" s="2"/>
      <c r="R462" s="2"/>
      <c r="S462" s="2"/>
      <c r="T462" s="2"/>
      <c r="U462" s="2"/>
      <c r="V462" s="2"/>
      <c r="W462" s="2"/>
      <c r="X462" s="2"/>
      <c r="Y462" s="2"/>
    </row>
    <row r="463" spans="1:25" x14ac:dyDescent="0.25">
      <c r="A463" s="2"/>
      <c r="B463" s="17">
        <f t="shared" si="32"/>
        <v>15</v>
      </c>
      <c r="C463" s="340" t="str">
        <f>Water_emissions!CW204</f>
        <v>w_DICYCLOPE_HiH</v>
      </c>
      <c r="D463" s="341"/>
      <c r="E463" s="368">
        <f>HLOOKUP($C466,Water_emissions!$E$16:$CQ$32,5,FALSE)</f>
        <v>0</v>
      </c>
      <c r="F463" s="368">
        <f>HLOOKUP($C466,Water_emissions!$E$16:$CQ$32,10,FALSE)</f>
        <v>0</v>
      </c>
      <c r="G463" s="368">
        <f>HLOOKUP($C466,Water_emissions!$E$16:$CQ$32,15,FALSE)</f>
        <v>0</v>
      </c>
      <c r="H463" s="344" t="s">
        <v>1085</v>
      </c>
      <c r="I463" s="342" t="s">
        <v>2233</v>
      </c>
      <c r="J463" s="418" t="str">
        <f>Water_emissions!CY204</f>
        <v>[kg/bbl] kg of DICYCLOPENTADIENE emissions to water per bbl of crude throughput - High Complexity Hydro Cracking</v>
      </c>
      <c r="K463" s="419"/>
      <c r="L463" s="419"/>
      <c r="M463" s="419"/>
      <c r="N463" s="419"/>
      <c r="O463" s="419"/>
      <c r="P463" s="420"/>
      <c r="Q463" s="2"/>
      <c r="R463" s="2"/>
      <c r="S463" s="2"/>
      <c r="T463" s="2"/>
      <c r="U463" s="2"/>
      <c r="V463" s="2"/>
      <c r="W463" s="2"/>
      <c r="X463" s="2"/>
      <c r="Y463" s="2"/>
    </row>
    <row r="464" spans="1:25" x14ac:dyDescent="0.25">
      <c r="A464" s="2"/>
      <c r="B464" s="17">
        <f t="shared" si="32"/>
        <v>15</v>
      </c>
      <c r="C464" s="340" t="str">
        <f>Water_emissions!CW205</f>
        <v>w_DICYCLOPE_HiC</v>
      </c>
      <c r="D464" s="341"/>
      <c r="E464" s="368">
        <f>HLOOKUP($C466,Water_emissions!$E$16:$CQ$32,6,FALSE)</f>
        <v>0</v>
      </c>
      <c r="F464" s="368">
        <f>HLOOKUP($C466,Water_emissions!$E$16:$CQ$32,11,FALSE)</f>
        <v>0</v>
      </c>
      <c r="G464" s="368">
        <f>HLOOKUP($C466,Water_emissions!$E$16:$CQ$32,16,FALSE)</f>
        <v>0</v>
      </c>
      <c r="H464" s="344" t="s">
        <v>1085</v>
      </c>
      <c r="I464" s="342" t="s">
        <v>2233</v>
      </c>
      <c r="J464" s="418" t="str">
        <f>Water_emissions!CY205</f>
        <v>[kg/bbl] kg of DICYCLOPENTADIENE emissions to water per bbl of crude throughput - High Complexity Coking</v>
      </c>
      <c r="K464" s="419"/>
      <c r="L464" s="419"/>
      <c r="M464" s="419"/>
      <c r="N464" s="419"/>
      <c r="O464" s="419"/>
      <c r="P464" s="420"/>
      <c r="Q464" s="2"/>
      <c r="R464" s="2"/>
      <c r="S464" s="2"/>
      <c r="T464" s="2"/>
      <c r="U464" s="2"/>
      <c r="V464" s="2"/>
      <c r="W464" s="2"/>
      <c r="X464" s="2"/>
      <c r="Y464" s="2"/>
    </row>
    <row r="465" spans="1:25" x14ac:dyDescent="0.25">
      <c r="A465" s="2"/>
      <c r="B465" s="17">
        <f t="shared" si="32"/>
        <v>15</v>
      </c>
      <c r="C465" s="340" t="str">
        <f>Water_emissions!CW206</f>
        <v>w_DICYCLOPE_HiB</v>
      </c>
      <c r="D465" s="341"/>
      <c r="E465" s="368">
        <f>HLOOKUP($C466,Water_emissions!$E$16:$CQ$32,7,FALSE)</f>
        <v>0</v>
      </c>
      <c r="F465" s="368">
        <f>HLOOKUP($C466,Water_emissions!$E$16:$CQ$32,12,FALSE)</f>
        <v>0</v>
      </c>
      <c r="G465" s="368">
        <f>HLOOKUP($C466,Water_emissions!$E$16:$CQ$32,17,FALSE)</f>
        <v>0</v>
      </c>
      <c r="H465" s="344" t="s">
        <v>1085</v>
      </c>
      <c r="I465" s="342" t="s">
        <v>2233</v>
      </c>
      <c r="J465" s="418" t="str">
        <f>Water_emissions!CY206</f>
        <v>[kg/bbl] kg of DICYCLOPENTADIENE emissions to water per bbl of crude throughput - High Complexity Hydro Cracking and Coking</v>
      </c>
      <c r="K465" s="419"/>
      <c r="L465" s="419"/>
      <c r="M465" s="419"/>
      <c r="N465" s="419"/>
      <c r="O465" s="419"/>
      <c r="P465" s="420"/>
      <c r="Q465" s="2"/>
      <c r="R465" s="2"/>
      <c r="S465" s="2"/>
      <c r="T465" s="2"/>
      <c r="U465" s="2"/>
      <c r="V465" s="2"/>
      <c r="W465" s="2"/>
      <c r="X465" s="2"/>
      <c r="Y465" s="2"/>
    </row>
    <row r="466" spans="1:25" ht="39.75" customHeight="1" x14ac:dyDescent="0.25">
      <c r="A466" s="2"/>
      <c r="B466" s="17">
        <f t="shared" ref="B466:B529" si="33">LEN(C466)</f>
        <v>11</v>
      </c>
      <c r="C466" s="340" t="str">
        <f>Water_emissions!CW207</f>
        <v>w_DICYCLOPE</v>
      </c>
      <c r="D466" s="39" t="str">
        <f>"IF(NC=0;"&amp;C461&amp;";IF(NC=1;"&amp;C462&amp;";IF(NC=2;"&amp;C463&amp;";IF(NC=3;"&amp;C464&amp;";"&amp;C465&amp;"))))/"&amp;$C$27</f>
        <v>IF(NC=0;w_DICYCLOPE_L;IF(NC=1;w_DICYCLOPE_M;IF(NC=2;w_DICYCLOPE_HiH;IF(NC=3;w_DICYCLOPE_HiC;w_DICYCLOPE_HiB))))/Density_oil</v>
      </c>
      <c r="E466" s="68">
        <f>IF($E$24=0,E461,IF($E$24=1,E462,IF($E$24=2,E463,IF($E$24=3,E464,E465))))/$E$27</f>
        <v>0</v>
      </c>
      <c r="F466" s="342"/>
      <c r="G466" s="343"/>
      <c r="H466" s="344" t="s">
        <v>489</v>
      </c>
      <c r="I466" s="342" t="s">
        <v>2233</v>
      </c>
      <c r="J466" s="418" t="str">
        <f>Water_emissions!CY207</f>
        <v>[kg/bbl] kg of DICYCLOPENTADIENE emissions to water per bbl of crude throughput</v>
      </c>
      <c r="K466" s="419"/>
      <c r="L466" s="419"/>
      <c r="M466" s="419"/>
      <c r="N466" s="419"/>
      <c r="O466" s="419"/>
      <c r="P466" s="420"/>
      <c r="Q466" s="2"/>
      <c r="R466" s="2"/>
      <c r="S466" s="2"/>
      <c r="T466" s="2"/>
      <c r="U466" s="2"/>
      <c r="V466" s="2"/>
      <c r="W466" s="2"/>
      <c r="X466" s="2"/>
      <c r="Y466" s="2"/>
    </row>
    <row r="467" spans="1:25" x14ac:dyDescent="0.25">
      <c r="A467" s="2"/>
      <c r="B467" s="17">
        <f t="shared" si="33"/>
        <v>13</v>
      </c>
      <c r="C467" s="340" t="str">
        <f>Water_emissions!CW208</f>
        <v>w_DIETHANOL_L</v>
      </c>
      <c r="D467" s="341"/>
      <c r="E467" s="368">
        <f>HLOOKUP($C472,Water_emissions!$E$16:$CQ$32,3,FALSE)</f>
        <v>0.22410554162801888</v>
      </c>
      <c r="F467" s="368">
        <f>HLOOKUP($C472,Water_emissions!$E$16:$CQ$32,8,FALSE)</f>
        <v>0</v>
      </c>
      <c r="G467" s="368">
        <f>HLOOKUP($C472,Water_emissions!$E$16:$CQ$32,13,FALSE)</f>
        <v>1.801943604914328</v>
      </c>
      <c r="H467" s="344" t="s">
        <v>1085</v>
      </c>
      <c r="I467" s="342" t="s">
        <v>2233</v>
      </c>
      <c r="J467" s="418" t="str">
        <f>Water_emissions!CY208</f>
        <v>[kg/bbl] kg of DIETHANOLAMINE emissions to water per bbl of crude throughput - Low Complexity</v>
      </c>
      <c r="K467" s="419"/>
      <c r="L467" s="419"/>
      <c r="M467" s="419"/>
      <c r="N467" s="419"/>
      <c r="O467" s="419"/>
      <c r="P467" s="420"/>
      <c r="Q467" s="2"/>
      <c r="R467" s="2"/>
      <c r="S467" s="2"/>
      <c r="T467" s="2"/>
      <c r="U467" s="2"/>
      <c r="V467" s="2"/>
      <c r="W467" s="2"/>
      <c r="X467" s="2"/>
      <c r="Y467" s="2"/>
    </row>
    <row r="468" spans="1:25" x14ac:dyDescent="0.25">
      <c r="A468" s="2"/>
      <c r="B468" s="17">
        <f t="shared" si="33"/>
        <v>13</v>
      </c>
      <c r="C468" s="340" t="str">
        <f>Water_emissions!CW209</f>
        <v>w_DIETHANOL_M</v>
      </c>
      <c r="D468" s="341"/>
      <c r="E468" s="368">
        <f>HLOOKUP($C472,Water_emissions!$E$16:$CQ$32,4,FALSE)</f>
        <v>0.11186683372113834</v>
      </c>
      <c r="F468" s="368">
        <f>HLOOKUP($C472,Water_emissions!$E$16:$CQ$32,9,FALSE)</f>
        <v>0</v>
      </c>
      <c r="G468" s="368">
        <f>HLOOKUP($C472,Water_emissions!$E$16:$CQ$32,14,FALSE)</f>
        <v>0.22373366744227668</v>
      </c>
      <c r="H468" s="344" t="s">
        <v>1085</v>
      </c>
      <c r="I468" s="342" t="s">
        <v>2233</v>
      </c>
      <c r="J468" s="418" t="str">
        <f>Water_emissions!CY209</f>
        <v>[kg/bbl] kg of DIETHANOLAMINE emissions to water per bbl of crude throughput - Med Complexity</v>
      </c>
      <c r="K468" s="419"/>
      <c r="L468" s="419"/>
      <c r="M468" s="419"/>
      <c r="N468" s="419"/>
      <c r="O468" s="419"/>
      <c r="P468" s="420"/>
      <c r="Q468" s="2"/>
      <c r="R468" s="2"/>
      <c r="S468" s="2"/>
      <c r="T468" s="2"/>
      <c r="U468" s="2"/>
      <c r="V468" s="2"/>
      <c r="W468" s="2"/>
      <c r="X468" s="2"/>
      <c r="Y468" s="2"/>
    </row>
    <row r="469" spans="1:25" x14ac:dyDescent="0.25">
      <c r="A469" s="2"/>
      <c r="B469" s="17">
        <f t="shared" si="33"/>
        <v>15</v>
      </c>
      <c r="C469" s="340" t="str">
        <f>Water_emissions!CW210</f>
        <v>w_DIETHANOL_HiH</v>
      </c>
      <c r="D469" s="341"/>
      <c r="E469" s="368">
        <f>HLOOKUP($C472,Water_emissions!$E$16:$CQ$32,5,FALSE)</f>
        <v>7.702255599571617E-3</v>
      </c>
      <c r="F469" s="368">
        <f>HLOOKUP($C472,Water_emissions!$E$16:$CQ$32,10,FALSE)</f>
        <v>0</v>
      </c>
      <c r="G469" s="368">
        <f>HLOOKUP($C472,Water_emissions!$E$16:$CQ$32,15,FALSE)</f>
        <v>1.5404511199143234E-2</v>
      </c>
      <c r="H469" s="344" t="s">
        <v>1085</v>
      </c>
      <c r="I469" s="342" t="s">
        <v>2233</v>
      </c>
      <c r="J469" s="418" t="str">
        <f>Water_emissions!CY210</f>
        <v>[kg/bbl] kg of DIETHANOLAMINE emissions to water per bbl of crude throughput - High Complexity Hydro Cracking</v>
      </c>
      <c r="K469" s="419"/>
      <c r="L469" s="419"/>
      <c r="M469" s="419"/>
      <c r="N469" s="419"/>
      <c r="O469" s="419"/>
      <c r="P469" s="420"/>
      <c r="Q469" s="2"/>
      <c r="R469" s="2"/>
      <c r="S469" s="2"/>
      <c r="T469" s="2"/>
      <c r="U469" s="2"/>
      <c r="V469" s="2"/>
      <c r="W469" s="2"/>
      <c r="X469" s="2"/>
      <c r="Y469" s="2"/>
    </row>
    <row r="470" spans="1:25" x14ac:dyDescent="0.25">
      <c r="A470" s="2"/>
      <c r="B470" s="17">
        <f t="shared" si="33"/>
        <v>15</v>
      </c>
      <c r="C470" s="340" t="str">
        <f>Water_emissions!CW211</f>
        <v>w_DIETHANOL_HiC</v>
      </c>
      <c r="D470" s="341"/>
      <c r="E470" s="368">
        <f>HLOOKUP($C472,Water_emissions!$E$16:$CQ$32,6,FALSE)</f>
        <v>6.0237942651442056E-2</v>
      </c>
      <c r="F470" s="368">
        <f>HLOOKUP($C472,Water_emissions!$E$16:$CQ$32,11,FALSE)</f>
        <v>0</v>
      </c>
      <c r="G470" s="368">
        <f>HLOOKUP($C472,Water_emissions!$E$16:$CQ$32,16,FALSE)</f>
        <v>0.31798064255005415</v>
      </c>
      <c r="H470" s="344" t="s">
        <v>1085</v>
      </c>
      <c r="I470" s="342" t="s">
        <v>2233</v>
      </c>
      <c r="J470" s="418" t="str">
        <f>Water_emissions!CY211</f>
        <v>[kg/bbl] kg of DIETHANOLAMINE emissions to water per bbl of crude throughput - High Complexity Coking</v>
      </c>
      <c r="K470" s="419"/>
      <c r="L470" s="419"/>
      <c r="M470" s="419"/>
      <c r="N470" s="419"/>
      <c r="O470" s="419"/>
      <c r="P470" s="420"/>
      <c r="Q470" s="2"/>
      <c r="R470" s="2"/>
      <c r="S470" s="2"/>
      <c r="T470" s="2"/>
      <c r="U470" s="2"/>
      <c r="V470" s="2"/>
      <c r="W470" s="2"/>
      <c r="X470" s="2"/>
      <c r="Y470" s="2"/>
    </row>
    <row r="471" spans="1:25" x14ac:dyDescent="0.25">
      <c r="A471" s="2"/>
      <c r="B471" s="17">
        <f t="shared" si="33"/>
        <v>15</v>
      </c>
      <c r="C471" s="340" t="str">
        <f>Water_emissions!CW212</f>
        <v>w_DIETHANOL_HiB</v>
      </c>
      <c r="D471" s="341"/>
      <c r="E471" s="368">
        <f>HLOOKUP($C472,Water_emissions!$E$16:$CQ$32,7,FALSE)</f>
        <v>0.45846119616089265</v>
      </c>
      <c r="F471" s="368">
        <f>HLOOKUP($C472,Water_emissions!$E$16:$CQ$32,12,FALSE)</f>
        <v>0</v>
      </c>
      <c r="G471" s="368">
        <f>HLOOKUP($C472,Water_emissions!$E$16:$CQ$32,17,FALSE)</f>
        <v>1.801943604914328</v>
      </c>
      <c r="H471" s="344" t="s">
        <v>1085</v>
      </c>
      <c r="I471" s="342" t="s">
        <v>2233</v>
      </c>
      <c r="J471" s="418" t="str">
        <f>Water_emissions!CY212</f>
        <v>[kg/bbl] kg of DIETHANOLAMINE emissions to water per bbl of crude throughput - High Complexity Hydro Cracking and Coking</v>
      </c>
      <c r="K471" s="419"/>
      <c r="L471" s="419"/>
      <c r="M471" s="419"/>
      <c r="N471" s="419"/>
      <c r="O471" s="419"/>
      <c r="P471" s="420"/>
      <c r="Q471" s="2"/>
      <c r="R471" s="2"/>
      <c r="S471" s="2"/>
      <c r="T471" s="2"/>
      <c r="U471" s="2"/>
      <c r="V471" s="2"/>
      <c r="W471" s="2"/>
      <c r="X471" s="2"/>
      <c r="Y471" s="2"/>
    </row>
    <row r="472" spans="1:25" ht="42.75" customHeight="1" x14ac:dyDescent="0.25">
      <c r="A472" s="2"/>
      <c r="B472" s="17">
        <f t="shared" si="33"/>
        <v>11</v>
      </c>
      <c r="C472" s="340" t="str">
        <f>Water_emissions!CW213</f>
        <v>w_DIETHANOL</v>
      </c>
      <c r="D472" s="39" t="str">
        <f>"IF(NC=0;"&amp;C467&amp;";IF(NC=1;"&amp;C468&amp;";IF(NC=2;"&amp;C469&amp;";IF(NC=3;"&amp;C470&amp;";"&amp;C471&amp;"))))/"&amp;$C$27</f>
        <v>IF(NC=0;w_DIETHANOL_L;IF(NC=1;w_DIETHANOL_M;IF(NC=2;w_DIETHANOL_HiH;IF(NC=3;w_DIETHANOL_HiC;w_DIETHANOL_HiB))))/Density_oil</v>
      </c>
      <c r="E472" s="68">
        <f>IF($E$24=0,E467,IF($E$24=1,E468,IF($E$24=2,E469,IF($E$24=3,E470,E471))))/$E$27</f>
        <v>3.3056840892193144E-3</v>
      </c>
      <c r="F472" s="342"/>
      <c r="G472" s="343"/>
      <c r="H472" s="344" t="s">
        <v>489</v>
      </c>
      <c r="I472" s="342" t="s">
        <v>2233</v>
      </c>
      <c r="J472" s="418" t="str">
        <f>Water_emissions!CY213</f>
        <v>[kg/bbl] kg of DIETHANOLAMINE emissions to water per bbl of crude throughput</v>
      </c>
      <c r="K472" s="419"/>
      <c r="L472" s="419"/>
      <c r="M472" s="419"/>
      <c r="N472" s="419"/>
      <c r="O472" s="419"/>
      <c r="P472" s="420"/>
      <c r="Q472" s="2"/>
      <c r="R472" s="2"/>
      <c r="S472" s="2"/>
      <c r="T472" s="2"/>
      <c r="U472" s="2"/>
      <c r="V472" s="2"/>
      <c r="W472" s="2"/>
      <c r="X472" s="2"/>
      <c r="Y472" s="2"/>
    </row>
    <row r="473" spans="1:25" x14ac:dyDescent="0.25">
      <c r="A473" s="2"/>
      <c r="B473" s="17">
        <f t="shared" si="33"/>
        <v>13</v>
      </c>
      <c r="C473" s="340" t="str">
        <f>Water_emissions!CW214</f>
        <v>w_DIOXINAND_L</v>
      </c>
      <c r="D473" s="341"/>
      <c r="E473" s="368">
        <f>HLOOKUP($C478,Water_emissions!$E$16:$CQ$32,3,FALSE)</f>
        <v>5.4531631547042991E-7</v>
      </c>
      <c r="F473" s="368">
        <f>HLOOKUP($C478,Water_emissions!$E$16:$CQ$32,8,FALSE)</f>
        <v>0</v>
      </c>
      <c r="G473" s="368">
        <f>HLOOKUP($C478,Water_emissions!$E$16:$CQ$32,13,FALSE)</f>
        <v>1.6359489464112897E-6</v>
      </c>
      <c r="H473" s="344" t="s">
        <v>1085</v>
      </c>
      <c r="I473" s="342" t="s">
        <v>2233</v>
      </c>
      <c r="J473" s="418" t="str">
        <f>Water_emissions!CY214</f>
        <v>[kg/bbl] kg of DIOXIN AND DIOXIN-LIKE COMPOUNDS emissions to water per bbl of crude throughput - Low Complexity</v>
      </c>
      <c r="K473" s="419"/>
      <c r="L473" s="419"/>
      <c r="M473" s="419"/>
      <c r="N473" s="419"/>
      <c r="O473" s="419"/>
      <c r="P473" s="420"/>
      <c r="Q473" s="2"/>
      <c r="R473" s="2"/>
      <c r="S473" s="2"/>
      <c r="T473" s="2"/>
      <c r="U473" s="2"/>
      <c r="V473" s="2"/>
      <c r="W473" s="2"/>
      <c r="X473" s="2"/>
      <c r="Y473" s="2"/>
    </row>
    <row r="474" spans="1:25" x14ac:dyDescent="0.25">
      <c r="A474" s="2"/>
      <c r="B474" s="17">
        <f t="shared" si="33"/>
        <v>13</v>
      </c>
      <c r="C474" s="340" t="str">
        <f>Water_emissions!CW215</f>
        <v>w_DIOXINAND_M</v>
      </c>
      <c r="D474" s="341"/>
      <c r="E474" s="368">
        <f>HLOOKUP($C478,Water_emissions!$E$16:$CQ$32,4,FALSE)</f>
        <v>6.4653159696761489E-7</v>
      </c>
      <c r="F474" s="368">
        <f>HLOOKUP($C478,Water_emissions!$E$16:$CQ$32,9,FALSE)</f>
        <v>0</v>
      </c>
      <c r="G474" s="368">
        <f>HLOOKUP($C478,Water_emissions!$E$16:$CQ$32,14,FALSE)</f>
        <v>1.6666368355110075E-6</v>
      </c>
      <c r="H474" s="344" t="s">
        <v>1085</v>
      </c>
      <c r="I474" s="342" t="s">
        <v>2233</v>
      </c>
      <c r="J474" s="418" t="str">
        <f>Water_emissions!CY215</f>
        <v>[kg/bbl] kg of DIOXIN AND DIOXIN-LIKE COMPOUNDS emissions to water per bbl of crude throughput - Med Complexity</v>
      </c>
      <c r="K474" s="419"/>
      <c r="L474" s="419"/>
      <c r="M474" s="419"/>
      <c r="N474" s="419"/>
      <c r="O474" s="419"/>
      <c r="P474" s="420"/>
      <c r="Q474" s="2"/>
      <c r="R474" s="2"/>
      <c r="S474" s="2"/>
      <c r="T474" s="2"/>
      <c r="U474" s="2"/>
      <c r="V474" s="2"/>
      <c r="W474" s="2"/>
      <c r="X474" s="2"/>
      <c r="Y474" s="2"/>
    </row>
    <row r="475" spans="1:25" x14ac:dyDescent="0.25">
      <c r="A475" s="2"/>
      <c r="B475" s="17">
        <f t="shared" si="33"/>
        <v>15</v>
      </c>
      <c r="C475" s="340" t="str">
        <f>Water_emissions!CW216</f>
        <v>w_DIOXINAND_HiH</v>
      </c>
      <c r="D475" s="341"/>
      <c r="E475" s="368">
        <f>HLOOKUP($C478,Water_emissions!$E$16:$CQ$32,5,FALSE)</f>
        <v>3.2848402114211737E-7</v>
      </c>
      <c r="F475" s="368">
        <f>HLOOKUP($C478,Water_emissions!$E$16:$CQ$32,10,FALSE)</f>
        <v>0</v>
      </c>
      <c r="G475" s="368">
        <f>HLOOKUP($C478,Water_emissions!$E$16:$CQ$32,15,FALSE)</f>
        <v>7.4821857424487736E-7</v>
      </c>
      <c r="H475" s="344" t="s">
        <v>1085</v>
      </c>
      <c r="I475" s="342" t="s">
        <v>2233</v>
      </c>
      <c r="J475" s="418" t="str">
        <f>Water_emissions!CY216</f>
        <v>[kg/bbl] kg of DIOXIN AND DIOXIN-LIKE COMPOUNDS emissions to water per bbl of crude throughput - High Complexity Hydro Cracking</v>
      </c>
      <c r="K475" s="419"/>
      <c r="L475" s="419"/>
      <c r="M475" s="419"/>
      <c r="N475" s="419"/>
      <c r="O475" s="419"/>
      <c r="P475" s="420"/>
      <c r="Q475" s="2"/>
      <c r="R475" s="2"/>
      <c r="S475" s="2"/>
      <c r="T475" s="2"/>
      <c r="U475" s="2"/>
      <c r="V475" s="2"/>
      <c r="W475" s="2"/>
      <c r="X475" s="2"/>
      <c r="Y475" s="2"/>
    </row>
    <row r="476" spans="1:25" x14ac:dyDescent="0.25">
      <c r="A476" s="2"/>
      <c r="B476" s="17">
        <f t="shared" si="33"/>
        <v>15</v>
      </c>
      <c r="C476" s="340" t="str">
        <f>Water_emissions!CW217</f>
        <v>w_DIOXINAND_HiC</v>
      </c>
      <c r="D476" s="341"/>
      <c r="E476" s="368">
        <f>HLOOKUP($C478,Water_emissions!$E$16:$CQ$32,6,FALSE)</f>
        <v>4.0742002550049479E-7</v>
      </c>
      <c r="F476" s="368">
        <f>HLOOKUP($C478,Water_emissions!$E$16:$CQ$32,11,FALSE)</f>
        <v>0</v>
      </c>
      <c r="G476" s="368">
        <f>HLOOKUP($C478,Water_emissions!$E$16:$CQ$32,16,FALSE)</f>
        <v>8.4681015452538645E-7</v>
      </c>
      <c r="H476" s="344" t="s">
        <v>1085</v>
      </c>
      <c r="I476" s="342" t="s">
        <v>2233</v>
      </c>
      <c r="J476" s="418" t="str">
        <f>Water_emissions!CY217</f>
        <v>[kg/bbl] kg of DIOXIN AND DIOXIN-LIKE COMPOUNDS emissions to water per bbl of crude throughput - High Complexity Coking</v>
      </c>
      <c r="K476" s="419"/>
      <c r="L476" s="419"/>
      <c r="M476" s="419"/>
      <c r="N476" s="419"/>
      <c r="O476" s="419"/>
      <c r="P476" s="420"/>
      <c r="Q476" s="2"/>
      <c r="R476" s="2"/>
      <c r="S476" s="2"/>
      <c r="T476" s="2"/>
      <c r="U476" s="2"/>
      <c r="V476" s="2"/>
      <c r="W476" s="2"/>
      <c r="X476" s="2"/>
      <c r="Y476" s="2"/>
    </row>
    <row r="477" spans="1:25" x14ac:dyDescent="0.25">
      <c r="A477" s="2"/>
      <c r="B477" s="17">
        <f t="shared" si="33"/>
        <v>15</v>
      </c>
      <c r="C477" s="340" t="str">
        <f>Water_emissions!CW218</f>
        <v>w_DIOXINAND_HiB</v>
      </c>
      <c r="D477" s="341"/>
      <c r="E477" s="368">
        <f>HLOOKUP($C478,Water_emissions!$E$16:$CQ$32,7,FALSE)</f>
        <v>1.6431110091447664E-7</v>
      </c>
      <c r="F477" s="368">
        <f>HLOOKUP($C478,Water_emissions!$E$16:$CQ$32,12,FALSE)</f>
        <v>0</v>
      </c>
      <c r="G477" s="368">
        <f>HLOOKUP($C478,Water_emissions!$E$16:$CQ$32,17,FALSE)</f>
        <v>8.6698374728096298E-7</v>
      </c>
      <c r="H477" s="344" t="s">
        <v>1085</v>
      </c>
      <c r="I477" s="342" t="s">
        <v>2233</v>
      </c>
      <c r="J477" s="418" t="str">
        <f>Water_emissions!CY218</f>
        <v>[kg/bbl] kg of DIOXIN AND DIOXIN-LIKE COMPOUNDS emissions to water per bbl of crude throughput - High Complexity Hydro Cracking and Coking</v>
      </c>
      <c r="K477" s="419"/>
      <c r="L477" s="419"/>
      <c r="M477" s="419"/>
      <c r="N477" s="419"/>
      <c r="O477" s="419"/>
      <c r="P477" s="420"/>
      <c r="Q477" s="2"/>
      <c r="R477" s="2"/>
      <c r="S477" s="2"/>
      <c r="T477" s="2"/>
      <c r="U477" s="2"/>
      <c r="V477" s="2"/>
      <c r="W477" s="2"/>
      <c r="X477" s="2"/>
      <c r="Y477" s="2"/>
    </row>
    <row r="478" spans="1:25" ht="39.75" customHeight="1" x14ac:dyDescent="0.25">
      <c r="A478" s="2"/>
      <c r="B478" s="17">
        <f t="shared" si="33"/>
        <v>11</v>
      </c>
      <c r="C478" s="340" t="str">
        <f>Water_emissions!CW219</f>
        <v>w_DIOXINAND</v>
      </c>
      <c r="D478" s="39" t="str">
        <f>"IF(NC=0;"&amp;C473&amp;";IF(NC=1;"&amp;C474&amp;";IF(NC=2;"&amp;C475&amp;";IF(NC=3;"&amp;C476&amp;";"&amp;C477&amp;"))))/"&amp;$C$27</f>
        <v>IF(NC=0;w_DIOXINAND_L;IF(NC=1;w_DIOXINAND_M;IF(NC=2;w_DIOXINAND_HiH;IF(NC=3;w_DIOXINAND_HiC;w_DIOXINAND_HiB))))/Density_oil</v>
      </c>
      <c r="E478" s="68">
        <f>IF($E$24=0,E473,IF($E$24=1,E474,IF($E$24=2,E475,IF($E$24=3,E476,E477))))/$E$27</f>
        <v>1.1847471422302826E-9</v>
      </c>
      <c r="F478" s="342"/>
      <c r="G478" s="343"/>
      <c r="H478" s="344" t="s">
        <v>489</v>
      </c>
      <c r="I478" s="342" t="s">
        <v>2233</v>
      </c>
      <c r="J478" s="418" t="str">
        <f>Water_emissions!CY219</f>
        <v>[kg/bbl] kg of DIOXIN AND DIOXIN-LIKE COMPOUNDS emissions to water per bbl of crude throughput</v>
      </c>
      <c r="K478" s="419"/>
      <c r="L478" s="419"/>
      <c r="M478" s="419"/>
      <c r="N478" s="419"/>
      <c r="O478" s="419"/>
      <c r="P478" s="420"/>
      <c r="Q478" s="2"/>
      <c r="R478" s="2"/>
      <c r="S478" s="2"/>
      <c r="T478" s="2"/>
      <c r="U478" s="2"/>
      <c r="V478" s="2"/>
      <c r="W478" s="2"/>
      <c r="X478" s="2"/>
      <c r="Y478" s="2"/>
    </row>
    <row r="479" spans="1:25" x14ac:dyDescent="0.25">
      <c r="A479" s="2"/>
      <c r="B479" s="17">
        <f t="shared" si="33"/>
        <v>10</v>
      </c>
      <c r="C479" s="340" t="str">
        <f>Water_emissions!CW220</f>
        <v>w_ETHENE_L</v>
      </c>
      <c r="D479" s="341"/>
      <c r="E479" s="368">
        <f>HLOOKUP($C484,Water_emissions!$E$16:$CQ$32,3,FALSE)</f>
        <v>0</v>
      </c>
      <c r="F479" s="368">
        <f>HLOOKUP($C484,Water_emissions!$E$16:$CQ$32,8,FALSE)</f>
        <v>0</v>
      </c>
      <c r="G479" s="368">
        <f>HLOOKUP($C484,Water_emissions!$E$16:$CQ$32,13,FALSE)</f>
        <v>0</v>
      </c>
      <c r="H479" s="344" t="s">
        <v>1085</v>
      </c>
      <c r="I479" s="342" t="s">
        <v>2233</v>
      </c>
      <c r="J479" s="418" t="str">
        <f>Water_emissions!CY220</f>
        <v>[kg/bbl] kg of ETHENE emissions to water per bbl of crude throughput - Low Complexity</v>
      </c>
      <c r="K479" s="419"/>
      <c r="L479" s="419"/>
      <c r="M479" s="419"/>
      <c r="N479" s="419"/>
      <c r="O479" s="419"/>
      <c r="P479" s="420"/>
      <c r="Q479" s="2"/>
      <c r="R479" s="2"/>
      <c r="S479" s="2"/>
      <c r="T479" s="2"/>
      <c r="U479" s="2"/>
      <c r="V479" s="2"/>
      <c r="W479" s="2"/>
      <c r="X479" s="2"/>
      <c r="Y479" s="2"/>
    </row>
    <row r="480" spans="1:25" x14ac:dyDescent="0.25">
      <c r="A480" s="2"/>
      <c r="B480" s="17">
        <f t="shared" si="33"/>
        <v>10</v>
      </c>
      <c r="C480" s="340" t="str">
        <f>Water_emissions!CW221</f>
        <v>w_ETHENE_M</v>
      </c>
      <c r="D480" s="341"/>
      <c r="E480" s="368">
        <f>HLOOKUP($C484,Water_emissions!$E$16:$CQ$32,4,FALSE)</f>
        <v>0.23986571033253726</v>
      </c>
      <c r="F480" s="368">
        <f>HLOOKUP($C484,Water_emissions!$E$16:$CQ$32,9,FALSE)</f>
        <v>0</v>
      </c>
      <c r="G480" s="368">
        <f>HLOOKUP($C484,Water_emissions!$E$16:$CQ$32,14,FALSE)</f>
        <v>1.6723479623044926</v>
      </c>
      <c r="H480" s="344" t="s">
        <v>1085</v>
      </c>
      <c r="I480" s="342" t="s">
        <v>2233</v>
      </c>
      <c r="J480" s="418" t="str">
        <f>Water_emissions!CY221</f>
        <v>[kg/bbl] kg of ETHENE emissions to water per bbl of crude throughput - Med Complexity</v>
      </c>
      <c r="K480" s="419"/>
      <c r="L480" s="419"/>
      <c r="M480" s="419"/>
      <c r="N480" s="419"/>
      <c r="O480" s="419"/>
      <c r="P480" s="420"/>
      <c r="Q480" s="2"/>
      <c r="R480" s="2"/>
      <c r="S480" s="2"/>
      <c r="T480" s="2"/>
      <c r="U480" s="2"/>
      <c r="V480" s="2"/>
      <c r="W480" s="2"/>
      <c r="X480" s="2"/>
      <c r="Y480" s="2"/>
    </row>
    <row r="481" spans="1:25" x14ac:dyDescent="0.25">
      <c r="A481" s="2"/>
      <c r="B481" s="17">
        <f t="shared" si="33"/>
        <v>12</v>
      </c>
      <c r="C481" s="340" t="str">
        <f>Water_emissions!CW222</f>
        <v>w_ETHENE_HiH</v>
      </c>
      <c r="D481" s="341"/>
      <c r="E481" s="368">
        <f>HLOOKUP($C484,Water_emissions!$E$16:$CQ$32,5,FALSE)</f>
        <v>0</v>
      </c>
      <c r="F481" s="368">
        <f>HLOOKUP($C484,Water_emissions!$E$16:$CQ$32,10,FALSE)</f>
        <v>0</v>
      </c>
      <c r="G481" s="368">
        <f>HLOOKUP($C484,Water_emissions!$E$16:$CQ$32,15,FALSE)</f>
        <v>0</v>
      </c>
      <c r="H481" s="344" t="s">
        <v>1085</v>
      </c>
      <c r="I481" s="342" t="s">
        <v>2233</v>
      </c>
      <c r="J481" s="418" t="str">
        <f>Water_emissions!CY222</f>
        <v>[kg/bbl] kg of ETHENE emissions to water per bbl of crude throughput - High Complexity Hydro Cracking</v>
      </c>
      <c r="K481" s="419"/>
      <c r="L481" s="419"/>
      <c r="M481" s="419"/>
      <c r="N481" s="419"/>
      <c r="O481" s="419"/>
      <c r="P481" s="420"/>
      <c r="Q481" s="2"/>
      <c r="R481" s="2"/>
      <c r="S481" s="2"/>
      <c r="T481" s="2"/>
      <c r="U481" s="2"/>
      <c r="V481" s="2"/>
      <c r="W481" s="2"/>
      <c r="X481" s="2"/>
      <c r="Y481" s="2"/>
    </row>
    <row r="482" spans="1:25" x14ac:dyDescent="0.25">
      <c r="A482" s="2"/>
      <c r="B482" s="17">
        <f t="shared" si="33"/>
        <v>12</v>
      </c>
      <c r="C482" s="340" t="str">
        <f>Water_emissions!CW223</f>
        <v>w_ETHENE_HiC</v>
      </c>
      <c r="D482" s="341"/>
      <c r="E482" s="368">
        <f>HLOOKUP($C484,Water_emissions!$E$16:$CQ$32,6,FALSE)</f>
        <v>0</v>
      </c>
      <c r="F482" s="368">
        <f>HLOOKUP($C484,Water_emissions!$E$16:$CQ$32,11,FALSE)</f>
        <v>0</v>
      </c>
      <c r="G482" s="368">
        <f>HLOOKUP($C484,Water_emissions!$E$16:$CQ$32,16,FALSE)</f>
        <v>0</v>
      </c>
      <c r="H482" s="344" t="s">
        <v>1085</v>
      </c>
      <c r="I482" s="342" t="s">
        <v>2233</v>
      </c>
      <c r="J482" s="418" t="str">
        <f>Water_emissions!CY223</f>
        <v>[kg/bbl] kg of ETHENE emissions to water per bbl of crude throughput - High Complexity Coking</v>
      </c>
      <c r="K482" s="419"/>
      <c r="L482" s="419"/>
      <c r="M482" s="419"/>
      <c r="N482" s="419"/>
      <c r="O482" s="419"/>
      <c r="P482" s="420"/>
      <c r="Q482" s="2"/>
      <c r="R482" s="2"/>
      <c r="S482" s="2"/>
      <c r="T482" s="2"/>
      <c r="U482" s="2"/>
      <c r="V482" s="2"/>
      <c r="W482" s="2"/>
      <c r="X482" s="2"/>
      <c r="Y482" s="2"/>
    </row>
    <row r="483" spans="1:25" x14ac:dyDescent="0.25">
      <c r="A483" s="2"/>
      <c r="B483" s="17">
        <f t="shared" si="33"/>
        <v>12</v>
      </c>
      <c r="C483" s="340" t="str">
        <f>Water_emissions!CW224</f>
        <v>w_ETHENE_HiB</v>
      </c>
      <c r="D483" s="341"/>
      <c r="E483" s="368">
        <f>HLOOKUP($C484,Water_emissions!$E$16:$CQ$32,7,FALSE)</f>
        <v>1.0117733627667403E-2</v>
      </c>
      <c r="F483" s="368">
        <f>HLOOKUP($C484,Water_emissions!$E$16:$CQ$32,12,FALSE)</f>
        <v>0</v>
      </c>
      <c r="G483" s="368">
        <f>HLOOKUP($C484,Water_emissions!$E$16:$CQ$32,17,FALSE)</f>
        <v>3.0353200883002206E-2</v>
      </c>
      <c r="H483" s="344" t="s">
        <v>1085</v>
      </c>
      <c r="I483" s="342" t="s">
        <v>2233</v>
      </c>
      <c r="J483" s="418" t="str">
        <f>Water_emissions!CY224</f>
        <v>[kg/bbl] kg of ETHENE emissions to water per bbl of crude throughput - High Complexity Hydro Cracking and Coking</v>
      </c>
      <c r="K483" s="419"/>
      <c r="L483" s="419"/>
      <c r="M483" s="419"/>
      <c r="N483" s="419"/>
      <c r="O483" s="419"/>
      <c r="P483" s="420"/>
      <c r="Q483" s="2"/>
      <c r="R483" s="2"/>
      <c r="S483" s="2"/>
      <c r="T483" s="2"/>
      <c r="U483" s="2"/>
      <c r="V483" s="2"/>
      <c r="W483" s="2"/>
      <c r="X483" s="2"/>
      <c r="Y483" s="2"/>
    </row>
    <row r="484" spans="1:25" ht="26.25" x14ac:dyDescent="0.25">
      <c r="A484" s="2"/>
      <c r="B484" s="17">
        <f t="shared" si="33"/>
        <v>8</v>
      </c>
      <c r="C484" s="340" t="str">
        <f>Water_emissions!CW225</f>
        <v>w_ETHENE</v>
      </c>
      <c r="D484" s="39" t="str">
        <f>"IF(NC=0;"&amp;C479&amp;";IF(NC=1;"&amp;C480&amp;";IF(NC=2;"&amp;C481&amp;";IF(NC=3;"&amp;C482&amp;";"&amp;C483&amp;"))))/"&amp;$C$27</f>
        <v>IF(NC=0;w_ETHENE_L;IF(NC=1;w_ETHENE_M;IF(NC=2;w_ETHENE_HiH;IF(NC=3;w_ETHENE_HiC;w_ETHENE_HiB))))/Density_oil</v>
      </c>
      <c r="E484" s="68">
        <f>IF($E$24=0,E479,IF($E$24=1,E480,IF($E$24=2,E481,IF($E$24=3,E482,E483))))/$E$27</f>
        <v>7.2952806806798496E-5</v>
      </c>
      <c r="F484" s="342"/>
      <c r="G484" s="343"/>
      <c r="H484" s="344" t="s">
        <v>489</v>
      </c>
      <c r="I484" s="342" t="s">
        <v>2233</v>
      </c>
      <c r="J484" s="418" t="str">
        <f>Water_emissions!CY225</f>
        <v>[kg/bbl] kg of ETHENE emissions to water per bbl of crude throughput</v>
      </c>
      <c r="K484" s="419"/>
      <c r="L484" s="419"/>
      <c r="M484" s="419"/>
      <c r="N484" s="419"/>
      <c r="O484" s="419"/>
      <c r="P484" s="420"/>
      <c r="Q484" s="2"/>
      <c r="R484" s="2"/>
      <c r="S484" s="2"/>
      <c r="T484" s="2"/>
      <c r="U484" s="2"/>
      <c r="V484" s="2"/>
      <c r="W484" s="2"/>
      <c r="X484" s="2"/>
      <c r="Y484" s="2"/>
    </row>
    <row r="485" spans="1:25" x14ac:dyDescent="0.25">
      <c r="A485" s="2"/>
      <c r="B485" s="17">
        <f t="shared" si="33"/>
        <v>13</v>
      </c>
      <c r="C485" s="340" t="str">
        <f>Water_emissions!CW226</f>
        <v>w_ETHYLBENZ_L</v>
      </c>
      <c r="D485" s="341"/>
      <c r="E485" s="368">
        <f>HLOOKUP($C490,Water_emissions!$E$16:$CQ$32,3,FALSE)</f>
        <v>6.8345514623490257E-3</v>
      </c>
      <c r="F485" s="368">
        <f>HLOOKUP($C490,Water_emissions!$E$16:$CQ$32,8,FALSE)</f>
        <v>0</v>
      </c>
      <c r="G485" s="368">
        <f>HLOOKUP($C490,Water_emissions!$E$16:$CQ$32,13,FALSE)</f>
        <v>2.5817320655205287E-2</v>
      </c>
      <c r="H485" s="344" t="s">
        <v>1085</v>
      </c>
      <c r="I485" s="342" t="s">
        <v>2233</v>
      </c>
      <c r="J485" s="418" t="str">
        <f>Water_emissions!CY226</f>
        <v>[kg/bbl] kg of ETHYLBENZENE emissions to water per bbl of crude throughput - Low Complexity</v>
      </c>
      <c r="K485" s="419"/>
      <c r="L485" s="419"/>
      <c r="M485" s="419"/>
      <c r="N485" s="419"/>
      <c r="O485" s="419"/>
      <c r="P485" s="420"/>
      <c r="Q485" s="2"/>
      <c r="R485" s="2"/>
      <c r="S485" s="2"/>
      <c r="T485" s="2"/>
      <c r="U485" s="2"/>
      <c r="V485" s="2"/>
      <c r="W485" s="2"/>
      <c r="X485" s="2"/>
      <c r="Y485" s="2"/>
    </row>
    <row r="486" spans="1:25" x14ac:dyDescent="0.25">
      <c r="A486" s="2"/>
      <c r="B486" s="17">
        <f t="shared" si="33"/>
        <v>13</v>
      </c>
      <c r="C486" s="340" t="str">
        <f>Water_emissions!CW227</f>
        <v>w_ETHYLBENZ_M</v>
      </c>
      <c r="D486" s="341"/>
      <c r="E486" s="368">
        <f>HLOOKUP($C490,Water_emissions!$E$16:$CQ$32,4,FALSE)</f>
        <v>1.5520162858322421E-2</v>
      </c>
      <c r="F486" s="368">
        <f>HLOOKUP($C490,Water_emissions!$E$16:$CQ$32,9,FALSE)</f>
        <v>0</v>
      </c>
      <c r="G486" s="368">
        <f>HLOOKUP($C490,Water_emissions!$E$16:$CQ$32,14,FALSE)</f>
        <v>0.1010458807199585</v>
      </c>
      <c r="H486" s="344" t="s">
        <v>1085</v>
      </c>
      <c r="I486" s="342" t="s">
        <v>2233</v>
      </c>
      <c r="J486" s="418" t="str">
        <f>Water_emissions!CY227</f>
        <v>[kg/bbl] kg of ETHYLBENZENE emissions to water per bbl of crude throughput - Med Complexity</v>
      </c>
      <c r="K486" s="419"/>
      <c r="L486" s="419"/>
      <c r="M486" s="419"/>
      <c r="N486" s="419"/>
      <c r="O486" s="419"/>
      <c r="P486" s="420"/>
      <c r="Q486" s="2"/>
      <c r="R486" s="2"/>
      <c r="S486" s="2"/>
      <c r="T486" s="2"/>
      <c r="U486" s="2"/>
      <c r="V486" s="2"/>
      <c r="W486" s="2"/>
      <c r="X486" s="2"/>
      <c r="Y486" s="2"/>
    </row>
    <row r="487" spans="1:25" x14ac:dyDescent="0.25">
      <c r="A487" s="2"/>
      <c r="B487" s="17">
        <f t="shared" si="33"/>
        <v>15</v>
      </c>
      <c r="C487" s="340" t="str">
        <f>Water_emissions!CW228</f>
        <v>w_ETHYLBENZ_HiH</v>
      </c>
      <c r="D487" s="341"/>
      <c r="E487" s="368">
        <f>HLOOKUP($C490,Water_emissions!$E$16:$CQ$32,5,FALSE)</f>
        <v>7.9175286921769634E-3</v>
      </c>
      <c r="F487" s="368">
        <f>HLOOKUP($C490,Water_emissions!$E$16:$CQ$32,10,FALSE)</f>
        <v>6.5194431773101381E-4</v>
      </c>
      <c r="G487" s="368">
        <f>HLOOKUP($C490,Water_emissions!$E$16:$CQ$32,15,FALSE)</f>
        <v>1.5404511199143234E-2</v>
      </c>
      <c r="H487" s="344" t="s">
        <v>1085</v>
      </c>
      <c r="I487" s="342" t="s">
        <v>2233</v>
      </c>
      <c r="J487" s="418" t="str">
        <f>Water_emissions!CY228</f>
        <v>[kg/bbl] kg of ETHYLBENZENE emissions to water per bbl of crude throughput - High Complexity Hydro Cracking</v>
      </c>
      <c r="K487" s="419"/>
      <c r="L487" s="419"/>
      <c r="M487" s="419"/>
      <c r="N487" s="419"/>
      <c r="O487" s="419"/>
      <c r="P487" s="420"/>
      <c r="Q487" s="2"/>
      <c r="R487" s="2"/>
      <c r="S487" s="2"/>
      <c r="T487" s="2"/>
      <c r="U487" s="2"/>
      <c r="V487" s="2"/>
      <c r="W487" s="2"/>
      <c r="X487" s="2"/>
      <c r="Y487" s="2"/>
    </row>
    <row r="488" spans="1:25" x14ac:dyDescent="0.25">
      <c r="A488" s="2"/>
      <c r="B488" s="17">
        <f t="shared" si="33"/>
        <v>15</v>
      </c>
      <c r="C488" s="340" t="str">
        <f>Water_emissions!CW229</f>
        <v>w_ETHYLBENZ_HiC</v>
      </c>
      <c r="D488" s="341"/>
      <c r="E488" s="368">
        <f>HLOOKUP($C490,Water_emissions!$E$16:$CQ$32,6,FALSE)</f>
        <v>2.6412769261868151E-2</v>
      </c>
      <c r="F488" s="368">
        <f>HLOOKUP($C490,Water_emissions!$E$16:$CQ$32,11,FALSE)</f>
        <v>0</v>
      </c>
      <c r="G488" s="368">
        <f>HLOOKUP($C490,Water_emissions!$E$16:$CQ$32,16,FALSE)</f>
        <v>0.26980623007113075</v>
      </c>
      <c r="H488" s="344" t="s">
        <v>1085</v>
      </c>
      <c r="I488" s="342" t="s">
        <v>2233</v>
      </c>
      <c r="J488" s="418" t="str">
        <f>Water_emissions!CY229</f>
        <v>[kg/bbl] kg of ETHYLBENZENE emissions to water per bbl of crude throughput - High Complexity Coking</v>
      </c>
      <c r="K488" s="419"/>
      <c r="L488" s="419"/>
      <c r="M488" s="419"/>
      <c r="N488" s="419"/>
      <c r="O488" s="419"/>
      <c r="P488" s="420"/>
      <c r="Q488" s="2"/>
      <c r="R488" s="2"/>
      <c r="S488" s="2"/>
      <c r="T488" s="2"/>
      <c r="U488" s="2"/>
      <c r="V488" s="2"/>
      <c r="W488" s="2"/>
      <c r="X488" s="2"/>
      <c r="Y488" s="2"/>
    </row>
    <row r="489" spans="1:25" x14ac:dyDescent="0.25">
      <c r="A489" s="2"/>
      <c r="B489" s="17">
        <f t="shared" si="33"/>
        <v>15</v>
      </c>
      <c r="C489" s="340" t="str">
        <f>Water_emissions!CW230</f>
        <v>w_ETHYLBENZ_HiB</v>
      </c>
      <c r="D489" s="341"/>
      <c r="E489" s="368">
        <f>HLOOKUP($C490,Water_emissions!$E$16:$CQ$32,7,FALSE)</f>
        <v>6.8922118282100748E-3</v>
      </c>
      <c r="F489" s="368">
        <f>HLOOKUP($C490,Water_emissions!$E$16:$CQ$32,12,FALSE)</f>
        <v>0</v>
      </c>
      <c r="G489" s="368">
        <f>HLOOKUP($C490,Water_emissions!$E$16:$CQ$32,17,FALSE)</f>
        <v>5.5833612778559971E-2</v>
      </c>
      <c r="H489" s="344" t="s">
        <v>1085</v>
      </c>
      <c r="I489" s="342" t="s">
        <v>2233</v>
      </c>
      <c r="J489" s="418" t="str">
        <f>Water_emissions!CY230</f>
        <v>[kg/bbl] kg of ETHYLBENZENE emissions to water per bbl of crude throughput - High Complexity Hydro Cracking and Coking</v>
      </c>
      <c r="K489" s="419"/>
      <c r="L489" s="419"/>
      <c r="M489" s="419"/>
      <c r="N489" s="419"/>
      <c r="O489" s="419"/>
      <c r="P489" s="420"/>
      <c r="Q489" s="2"/>
      <c r="R489" s="2"/>
      <c r="S489" s="2"/>
      <c r="T489" s="2"/>
      <c r="U489" s="2"/>
      <c r="V489" s="2"/>
      <c r="W489" s="2"/>
      <c r="X489" s="2"/>
      <c r="Y489" s="2"/>
    </row>
    <row r="490" spans="1:25" ht="39" x14ac:dyDescent="0.25">
      <c r="A490" s="2"/>
      <c r="B490" s="17">
        <f t="shared" si="33"/>
        <v>11</v>
      </c>
      <c r="C490" s="340" t="str">
        <f>Water_emissions!CW231</f>
        <v>w_ETHYLBENZ</v>
      </c>
      <c r="D490" s="39" t="str">
        <f>"IF(NC=0;"&amp;C485&amp;";IF(NC=1;"&amp;C486&amp;";IF(NC=2;"&amp;C487&amp;";IF(NC=3;"&amp;C488&amp;";"&amp;C489&amp;"))))/"&amp;$C$27</f>
        <v>IF(NC=0;w_ETHYLBENZ_L;IF(NC=1;w_ETHYLBENZ_M;IF(NC=2;w_ETHYLBENZ_HiH;IF(NC=3;w_ETHYLBENZ_HiC;w_ETHYLBENZ_HiB))))/Density_oil</v>
      </c>
      <c r="E490" s="68">
        <f>IF($E$24=0,E485,IF($E$24=1,E486,IF($E$24=2,E487,IF($E$24=3,E488,E489))))/$E$27</f>
        <v>4.9695536221668716E-5</v>
      </c>
      <c r="F490" s="342"/>
      <c r="G490" s="343"/>
      <c r="H490" s="344" t="s">
        <v>489</v>
      </c>
      <c r="I490" s="342" t="s">
        <v>2233</v>
      </c>
      <c r="J490" s="418" t="str">
        <f>Water_emissions!CY231</f>
        <v>[kg/bbl] kg of ETHYLBENZENE emissions to water per bbl of crude throughput</v>
      </c>
      <c r="K490" s="419"/>
      <c r="L490" s="419"/>
      <c r="M490" s="419"/>
      <c r="N490" s="419"/>
      <c r="O490" s="419"/>
      <c r="P490" s="420"/>
      <c r="Q490" s="2"/>
      <c r="R490" s="2"/>
      <c r="S490" s="2"/>
      <c r="T490" s="2"/>
      <c r="U490" s="2"/>
      <c r="V490" s="2"/>
      <c r="W490" s="2"/>
      <c r="X490" s="2"/>
      <c r="Y490" s="2"/>
    </row>
    <row r="491" spans="1:25" x14ac:dyDescent="0.25">
      <c r="A491" s="2"/>
      <c r="B491" s="17">
        <f t="shared" si="33"/>
        <v>13</v>
      </c>
      <c r="C491" s="340" t="str">
        <f>Water_emissions!CW232</f>
        <v>w_ETHYLENED_L</v>
      </c>
      <c r="D491" s="341"/>
      <c r="E491" s="368">
        <f>HLOOKUP($C496,Water_emissions!$E$16:$CQ$32,3,FALSE)</f>
        <v>1.6160333100099101E-4</v>
      </c>
      <c r="F491" s="368">
        <f>HLOOKUP($C496,Water_emissions!$E$16:$CQ$32,8,FALSE)</f>
        <v>0</v>
      </c>
      <c r="G491" s="368">
        <f>HLOOKUP($C496,Water_emissions!$E$16:$CQ$32,13,FALSE)</f>
        <v>3.2320666200198202E-4</v>
      </c>
      <c r="H491" s="344" t="s">
        <v>1085</v>
      </c>
      <c r="I491" s="342" t="s">
        <v>2233</v>
      </c>
      <c r="J491" s="418" t="str">
        <f>Water_emissions!CY232</f>
        <v>[kg/bbl] kg of ETHYLENE DIBROMIDE emissions to water per bbl of crude throughput - Low Complexity</v>
      </c>
      <c r="K491" s="419"/>
      <c r="L491" s="419"/>
      <c r="M491" s="419"/>
      <c r="N491" s="419"/>
      <c r="O491" s="419"/>
      <c r="P491" s="420"/>
      <c r="Q491" s="2"/>
      <c r="R491" s="2"/>
      <c r="S491" s="2"/>
      <c r="T491" s="2"/>
      <c r="U491" s="2"/>
      <c r="V491" s="2"/>
      <c r="W491" s="2"/>
      <c r="X491" s="2"/>
      <c r="Y491" s="2"/>
    </row>
    <row r="492" spans="1:25" x14ac:dyDescent="0.25">
      <c r="A492" s="2"/>
      <c r="B492" s="17">
        <f t="shared" si="33"/>
        <v>13</v>
      </c>
      <c r="C492" s="340" t="str">
        <f>Water_emissions!CW233</f>
        <v>w_ETHYLENED_M</v>
      </c>
      <c r="D492" s="341"/>
      <c r="E492" s="368">
        <f>HLOOKUP($C496,Water_emissions!$E$16:$CQ$32,4,FALSE)</f>
        <v>1.6160333100099101E-4</v>
      </c>
      <c r="F492" s="368">
        <f>HLOOKUP($C496,Water_emissions!$E$16:$CQ$32,9,FALSE)</f>
        <v>0</v>
      </c>
      <c r="G492" s="368">
        <f>HLOOKUP($C496,Water_emissions!$E$16:$CQ$32,14,FALSE)</f>
        <v>3.2320666200198202E-4</v>
      </c>
      <c r="H492" s="344" t="s">
        <v>1085</v>
      </c>
      <c r="I492" s="342" t="s">
        <v>2233</v>
      </c>
      <c r="J492" s="418" t="str">
        <f>Water_emissions!CY233</f>
        <v>[kg/bbl] kg of ETHYLENE DIBROMIDE emissions to water per bbl of crude throughput - Med Complexity</v>
      </c>
      <c r="K492" s="419"/>
      <c r="L492" s="419"/>
      <c r="M492" s="419"/>
      <c r="N492" s="419"/>
      <c r="O492" s="419"/>
      <c r="P492" s="420"/>
      <c r="Q492" s="2"/>
      <c r="R492" s="2"/>
      <c r="S492" s="2"/>
      <c r="T492" s="2"/>
      <c r="U492" s="2"/>
      <c r="V492" s="2"/>
      <c r="W492" s="2"/>
      <c r="X492" s="2"/>
      <c r="Y492" s="2"/>
    </row>
    <row r="493" spans="1:25" x14ac:dyDescent="0.25">
      <c r="A493" s="2"/>
      <c r="B493" s="17">
        <f t="shared" si="33"/>
        <v>15</v>
      </c>
      <c r="C493" s="340" t="str">
        <f>Water_emissions!CW234</f>
        <v>w_ETHYLENED_HiH</v>
      </c>
      <c r="D493" s="341"/>
      <c r="E493" s="368">
        <f>HLOOKUP($C496,Water_emissions!$E$16:$CQ$32,5,FALSE)</f>
        <v>1.6160333100099101E-4</v>
      </c>
      <c r="F493" s="368">
        <f>HLOOKUP($C496,Water_emissions!$E$16:$CQ$32,10,FALSE)</f>
        <v>0</v>
      </c>
      <c r="G493" s="368">
        <f>HLOOKUP($C496,Water_emissions!$E$16:$CQ$32,15,FALSE)</f>
        <v>3.2320666200198202E-4</v>
      </c>
      <c r="H493" s="344" t="s">
        <v>1085</v>
      </c>
      <c r="I493" s="342" t="s">
        <v>2233</v>
      </c>
      <c r="J493" s="418" t="str">
        <f>Water_emissions!CY234</f>
        <v>[kg/bbl] kg of ETHYLENE DIBROMIDE emissions to water per bbl of crude throughput - High Complexity Hydro Cracking</v>
      </c>
      <c r="K493" s="419"/>
      <c r="L493" s="419"/>
      <c r="M493" s="419"/>
      <c r="N493" s="419"/>
      <c r="O493" s="419"/>
      <c r="P493" s="420"/>
      <c r="Q493" s="2"/>
      <c r="R493" s="2"/>
      <c r="S493" s="2"/>
      <c r="T493" s="2"/>
      <c r="U493" s="2"/>
      <c r="V493" s="2"/>
      <c r="W493" s="2"/>
      <c r="X493" s="2"/>
      <c r="Y493" s="2"/>
    </row>
    <row r="494" spans="1:25" x14ac:dyDescent="0.25">
      <c r="A494" s="2"/>
      <c r="B494" s="17">
        <f t="shared" si="33"/>
        <v>15</v>
      </c>
      <c r="C494" s="340" t="str">
        <f>Water_emissions!CW235</f>
        <v>w_ETHYLENED_HiC</v>
      </c>
      <c r="D494" s="341"/>
      <c r="E494" s="368">
        <f>HLOOKUP($C496,Water_emissions!$E$16:$CQ$32,6,FALSE)</f>
        <v>1.6160333100099101E-4</v>
      </c>
      <c r="F494" s="368">
        <f>HLOOKUP($C496,Water_emissions!$E$16:$CQ$32,11,FALSE)</f>
        <v>0</v>
      </c>
      <c r="G494" s="368">
        <f>HLOOKUP($C496,Water_emissions!$E$16:$CQ$32,16,FALSE)</f>
        <v>3.2320666200198202E-4</v>
      </c>
      <c r="H494" s="344" t="s">
        <v>1085</v>
      </c>
      <c r="I494" s="342" t="s">
        <v>2233</v>
      </c>
      <c r="J494" s="418" t="str">
        <f>Water_emissions!CY235</f>
        <v>[kg/bbl] kg of ETHYLENE DIBROMIDE emissions to water per bbl of crude throughput - High Complexity Coking</v>
      </c>
      <c r="K494" s="419"/>
      <c r="L494" s="419"/>
      <c r="M494" s="419"/>
      <c r="N494" s="419"/>
      <c r="O494" s="419"/>
      <c r="P494" s="420"/>
      <c r="Q494" s="2"/>
      <c r="R494" s="2"/>
      <c r="S494" s="2"/>
      <c r="T494" s="2"/>
      <c r="U494" s="2"/>
      <c r="V494" s="2"/>
      <c r="W494" s="2"/>
      <c r="X494" s="2"/>
      <c r="Y494" s="2"/>
    </row>
    <row r="495" spans="1:25" x14ac:dyDescent="0.25">
      <c r="A495" s="2"/>
      <c r="B495" s="17">
        <f t="shared" si="33"/>
        <v>15</v>
      </c>
      <c r="C495" s="340" t="str">
        <f>Water_emissions!CW236</f>
        <v>w_ETHYLENED_HiB</v>
      </c>
      <c r="D495" s="341"/>
      <c r="E495" s="368">
        <f>HLOOKUP($C496,Water_emissions!$E$16:$CQ$32,7,FALSE)</f>
        <v>1.6160333100099101E-4</v>
      </c>
      <c r="F495" s="368">
        <f>HLOOKUP($C496,Water_emissions!$E$16:$CQ$32,12,FALSE)</f>
        <v>0</v>
      </c>
      <c r="G495" s="368">
        <f>HLOOKUP($C496,Water_emissions!$E$16:$CQ$32,17,FALSE)</f>
        <v>3.2320666200198202E-4</v>
      </c>
      <c r="H495" s="344" t="s">
        <v>1085</v>
      </c>
      <c r="I495" s="342" t="s">
        <v>2233</v>
      </c>
      <c r="J495" s="418" t="str">
        <f>Water_emissions!CY236</f>
        <v>[kg/bbl] kg of ETHYLENE DIBROMIDE emissions to water per bbl of crude throughput - High Complexity Hydro Cracking and Coking</v>
      </c>
      <c r="K495" s="419"/>
      <c r="L495" s="419"/>
      <c r="M495" s="419"/>
      <c r="N495" s="419"/>
      <c r="O495" s="419"/>
      <c r="P495" s="420"/>
      <c r="Q495" s="2"/>
      <c r="R495" s="2"/>
      <c r="S495" s="2"/>
      <c r="T495" s="2"/>
      <c r="U495" s="2"/>
      <c r="V495" s="2"/>
      <c r="W495" s="2"/>
      <c r="X495" s="2"/>
      <c r="Y495" s="2"/>
    </row>
    <row r="496" spans="1:25" ht="39" x14ac:dyDescent="0.25">
      <c r="A496" s="2"/>
      <c r="B496" s="17">
        <f t="shared" si="33"/>
        <v>11</v>
      </c>
      <c r="C496" s="340" t="str">
        <f>Water_emissions!CW237</f>
        <v>w_ETHYLENED</v>
      </c>
      <c r="D496" s="39" t="str">
        <f>"IF(NC=0;"&amp;C491&amp;";IF(NC=1;"&amp;C492&amp;";IF(NC=2;"&amp;C493&amp;";IF(NC=3;"&amp;C494&amp;";"&amp;C495&amp;"))))/"&amp;$C$27</f>
        <v>IF(NC=0;w_ETHYLENED_L;IF(NC=1;w_ETHYLENED_M;IF(NC=2;w_ETHYLENED_HiH;IF(NC=3;w_ETHYLENED_HiC;w_ETHYLENED_HiB))))/Density_oil</v>
      </c>
      <c r="E496" s="68">
        <f>IF($E$24=0,E491,IF($E$24=1,E492,IF($E$24=2,E493,IF($E$24=3,E494,E495))))/$E$27</f>
        <v>1.1652230647396875E-6</v>
      </c>
      <c r="F496" s="342"/>
      <c r="G496" s="343"/>
      <c r="H496" s="344" t="s">
        <v>489</v>
      </c>
      <c r="I496" s="342" t="s">
        <v>2233</v>
      </c>
      <c r="J496" s="418" t="str">
        <f>Water_emissions!CY237</f>
        <v>[kg/bbl] kg of ETHYLENE DIBROMIDE emissions to water per bbl of crude throughput</v>
      </c>
      <c r="K496" s="419"/>
      <c r="L496" s="419"/>
      <c r="M496" s="419"/>
      <c r="N496" s="419"/>
      <c r="O496" s="419"/>
      <c r="P496" s="420"/>
      <c r="Q496" s="2"/>
      <c r="R496" s="2"/>
      <c r="S496" s="2"/>
      <c r="T496" s="2"/>
      <c r="U496" s="2"/>
      <c r="V496" s="2"/>
      <c r="W496" s="2"/>
      <c r="X496" s="2"/>
      <c r="Y496" s="2"/>
    </row>
    <row r="497" spans="1:25" x14ac:dyDescent="0.25">
      <c r="A497" s="2"/>
      <c r="B497" s="17">
        <f t="shared" si="33"/>
        <v>13</v>
      </c>
      <c r="C497" s="340" t="str">
        <f>Water_emissions!CW238</f>
        <v>w_ETHYLENEG_L</v>
      </c>
      <c r="D497" s="341"/>
      <c r="E497" s="368">
        <f>HLOOKUP($C502,Water_emissions!$E$16:$CQ$32,3,FALSE)</f>
        <v>0</v>
      </c>
      <c r="F497" s="368">
        <f>HLOOKUP($C502,Water_emissions!$E$16:$CQ$32,8,FALSE)</f>
        <v>0</v>
      </c>
      <c r="G497" s="368">
        <f>HLOOKUP($C502,Water_emissions!$E$16:$CQ$32,13,FALSE)</f>
        <v>0</v>
      </c>
      <c r="H497" s="344" t="s">
        <v>1085</v>
      </c>
      <c r="I497" s="342" t="s">
        <v>2233</v>
      </c>
      <c r="J497" s="418" t="str">
        <f>Water_emissions!CY238</f>
        <v>[kg/bbl] kg of ETHYLENE GLYCOL emissions to water per bbl of crude throughput - Low Complexity</v>
      </c>
      <c r="K497" s="419"/>
      <c r="L497" s="419"/>
      <c r="M497" s="419"/>
      <c r="N497" s="419"/>
      <c r="O497" s="419"/>
      <c r="P497" s="420"/>
      <c r="Q497" s="2"/>
      <c r="R497" s="2"/>
      <c r="S497" s="2"/>
      <c r="T497" s="2"/>
      <c r="U497" s="2"/>
      <c r="V497" s="2"/>
      <c r="W497" s="2"/>
      <c r="X497" s="2"/>
      <c r="Y497" s="2"/>
    </row>
    <row r="498" spans="1:25" x14ac:dyDescent="0.25">
      <c r="A498" s="2"/>
      <c r="B498" s="17">
        <f t="shared" si="33"/>
        <v>13</v>
      </c>
      <c r="C498" s="340" t="str">
        <f>Water_emissions!CW239</f>
        <v>w_ETHYLENEG_M</v>
      </c>
      <c r="D498" s="341"/>
      <c r="E498" s="368">
        <f>HLOOKUP($C502,Water_emissions!$E$16:$CQ$32,4,FALSE)</f>
        <v>0</v>
      </c>
      <c r="F498" s="368">
        <f>HLOOKUP($C502,Water_emissions!$E$16:$CQ$32,9,FALSE)</f>
        <v>0</v>
      </c>
      <c r="G498" s="368">
        <f>HLOOKUP($C502,Water_emissions!$E$16:$CQ$32,14,FALSE)</f>
        <v>0</v>
      </c>
      <c r="H498" s="344" t="s">
        <v>1085</v>
      </c>
      <c r="I498" s="342" t="s">
        <v>2233</v>
      </c>
      <c r="J498" s="418" t="str">
        <f>Water_emissions!CY239</f>
        <v>[kg/bbl] kg of ETHYLENE GLYCOL emissions to water per bbl of crude throughput - Med Complexity</v>
      </c>
      <c r="K498" s="419"/>
      <c r="L498" s="419"/>
      <c r="M498" s="419"/>
      <c r="N498" s="419"/>
      <c r="O498" s="419"/>
      <c r="P498" s="420"/>
      <c r="Q498" s="2"/>
      <c r="R498" s="2"/>
      <c r="S498" s="2"/>
      <c r="T498" s="2"/>
      <c r="U498" s="2"/>
      <c r="V498" s="2"/>
      <c r="W498" s="2"/>
      <c r="X498" s="2"/>
      <c r="Y498" s="2"/>
    </row>
    <row r="499" spans="1:25" x14ac:dyDescent="0.25">
      <c r="A499" s="2"/>
      <c r="B499" s="17">
        <f t="shared" si="33"/>
        <v>15</v>
      </c>
      <c r="C499" s="340" t="str">
        <f>Water_emissions!CW240</f>
        <v>w_ETHYLENEG_HiH</v>
      </c>
      <c r="D499" s="341"/>
      <c r="E499" s="368">
        <f>HLOOKUP($C502,Water_emissions!$E$16:$CQ$32,5,FALSE)</f>
        <v>2.1231811324789316</v>
      </c>
      <c r="F499" s="368">
        <f>HLOOKUP($C502,Water_emissions!$E$16:$CQ$32,10,FALSE)</f>
        <v>0</v>
      </c>
      <c r="G499" s="368">
        <f>HLOOKUP($C502,Water_emissions!$E$16:$CQ$32,15,FALSE)</f>
        <v>8.080166550049551</v>
      </c>
      <c r="H499" s="344" t="s">
        <v>1085</v>
      </c>
      <c r="I499" s="342" t="s">
        <v>2233</v>
      </c>
      <c r="J499" s="418" t="str">
        <f>Water_emissions!CY240</f>
        <v>[kg/bbl] kg of ETHYLENE GLYCOL emissions to water per bbl of crude throughput - High Complexity Hydro Cracking</v>
      </c>
      <c r="K499" s="419"/>
      <c r="L499" s="419"/>
      <c r="M499" s="419"/>
      <c r="N499" s="419"/>
      <c r="O499" s="419"/>
      <c r="P499" s="420"/>
      <c r="Q499" s="2"/>
      <c r="R499" s="2"/>
      <c r="S499" s="2"/>
      <c r="T499" s="2"/>
      <c r="U499" s="2"/>
      <c r="V499" s="2"/>
      <c r="W499" s="2"/>
      <c r="X499" s="2"/>
      <c r="Y499" s="2"/>
    </row>
    <row r="500" spans="1:25" x14ac:dyDescent="0.25">
      <c r="A500" s="2"/>
      <c r="B500" s="17">
        <f t="shared" si="33"/>
        <v>15</v>
      </c>
      <c r="C500" s="340" t="str">
        <f>Water_emissions!CW241</f>
        <v>w_ETHYLENEG_HiC</v>
      </c>
      <c r="D500" s="341"/>
      <c r="E500" s="368">
        <f>HLOOKUP($C502,Water_emissions!$E$16:$CQ$32,6,FALSE)</f>
        <v>4.5647688571160078E-6</v>
      </c>
      <c r="F500" s="368">
        <f>HLOOKUP($C502,Water_emissions!$E$16:$CQ$32,11,FALSE)</f>
        <v>4.5647688571160078E-6</v>
      </c>
      <c r="G500" s="368">
        <f>HLOOKUP($C502,Water_emissions!$E$16:$CQ$32,16,FALSE)</f>
        <v>4.5647688571160078E-6</v>
      </c>
      <c r="H500" s="344" t="s">
        <v>1085</v>
      </c>
      <c r="I500" s="342" t="s">
        <v>2233</v>
      </c>
      <c r="J500" s="418" t="str">
        <f>Water_emissions!CY241</f>
        <v>[kg/bbl] kg of ETHYLENE GLYCOL emissions to water per bbl of crude throughput - High Complexity Coking</v>
      </c>
      <c r="K500" s="419"/>
      <c r="L500" s="419"/>
      <c r="M500" s="419"/>
      <c r="N500" s="419"/>
      <c r="O500" s="419"/>
      <c r="P500" s="420"/>
      <c r="Q500" s="2"/>
      <c r="R500" s="2"/>
      <c r="S500" s="2"/>
      <c r="T500" s="2"/>
      <c r="U500" s="2"/>
      <c r="V500" s="2"/>
      <c r="W500" s="2"/>
      <c r="X500" s="2"/>
      <c r="Y500" s="2"/>
    </row>
    <row r="501" spans="1:25" x14ac:dyDescent="0.25">
      <c r="A501" s="2"/>
      <c r="B501" s="17">
        <f t="shared" si="33"/>
        <v>15</v>
      </c>
      <c r="C501" s="340" t="str">
        <f>Water_emissions!CW242</f>
        <v>w_ETHYLENEG_HiB</v>
      </c>
      <c r="D501" s="341"/>
      <c r="E501" s="368">
        <f>HLOOKUP($C502,Water_emissions!$E$16:$CQ$32,7,FALSE)</f>
        <v>3.3970888990125188</v>
      </c>
      <c r="F501" s="368">
        <f>HLOOKUP($C502,Water_emissions!$E$16:$CQ$32,12,FALSE)</f>
        <v>0</v>
      </c>
      <c r="G501" s="368">
        <f>HLOOKUP($C502,Water_emissions!$E$16:$CQ$32,17,FALSE)</f>
        <v>8.080166550049551</v>
      </c>
      <c r="H501" s="344" t="s">
        <v>1085</v>
      </c>
      <c r="I501" s="342" t="s">
        <v>2233</v>
      </c>
      <c r="J501" s="418" t="str">
        <f>Water_emissions!CY242</f>
        <v>[kg/bbl] kg of ETHYLENE GLYCOL emissions to water per bbl of crude throughput - High Complexity Hydro Cracking and Coking</v>
      </c>
      <c r="K501" s="419"/>
      <c r="L501" s="419"/>
      <c r="M501" s="419"/>
      <c r="N501" s="419"/>
      <c r="O501" s="419"/>
      <c r="P501" s="420"/>
      <c r="Q501" s="2"/>
      <c r="R501" s="2"/>
      <c r="S501" s="2"/>
      <c r="T501" s="2"/>
      <c r="U501" s="2"/>
      <c r="V501" s="2"/>
      <c r="W501" s="2"/>
      <c r="X501" s="2"/>
      <c r="Y501" s="2"/>
    </row>
    <row r="502" spans="1:25" ht="39" x14ac:dyDescent="0.25">
      <c r="A502" s="2"/>
      <c r="B502" s="17">
        <f t="shared" si="33"/>
        <v>11</v>
      </c>
      <c r="C502" s="340" t="str">
        <f>Water_emissions!CW243</f>
        <v>w_ETHYLENEG</v>
      </c>
      <c r="D502" s="39" t="str">
        <f>"IF(NC=0;"&amp;C497&amp;";IF(NC=1;"&amp;C498&amp;";IF(NC=2;"&amp;C499&amp;";IF(NC=3;"&amp;C500&amp;";"&amp;C501&amp;"))))/"&amp;$C$27</f>
        <v>IF(NC=0;w_ETHYLENEG_L;IF(NC=1;w_ETHYLENEG_M;IF(NC=2;w_ETHYLENEG_HiH;IF(NC=3;w_ETHYLENEG_HiC;w_ETHYLENEG_HiB))))/Density_oil</v>
      </c>
      <c r="E502" s="68">
        <f>IF($E$24=0,E497,IF($E$24=1,E498,IF($E$24=2,E499,IF($E$24=3,E500,E501))))/$E$27</f>
        <v>2.4494336308428344E-2</v>
      </c>
      <c r="F502" s="342"/>
      <c r="G502" s="343"/>
      <c r="H502" s="344" t="s">
        <v>489</v>
      </c>
      <c r="I502" s="342" t="s">
        <v>2233</v>
      </c>
      <c r="J502" s="418" t="str">
        <f>Water_emissions!CY243</f>
        <v>[kg/bbl] kg of ETHYLENE GLYCOL emissions to water per bbl of crude throughput</v>
      </c>
      <c r="K502" s="419"/>
      <c r="L502" s="419"/>
      <c r="M502" s="419"/>
      <c r="N502" s="419"/>
      <c r="O502" s="419"/>
      <c r="P502" s="420"/>
      <c r="Q502" s="2"/>
      <c r="R502" s="2"/>
      <c r="S502" s="2"/>
      <c r="T502" s="2"/>
      <c r="U502" s="2"/>
      <c r="V502" s="2"/>
      <c r="W502" s="2"/>
      <c r="X502" s="2"/>
      <c r="Y502" s="2"/>
    </row>
    <row r="503" spans="1:25" x14ac:dyDescent="0.25">
      <c r="A503" s="2"/>
      <c r="B503" s="17">
        <f t="shared" si="33"/>
        <v>13</v>
      </c>
      <c r="C503" s="340" t="str">
        <f>Water_emissions!CW244</f>
        <v>w_FLUORANTH_L</v>
      </c>
      <c r="D503" s="341"/>
      <c r="E503" s="368">
        <f>HLOOKUP($C508,Water_emissions!$E$16:$CQ$32,3,FALSE)</f>
        <v>0</v>
      </c>
      <c r="F503" s="368">
        <f>HLOOKUP($C508,Water_emissions!$E$16:$CQ$32,8,FALSE)</f>
        <v>0</v>
      </c>
      <c r="G503" s="368">
        <f>HLOOKUP($C508,Water_emissions!$E$16:$CQ$32,13,FALSE)</f>
        <v>0</v>
      </c>
      <c r="H503" s="344" t="s">
        <v>1085</v>
      </c>
      <c r="I503" s="342" t="s">
        <v>2233</v>
      </c>
      <c r="J503" s="418" t="str">
        <f>Water_emissions!CY244</f>
        <v>[kg/bbl] kg of FLUORANTHENE emissions to water per bbl of crude throughput - Low Complexity</v>
      </c>
      <c r="K503" s="419"/>
      <c r="L503" s="419"/>
      <c r="M503" s="419"/>
      <c r="N503" s="419"/>
      <c r="O503" s="419"/>
      <c r="P503" s="420"/>
      <c r="Q503" s="2"/>
      <c r="R503" s="2"/>
      <c r="S503" s="2"/>
      <c r="T503" s="2"/>
      <c r="U503" s="2"/>
      <c r="V503" s="2"/>
      <c r="W503" s="2"/>
      <c r="X503" s="2"/>
      <c r="Y503" s="2"/>
    </row>
    <row r="504" spans="1:25" x14ac:dyDescent="0.25">
      <c r="A504" s="2"/>
      <c r="B504" s="17">
        <f t="shared" si="33"/>
        <v>13</v>
      </c>
      <c r="C504" s="340" t="str">
        <f>Water_emissions!CW245</f>
        <v>w_FLUORANTH_M</v>
      </c>
      <c r="D504" s="341"/>
      <c r="E504" s="368">
        <f>HLOOKUP($C508,Water_emissions!$E$16:$CQ$32,4,FALSE)</f>
        <v>0</v>
      </c>
      <c r="F504" s="368">
        <f>HLOOKUP($C508,Water_emissions!$E$16:$CQ$32,9,FALSE)</f>
        <v>0</v>
      </c>
      <c r="G504" s="368">
        <f>HLOOKUP($C508,Water_emissions!$E$16:$CQ$32,14,FALSE)</f>
        <v>0</v>
      </c>
      <c r="H504" s="344" t="s">
        <v>1085</v>
      </c>
      <c r="I504" s="342" t="s">
        <v>2233</v>
      </c>
      <c r="J504" s="418" t="str">
        <f>Water_emissions!CY245</f>
        <v>[kg/bbl] kg of FLUORANTHENE emissions to water per bbl of crude throughput - Med Complexity</v>
      </c>
      <c r="K504" s="419"/>
      <c r="L504" s="419"/>
      <c r="M504" s="419"/>
      <c r="N504" s="419"/>
      <c r="O504" s="419"/>
      <c r="P504" s="420"/>
      <c r="Q504" s="2"/>
      <c r="R504" s="2"/>
      <c r="S504" s="2"/>
      <c r="T504" s="2"/>
      <c r="U504" s="2"/>
      <c r="V504" s="2"/>
      <c r="W504" s="2"/>
      <c r="X504" s="2"/>
      <c r="Y504" s="2"/>
    </row>
    <row r="505" spans="1:25" x14ac:dyDescent="0.25">
      <c r="A505" s="2"/>
      <c r="B505" s="17">
        <f t="shared" si="33"/>
        <v>15</v>
      </c>
      <c r="C505" s="340" t="str">
        <f>Water_emissions!CW246</f>
        <v>w_FLUORANTH_HiH</v>
      </c>
      <c r="D505" s="341"/>
      <c r="E505" s="368">
        <f>HLOOKUP($C508,Water_emissions!$E$16:$CQ$32,5,FALSE)</f>
        <v>0</v>
      </c>
      <c r="F505" s="368">
        <f>HLOOKUP($C508,Water_emissions!$E$16:$CQ$32,10,FALSE)</f>
        <v>0</v>
      </c>
      <c r="G505" s="368">
        <f>HLOOKUP($C508,Water_emissions!$E$16:$CQ$32,15,FALSE)</f>
        <v>0</v>
      </c>
      <c r="H505" s="344" t="s">
        <v>1085</v>
      </c>
      <c r="I505" s="342" t="s">
        <v>2233</v>
      </c>
      <c r="J505" s="418" t="str">
        <f>Water_emissions!CY246</f>
        <v>[kg/bbl] kg of FLUORANTHENE emissions to water per bbl of crude throughput - High Complexity Hydro Cracking</v>
      </c>
      <c r="K505" s="419"/>
      <c r="L505" s="419"/>
      <c r="M505" s="419"/>
      <c r="N505" s="419"/>
      <c r="O505" s="419"/>
      <c r="P505" s="420"/>
      <c r="Q505" s="2"/>
      <c r="R505" s="2"/>
      <c r="S505" s="2"/>
      <c r="T505" s="2"/>
      <c r="U505" s="2"/>
      <c r="V505" s="2"/>
      <c r="W505" s="2"/>
      <c r="X505" s="2"/>
      <c r="Y505" s="2"/>
    </row>
    <row r="506" spans="1:25" x14ac:dyDescent="0.25">
      <c r="A506" s="2"/>
      <c r="B506" s="17">
        <f t="shared" si="33"/>
        <v>15</v>
      </c>
      <c r="C506" s="340" t="str">
        <f>Water_emissions!CW247</f>
        <v>w_FLUORANTH_HiC</v>
      </c>
      <c r="D506" s="341"/>
      <c r="E506" s="368">
        <f>HLOOKUP($C508,Water_emissions!$E$16:$CQ$32,6,FALSE)</f>
        <v>0</v>
      </c>
      <c r="F506" s="368">
        <f>HLOOKUP($C508,Water_emissions!$E$16:$CQ$32,11,FALSE)</f>
        <v>0</v>
      </c>
      <c r="G506" s="368">
        <f>HLOOKUP($C508,Water_emissions!$E$16:$CQ$32,16,FALSE)</f>
        <v>0</v>
      </c>
      <c r="H506" s="344" t="s">
        <v>1085</v>
      </c>
      <c r="I506" s="342" t="s">
        <v>2233</v>
      </c>
      <c r="J506" s="418" t="str">
        <f>Water_emissions!CY247</f>
        <v>[kg/bbl] kg of FLUORANTHENE emissions to water per bbl of crude throughput - High Complexity Coking</v>
      </c>
      <c r="K506" s="419"/>
      <c r="L506" s="419"/>
      <c r="M506" s="419"/>
      <c r="N506" s="419"/>
      <c r="O506" s="419"/>
      <c r="P506" s="420"/>
      <c r="Q506" s="2"/>
      <c r="R506" s="2"/>
      <c r="S506" s="2"/>
      <c r="T506" s="2"/>
      <c r="U506" s="2"/>
      <c r="V506" s="2"/>
      <c r="W506" s="2"/>
      <c r="X506" s="2"/>
      <c r="Y506" s="2"/>
    </row>
    <row r="507" spans="1:25" x14ac:dyDescent="0.25">
      <c r="A507" s="2"/>
      <c r="B507" s="17">
        <f t="shared" si="33"/>
        <v>15</v>
      </c>
      <c r="C507" s="340" t="str">
        <f>Water_emissions!CW248</f>
        <v>w_FLUORANTH_HiB</v>
      </c>
      <c r="D507" s="341"/>
      <c r="E507" s="368">
        <f>HLOOKUP($C508,Water_emissions!$E$16:$CQ$32,7,FALSE)</f>
        <v>0</v>
      </c>
      <c r="F507" s="368">
        <f>HLOOKUP($C508,Water_emissions!$E$16:$CQ$32,12,FALSE)</f>
        <v>0</v>
      </c>
      <c r="G507" s="368">
        <f>HLOOKUP($C508,Water_emissions!$E$16:$CQ$32,17,FALSE)</f>
        <v>0</v>
      </c>
      <c r="H507" s="344" t="s">
        <v>1085</v>
      </c>
      <c r="I507" s="342" t="s">
        <v>2233</v>
      </c>
      <c r="J507" s="418" t="str">
        <f>Water_emissions!CY248</f>
        <v>[kg/bbl] kg of FLUORANTHENE emissions to water per bbl of crude throughput - High Complexity Hydro Cracking and Coking</v>
      </c>
      <c r="K507" s="419"/>
      <c r="L507" s="419"/>
      <c r="M507" s="419"/>
      <c r="N507" s="419"/>
      <c r="O507" s="419"/>
      <c r="P507" s="420"/>
      <c r="Q507" s="2"/>
      <c r="R507" s="2"/>
      <c r="S507" s="2"/>
      <c r="T507" s="2"/>
      <c r="U507" s="2"/>
      <c r="V507" s="2"/>
      <c r="W507" s="2"/>
      <c r="X507" s="2"/>
      <c r="Y507" s="2"/>
    </row>
    <row r="508" spans="1:25" ht="39" x14ac:dyDescent="0.25">
      <c r="A508" s="2"/>
      <c r="B508" s="17">
        <f t="shared" si="33"/>
        <v>11</v>
      </c>
      <c r="C508" s="340" t="str">
        <f>Water_emissions!CW249</f>
        <v>w_FLUORANTH</v>
      </c>
      <c r="D508" s="39" t="str">
        <f>"IF(NC=0;"&amp;C503&amp;";IF(NC=1;"&amp;C504&amp;";IF(NC=2;"&amp;C505&amp;";IF(NC=3;"&amp;C506&amp;";"&amp;C507&amp;"))))/"&amp;$C$27</f>
        <v>IF(NC=0;w_FLUORANTH_L;IF(NC=1;w_FLUORANTH_M;IF(NC=2;w_FLUORANTH_HiH;IF(NC=3;w_FLUORANTH_HiC;w_FLUORANTH_HiB))))/Density_oil</v>
      </c>
      <c r="E508" s="68">
        <f>IF($E$24=0,E503,IF($E$24=1,E504,IF($E$24=2,E505,IF($E$24=3,E506,E507))))/$E$27</f>
        <v>0</v>
      </c>
      <c r="F508" s="342"/>
      <c r="G508" s="343"/>
      <c r="H508" s="344" t="s">
        <v>489</v>
      </c>
      <c r="I508" s="342" t="s">
        <v>2233</v>
      </c>
      <c r="J508" s="418" t="str">
        <f>Water_emissions!CY249</f>
        <v>[kg/bbl] kg of FLUORANTHENE emissions to water per bbl of crude throughput</v>
      </c>
      <c r="K508" s="419"/>
      <c r="L508" s="419"/>
      <c r="M508" s="419"/>
      <c r="N508" s="419"/>
      <c r="O508" s="419"/>
      <c r="P508" s="420"/>
      <c r="Q508" s="2"/>
      <c r="R508" s="2"/>
      <c r="S508" s="2"/>
      <c r="T508" s="2"/>
      <c r="U508" s="2"/>
      <c r="V508" s="2"/>
      <c r="W508" s="2"/>
      <c r="X508" s="2"/>
      <c r="Y508" s="2"/>
    </row>
    <row r="509" spans="1:25" x14ac:dyDescent="0.25">
      <c r="A509" s="2"/>
      <c r="B509" s="17">
        <f t="shared" si="33"/>
        <v>13</v>
      </c>
      <c r="C509" s="340" t="str">
        <f>Water_emissions!CW250</f>
        <v>w_Fluoridet_L</v>
      </c>
      <c r="D509" s="341"/>
      <c r="E509" s="368">
        <f>HLOOKUP($C514,Water_emissions!$E$16:$CQ$32,3,FALSE)</f>
        <v>1.8349893131435865E-4</v>
      </c>
      <c r="F509" s="368">
        <f>HLOOKUP($C514,Water_emissions!$E$16:$CQ$32,8,FALSE)</f>
        <v>5.0513849961801837E-5</v>
      </c>
      <c r="G509" s="368">
        <f>HLOOKUP($C514,Water_emissions!$E$16:$CQ$32,13,FALSE)</f>
        <v>2.916314211836164E-4</v>
      </c>
      <c r="H509" s="344" t="s">
        <v>1085</v>
      </c>
      <c r="I509" s="342" t="s">
        <v>2233</v>
      </c>
      <c r="J509" s="418" t="str">
        <f>Water_emissions!CY250</f>
        <v>[kg/bbl] kg of Fluoride, total (as F) emissions to water per bbl of crude throughput - Low Complexity</v>
      </c>
      <c r="K509" s="419"/>
      <c r="L509" s="419"/>
      <c r="M509" s="419"/>
      <c r="N509" s="419"/>
      <c r="O509" s="419"/>
      <c r="P509" s="420"/>
      <c r="Q509" s="2"/>
      <c r="R509" s="2"/>
      <c r="S509" s="2"/>
      <c r="T509" s="2"/>
      <c r="U509" s="2"/>
      <c r="V509" s="2"/>
      <c r="W509" s="2"/>
      <c r="X509" s="2"/>
      <c r="Y509" s="2"/>
    </row>
    <row r="510" spans="1:25" x14ac:dyDescent="0.25">
      <c r="A510" s="2"/>
      <c r="B510" s="17">
        <f t="shared" si="33"/>
        <v>13</v>
      </c>
      <c r="C510" s="340" t="str">
        <f>Water_emissions!CW251</f>
        <v>w_Fluoridet_M</v>
      </c>
      <c r="D510" s="341"/>
      <c r="E510" s="368">
        <f>HLOOKUP($C514,Water_emissions!$E$16:$CQ$32,4,FALSE)</f>
        <v>1.7820303856517998E-4</v>
      </c>
      <c r="F510" s="368">
        <f>HLOOKUP($C514,Water_emissions!$E$16:$CQ$32,9,FALSE)</f>
        <v>1.3527959255356517E-4</v>
      </c>
      <c r="G510" s="368">
        <f>HLOOKUP($C514,Water_emissions!$E$16:$CQ$32,14,FALSE)</f>
        <v>2.4385811913865389E-4</v>
      </c>
      <c r="H510" s="344" t="s">
        <v>1085</v>
      </c>
      <c r="I510" s="342" t="s">
        <v>2233</v>
      </c>
      <c r="J510" s="418" t="str">
        <f>Water_emissions!CY251</f>
        <v>[kg/bbl] kg of Fluoride, total (as F) emissions to water per bbl of crude throughput - Med Complexity</v>
      </c>
      <c r="K510" s="419"/>
      <c r="L510" s="419"/>
      <c r="M510" s="419"/>
      <c r="N510" s="419"/>
      <c r="O510" s="419"/>
      <c r="P510" s="420"/>
      <c r="Q510" s="2"/>
      <c r="R510" s="2"/>
      <c r="S510" s="2"/>
      <c r="T510" s="2"/>
      <c r="U510" s="2"/>
      <c r="V510" s="2"/>
      <c r="W510" s="2"/>
      <c r="X510" s="2"/>
      <c r="Y510" s="2"/>
    </row>
    <row r="511" spans="1:25" x14ac:dyDescent="0.25">
      <c r="A511" s="2"/>
      <c r="B511" s="17">
        <f t="shared" si="33"/>
        <v>15</v>
      </c>
      <c r="C511" s="340" t="str">
        <f>Water_emissions!CW252</f>
        <v>w_Fluoridet_HiH</v>
      </c>
      <c r="D511" s="341"/>
      <c r="E511" s="368">
        <f>HLOOKUP($C514,Water_emissions!$E$16:$CQ$32,5,FALSE)</f>
        <v>1.8349893131435865E-4</v>
      </c>
      <c r="F511" s="368">
        <f>HLOOKUP($C514,Water_emissions!$E$16:$CQ$32,10,FALSE)</f>
        <v>5.0513849961801837E-5</v>
      </c>
      <c r="G511" s="368">
        <f>HLOOKUP($C514,Water_emissions!$E$16:$CQ$32,15,FALSE)</f>
        <v>2.916314211836164E-4</v>
      </c>
      <c r="H511" s="344" t="s">
        <v>1085</v>
      </c>
      <c r="I511" s="342" t="s">
        <v>2233</v>
      </c>
      <c r="J511" s="418" t="str">
        <f>Water_emissions!CY252</f>
        <v>[kg/bbl] kg of Fluoride, total (as F) emissions to water per bbl of crude throughput - High Complexity Hydro Cracking</v>
      </c>
      <c r="K511" s="419"/>
      <c r="L511" s="419"/>
      <c r="M511" s="419"/>
      <c r="N511" s="419"/>
      <c r="O511" s="419"/>
      <c r="P511" s="420"/>
      <c r="Q511" s="2"/>
      <c r="R511" s="2"/>
      <c r="S511" s="2"/>
      <c r="T511" s="2"/>
      <c r="U511" s="2"/>
      <c r="V511" s="2"/>
      <c r="W511" s="2"/>
      <c r="X511" s="2"/>
      <c r="Y511" s="2"/>
    </row>
    <row r="512" spans="1:25" x14ac:dyDescent="0.25">
      <c r="A512" s="2"/>
      <c r="B512" s="17">
        <f t="shared" si="33"/>
        <v>15</v>
      </c>
      <c r="C512" s="340" t="str">
        <f>Water_emissions!CW253</f>
        <v>w_Fluoridet_HiC</v>
      </c>
      <c r="D512" s="341"/>
      <c r="E512" s="368">
        <f>HLOOKUP($C514,Water_emissions!$E$16:$CQ$32,6,FALSE)</f>
        <v>2.1327348323437723E-4</v>
      </c>
      <c r="F512" s="368">
        <f>HLOOKUP($C514,Water_emissions!$E$16:$CQ$32,11,FALSE)</f>
        <v>1.0656658831801115E-4</v>
      </c>
      <c r="G512" s="368">
        <f>HLOOKUP($C514,Water_emissions!$E$16:$CQ$32,16,FALSE)</f>
        <v>2.916314211836164E-4</v>
      </c>
      <c r="H512" s="344" t="s">
        <v>1085</v>
      </c>
      <c r="I512" s="342" t="s">
        <v>2233</v>
      </c>
      <c r="J512" s="418" t="str">
        <f>Water_emissions!CY253</f>
        <v>[kg/bbl] kg of Fluoride, total (as F) emissions to water per bbl of crude throughput - High Complexity Coking</v>
      </c>
      <c r="K512" s="419"/>
      <c r="L512" s="419"/>
      <c r="M512" s="419"/>
      <c r="N512" s="419"/>
      <c r="O512" s="419"/>
      <c r="P512" s="420"/>
      <c r="Q512" s="2"/>
      <c r="R512" s="2"/>
      <c r="S512" s="2"/>
      <c r="T512" s="2"/>
      <c r="U512" s="2"/>
      <c r="V512" s="2"/>
      <c r="W512" s="2"/>
      <c r="X512" s="2"/>
      <c r="Y512" s="2"/>
    </row>
    <row r="513" spans="1:25" x14ac:dyDescent="0.25">
      <c r="A513" s="2"/>
      <c r="B513" s="17">
        <f t="shared" si="33"/>
        <v>15</v>
      </c>
      <c r="C513" s="340" t="str">
        <f>Water_emissions!CW254</f>
        <v>w_Fluoridet_HiB</v>
      </c>
      <c r="D513" s="341"/>
      <c r="E513" s="368">
        <f>HLOOKUP($C514,Water_emissions!$E$16:$CQ$32,7,FALSE)</f>
        <v>5.0513849961801837E-5</v>
      </c>
      <c r="F513" s="368">
        <f>HLOOKUP($C514,Water_emissions!$E$16:$CQ$32,12,FALSE)</f>
        <v>5.0513849961801837E-5</v>
      </c>
      <c r="G513" s="368">
        <f>HLOOKUP($C514,Water_emissions!$E$16:$CQ$32,17,FALSE)</f>
        <v>5.0513849961801837E-5</v>
      </c>
      <c r="H513" s="344" t="s">
        <v>1085</v>
      </c>
      <c r="I513" s="342" t="s">
        <v>2233</v>
      </c>
      <c r="J513" s="418" t="str">
        <f>Water_emissions!CY254</f>
        <v>[kg/bbl] kg of Fluoride, total (as F) emissions to water per bbl of crude throughput - High Complexity Hydro Cracking and Coking</v>
      </c>
      <c r="K513" s="419"/>
      <c r="L513" s="419"/>
      <c r="M513" s="419"/>
      <c r="N513" s="419"/>
      <c r="O513" s="419"/>
      <c r="P513" s="420"/>
      <c r="Q513" s="2"/>
      <c r="R513" s="2"/>
      <c r="S513" s="2"/>
      <c r="T513" s="2"/>
      <c r="U513" s="2"/>
      <c r="V513" s="2"/>
      <c r="W513" s="2"/>
      <c r="X513" s="2"/>
      <c r="Y513" s="2"/>
    </row>
    <row r="514" spans="1:25" ht="26.25" x14ac:dyDescent="0.25">
      <c r="A514" s="2"/>
      <c r="B514" s="17">
        <f t="shared" si="33"/>
        <v>11</v>
      </c>
      <c r="C514" s="340" t="str">
        <f>Water_emissions!CW255</f>
        <v>w_Fluoridet</v>
      </c>
      <c r="D514" s="39" t="str">
        <f>"IF(NC=0;"&amp;C509&amp;";IF(NC=1;"&amp;C510&amp;";IF(NC=2;"&amp;C511&amp;";IF(NC=3;"&amp;C512&amp;";"&amp;C513&amp;"))))/"&amp;$C$27</f>
        <v>IF(NC=0;w_Fluoridet_L;IF(NC=1;w_Fluoridet_M;IF(NC=2;w_Fluoridet_HiH;IF(NC=3;w_Fluoridet_HiC;w_Fluoridet_HiB))))/Density_oil</v>
      </c>
      <c r="E514" s="68">
        <f>IF($E$24=0,E509,IF($E$24=1,E510,IF($E$24=2,E511,IF($E$24=3,E512,E513))))/$E$27</f>
        <v>3.6422456579147204E-7</v>
      </c>
      <c r="F514" s="342"/>
      <c r="G514" s="343"/>
      <c r="H514" s="344" t="s">
        <v>489</v>
      </c>
      <c r="I514" s="342" t="s">
        <v>2233</v>
      </c>
      <c r="J514" s="418" t="str">
        <f>Water_emissions!CY255</f>
        <v>[kg/bbl] kg of Fluoride, total (as F) emissions to water per bbl of crude throughput</v>
      </c>
      <c r="K514" s="419"/>
      <c r="L514" s="419"/>
      <c r="M514" s="419"/>
      <c r="N514" s="419"/>
      <c r="O514" s="419"/>
      <c r="P514" s="420"/>
      <c r="Q514" s="2"/>
      <c r="R514" s="2"/>
      <c r="S514" s="2"/>
      <c r="T514" s="2"/>
      <c r="U514" s="2"/>
      <c r="V514" s="2"/>
      <c r="W514" s="2"/>
      <c r="X514" s="2"/>
      <c r="Y514" s="2"/>
    </row>
    <row r="515" spans="1:25" x14ac:dyDescent="0.25">
      <c r="A515" s="2"/>
      <c r="B515" s="17">
        <f t="shared" si="33"/>
        <v>13</v>
      </c>
      <c r="C515" s="340" t="str">
        <f>Water_emissions!CW256</f>
        <v>w_FORMALDEH_L</v>
      </c>
      <c r="D515" s="341"/>
      <c r="E515" s="368">
        <f>HLOOKUP($C520,Water_emissions!$E$16:$CQ$32,3,FALSE)</f>
        <v>0</v>
      </c>
      <c r="F515" s="368">
        <f>HLOOKUP($C520,Water_emissions!$E$16:$CQ$32,8,FALSE)</f>
        <v>0</v>
      </c>
      <c r="G515" s="368">
        <f>HLOOKUP($C520,Water_emissions!$E$16:$CQ$32,13,FALSE)</f>
        <v>0</v>
      </c>
      <c r="H515" s="344" t="s">
        <v>1085</v>
      </c>
      <c r="I515" s="342" t="s">
        <v>2233</v>
      </c>
      <c r="J515" s="418" t="str">
        <f>Water_emissions!CY256</f>
        <v>[kg/bbl] kg of FORMALDEHYDE emissions to water per bbl of crude throughput - Low Complexity</v>
      </c>
      <c r="K515" s="419"/>
      <c r="L515" s="419"/>
      <c r="M515" s="419"/>
      <c r="N515" s="419"/>
      <c r="O515" s="419"/>
      <c r="P515" s="420"/>
      <c r="Q515" s="2"/>
      <c r="R515" s="2"/>
      <c r="S515" s="2"/>
      <c r="T515" s="2"/>
      <c r="U515" s="2"/>
      <c r="V515" s="2"/>
      <c r="W515" s="2"/>
      <c r="X515" s="2"/>
      <c r="Y515" s="2"/>
    </row>
    <row r="516" spans="1:25" x14ac:dyDescent="0.25">
      <c r="A516" s="2"/>
      <c r="B516" s="17">
        <f t="shared" si="33"/>
        <v>13</v>
      </c>
      <c r="C516" s="340" t="str">
        <f>Water_emissions!CW257</f>
        <v>w_FORMALDEH_M</v>
      </c>
      <c r="D516" s="341"/>
      <c r="E516" s="368">
        <f>HLOOKUP($C520,Water_emissions!$E$16:$CQ$32,4,FALSE)</f>
        <v>0</v>
      </c>
      <c r="F516" s="368">
        <f>HLOOKUP($C520,Water_emissions!$E$16:$CQ$32,9,FALSE)</f>
        <v>0</v>
      </c>
      <c r="G516" s="368">
        <f>HLOOKUP($C520,Water_emissions!$E$16:$CQ$32,14,FALSE)</f>
        <v>0</v>
      </c>
      <c r="H516" s="344" t="s">
        <v>1085</v>
      </c>
      <c r="I516" s="342" t="s">
        <v>2233</v>
      </c>
      <c r="J516" s="418" t="str">
        <f>Water_emissions!CY257</f>
        <v>[kg/bbl] kg of FORMALDEHYDE emissions to water per bbl of crude throughput - Med Complexity</v>
      </c>
      <c r="K516" s="419"/>
      <c r="L516" s="419"/>
      <c r="M516" s="419"/>
      <c r="N516" s="419"/>
      <c r="O516" s="419"/>
      <c r="P516" s="420"/>
      <c r="Q516" s="2"/>
      <c r="R516" s="2"/>
      <c r="S516" s="2"/>
      <c r="T516" s="2"/>
      <c r="U516" s="2"/>
      <c r="V516" s="2"/>
      <c r="W516" s="2"/>
      <c r="X516" s="2"/>
      <c r="Y516" s="2"/>
    </row>
    <row r="517" spans="1:25" x14ac:dyDescent="0.25">
      <c r="A517" s="2"/>
      <c r="B517" s="17">
        <f t="shared" si="33"/>
        <v>15</v>
      </c>
      <c r="C517" s="340" t="str">
        <f>Water_emissions!CW258</f>
        <v>w_FORMALDEH_HiH</v>
      </c>
      <c r="D517" s="341"/>
      <c r="E517" s="368">
        <f>HLOOKUP($C520,Water_emissions!$E$16:$CQ$32,5,FALSE)</f>
        <v>0</v>
      </c>
      <c r="F517" s="368">
        <f>HLOOKUP($C520,Water_emissions!$E$16:$CQ$32,10,FALSE)</f>
        <v>0</v>
      </c>
      <c r="G517" s="368">
        <f>HLOOKUP($C520,Water_emissions!$E$16:$CQ$32,15,FALSE)</f>
        <v>0</v>
      </c>
      <c r="H517" s="344" t="s">
        <v>1085</v>
      </c>
      <c r="I517" s="342" t="s">
        <v>2233</v>
      </c>
      <c r="J517" s="418" t="str">
        <f>Water_emissions!CY258</f>
        <v>[kg/bbl] kg of FORMALDEHYDE emissions to water per bbl of crude throughput - High Complexity Hydro Cracking</v>
      </c>
      <c r="K517" s="419"/>
      <c r="L517" s="419"/>
      <c r="M517" s="419"/>
      <c r="N517" s="419"/>
      <c r="O517" s="419"/>
      <c r="P517" s="420"/>
      <c r="Q517" s="2"/>
      <c r="R517" s="2"/>
      <c r="S517" s="2"/>
      <c r="T517" s="2"/>
      <c r="U517" s="2"/>
      <c r="V517" s="2"/>
      <c r="W517" s="2"/>
      <c r="X517" s="2"/>
      <c r="Y517" s="2"/>
    </row>
    <row r="518" spans="1:25" x14ac:dyDescent="0.25">
      <c r="A518" s="2"/>
      <c r="B518" s="17">
        <f t="shared" si="33"/>
        <v>15</v>
      </c>
      <c r="C518" s="340" t="str">
        <f>Water_emissions!CW259</f>
        <v>w_FORMALDEH_HiC</v>
      </c>
      <c r="D518" s="341"/>
      <c r="E518" s="368">
        <f>HLOOKUP($C520,Water_emissions!$E$16:$CQ$32,6,FALSE)</f>
        <v>0</v>
      </c>
      <c r="F518" s="368">
        <f>HLOOKUP($C520,Water_emissions!$E$16:$CQ$32,11,FALSE)</f>
        <v>0</v>
      </c>
      <c r="G518" s="368">
        <f>HLOOKUP($C520,Water_emissions!$E$16:$CQ$32,16,FALSE)</f>
        <v>0</v>
      </c>
      <c r="H518" s="344" t="s">
        <v>1085</v>
      </c>
      <c r="I518" s="342" t="s">
        <v>2233</v>
      </c>
      <c r="J518" s="418" t="str">
        <f>Water_emissions!CY259</f>
        <v>[kg/bbl] kg of FORMALDEHYDE emissions to water per bbl of crude throughput - High Complexity Coking</v>
      </c>
      <c r="K518" s="419"/>
      <c r="L518" s="419"/>
      <c r="M518" s="419"/>
      <c r="N518" s="419"/>
      <c r="O518" s="419"/>
      <c r="P518" s="420"/>
      <c r="Q518" s="2"/>
      <c r="R518" s="2"/>
      <c r="S518" s="2"/>
      <c r="T518" s="2"/>
      <c r="U518" s="2"/>
      <c r="V518" s="2"/>
      <c r="W518" s="2"/>
      <c r="X518" s="2"/>
      <c r="Y518" s="2"/>
    </row>
    <row r="519" spans="1:25" x14ac:dyDescent="0.25">
      <c r="A519" s="2"/>
      <c r="B519" s="17">
        <f t="shared" si="33"/>
        <v>15</v>
      </c>
      <c r="C519" s="340" t="str">
        <f>Water_emissions!CW260</f>
        <v>w_FORMALDEH_HiB</v>
      </c>
      <c r="D519" s="341"/>
      <c r="E519" s="368">
        <f>HLOOKUP($C520,Water_emissions!$E$16:$CQ$32,7,FALSE)</f>
        <v>0</v>
      </c>
      <c r="F519" s="368">
        <f>HLOOKUP($C520,Water_emissions!$E$16:$CQ$32,12,FALSE)</f>
        <v>0</v>
      </c>
      <c r="G519" s="368">
        <f>HLOOKUP($C520,Water_emissions!$E$16:$CQ$32,17,FALSE)</f>
        <v>0</v>
      </c>
      <c r="H519" s="344" t="s">
        <v>1085</v>
      </c>
      <c r="I519" s="342" t="s">
        <v>2233</v>
      </c>
      <c r="J519" s="418" t="str">
        <f>Water_emissions!CY260</f>
        <v>[kg/bbl] kg of FORMALDEHYDE emissions to water per bbl of crude throughput - High Complexity Hydro Cracking and Coking</v>
      </c>
      <c r="K519" s="419"/>
      <c r="L519" s="419"/>
      <c r="M519" s="419"/>
      <c r="N519" s="419"/>
      <c r="O519" s="419"/>
      <c r="P519" s="420"/>
      <c r="Q519" s="2"/>
      <c r="R519" s="2"/>
      <c r="S519" s="2"/>
      <c r="T519" s="2"/>
      <c r="U519" s="2"/>
      <c r="V519" s="2"/>
      <c r="W519" s="2"/>
      <c r="X519" s="2"/>
      <c r="Y519" s="2"/>
    </row>
    <row r="520" spans="1:25" ht="39" x14ac:dyDescent="0.25">
      <c r="A520" s="2"/>
      <c r="B520" s="17">
        <f t="shared" si="33"/>
        <v>11</v>
      </c>
      <c r="C520" s="340" t="str">
        <f>Water_emissions!CW261</f>
        <v>w_FORMALDEH</v>
      </c>
      <c r="D520" s="39" t="str">
        <f>"IF(NC=0;"&amp;C515&amp;";IF(NC=1;"&amp;C516&amp;";IF(NC=2;"&amp;C517&amp;";IF(NC=3;"&amp;C518&amp;";"&amp;C519&amp;"))))/"&amp;$C$27</f>
        <v>IF(NC=0;w_FORMALDEH_L;IF(NC=1;w_FORMALDEH_M;IF(NC=2;w_FORMALDEH_HiH;IF(NC=3;w_FORMALDEH_HiC;w_FORMALDEH_HiB))))/Density_oil</v>
      </c>
      <c r="E520" s="68">
        <f>IF($E$24=0,E515,IF($E$24=1,E516,IF($E$24=2,E517,IF($E$24=3,E518,E519))))/$E$27</f>
        <v>0</v>
      </c>
      <c r="F520" s="342"/>
      <c r="G520" s="343"/>
      <c r="H520" s="344" t="s">
        <v>489</v>
      </c>
      <c r="I520" s="342" t="s">
        <v>2233</v>
      </c>
      <c r="J520" s="418" t="str">
        <f>Water_emissions!CY261</f>
        <v>[kg/bbl] kg of FORMALDEHYDE emissions to water per bbl of crude throughput</v>
      </c>
      <c r="K520" s="419"/>
      <c r="L520" s="419"/>
      <c r="M520" s="419"/>
      <c r="N520" s="419"/>
      <c r="O520" s="419"/>
      <c r="P520" s="420"/>
      <c r="Q520" s="2"/>
      <c r="R520" s="2"/>
      <c r="S520" s="2"/>
      <c r="T520" s="2"/>
      <c r="U520" s="2"/>
      <c r="V520" s="2"/>
      <c r="W520" s="2"/>
      <c r="X520" s="2"/>
      <c r="Y520" s="2"/>
    </row>
    <row r="521" spans="1:25" x14ac:dyDescent="0.25">
      <c r="A521" s="2"/>
      <c r="B521" s="17">
        <f t="shared" si="33"/>
        <v>13</v>
      </c>
      <c r="C521" s="340" t="str">
        <f>Water_emissions!CW262</f>
        <v>w_FORMICACI_L</v>
      </c>
      <c r="D521" s="341"/>
      <c r="E521" s="368">
        <f>HLOOKUP($C526,Water_emissions!$E$16:$CQ$32,3,FALSE)</f>
        <v>0</v>
      </c>
      <c r="F521" s="368">
        <f>HLOOKUP($C526,Water_emissions!$E$16:$CQ$32,8,FALSE)</f>
        <v>0</v>
      </c>
      <c r="G521" s="368">
        <f>HLOOKUP($C526,Water_emissions!$E$16:$CQ$32,13,FALSE)</f>
        <v>0</v>
      </c>
      <c r="H521" s="344" t="s">
        <v>1085</v>
      </c>
      <c r="I521" s="342" t="s">
        <v>2233</v>
      </c>
      <c r="J521" s="418" t="str">
        <f>Water_emissions!CY262</f>
        <v>[kg/bbl] kg of FORMIC ACID emissions to water per bbl of crude throughput - Low Complexity</v>
      </c>
      <c r="K521" s="419"/>
      <c r="L521" s="419"/>
      <c r="M521" s="419"/>
      <c r="N521" s="419"/>
      <c r="O521" s="419"/>
      <c r="P521" s="420"/>
      <c r="Q521" s="2"/>
      <c r="R521" s="2"/>
      <c r="S521" s="2"/>
      <c r="T521" s="2"/>
      <c r="U521" s="2"/>
      <c r="V521" s="2"/>
      <c r="W521" s="2"/>
      <c r="X521" s="2"/>
      <c r="Y521" s="2"/>
    </row>
    <row r="522" spans="1:25" x14ac:dyDescent="0.25">
      <c r="A522" s="2"/>
      <c r="B522" s="17">
        <f t="shared" si="33"/>
        <v>13</v>
      </c>
      <c r="C522" s="340" t="str">
        <f>Water_emissions!CW263</f>
        <v>w_FORMICACI_M</v>
      </c>
      <c r="D522" s="341"/>
      <c r="E522" s="368">
        <f>HLOOKUP($C526,Water_emissions!$E$16:$CQ$32,4,FALSE)</f>
        <v>0</v>
      </c>
      <c r="F522" s="368">
        <f>HLOOKUP($C526,Water_emissions!$E$16:$CQ$32,9,FALSE)</f>
        <v>0</v>
      </c>
      <c r="G522" s="368">
        <f>HLOOKUP($C526,Water_emissions!$E$16:$CQ$32,14,FALSE)</f>
        <v>0</v>
      </c>
      <c r="H522" s="344" t="s">
        <v>1085</v>
      </c>
      <c r="I522" s="342" t="s">
        <v>2233</v>
      </c>
      <c r="J522" s="418" t="str">
        <f>Water_emissions!CY263</f>
        <v>[kg/bbl] kg of FORMIC ACID emissions to water per bbl of crude throughput - Med Complexity</v>
      </c>
      <c r="K522" s="419"/>
      <c r="L522" s="419"/>
      <c r="M522" s="419"/>
      <c r="N522" s="419"/>
      <c r="O522" s="419"/>
      <c r="P522" s="420"/>
      <c r="Q522" s="2"/>
      <c r="R522" s="2"/>
      <c r="S522" s="2"/>
      <c r="T522" s="2"/>
      <c r="U522" s="2"/>
      <c r="V522" s="2"/>
      <c r="W522" s="2"/>
      <c r="X522" s="2"/>
      <c r="Y522" s="2"/>
    </row>
    <row r="523" spans="1:25" x14ac:dyDescent="0.25">
      <c r="A523" s="2"/>
      <c r="B523" s="17">
        <f t="shared" si="33"/>
        <v>15</v>
      </c>
      <c r="C523" s="340" t="str">
        <f>Water_emissions!CW264</f>
        <v>w_FORMICACI_HiH</v>
      </c>
      <c r="D523" s="341"/>
      <c r="E523" s="368">
        <f>HLOOKUP($C526,Water_emissions!$E$16:$CQ$32,5,FALSE)</f>
        <v>0</v>
      </c>
      <c r="F523" s="368">
        <f>HLOOKUP($C526,Water_emissions!$E$16:$CQ$32,10,FALSE)</f>
        <v>0</v>
      </c>
      <c r="G523" s="368">
        <f>HLOOKUP($C526,Water_emissions!$E$16:$CQ$32,15,FALSE)</f>
        <v>0</v>
      </c>
      <c r="H523" s="344" t="s">
        <v>1085</v>
      </c>
      <c r="I523" s="342" t="s">
        <v>2233</v>
      </c>
      <c r="J523" s="418" t="str">
        <f>Water_emissions!CY264</f>
        <v>[kg/bbl] kg of FORMIC ACID emissions to water per bbl of crude throughput - High Complexity Hydro Cracking</v>
      </c>
      <c r="K523" s="419"/>
      <c r="L523" s="419"/>
      <c r="M523" s="419"/>
      <c r="N523" s="419"/>
      <c r="O523" s="419"/>
      <c r="P523" s="420"/>
      <c r="Q523" s="2"/>
      <c r="R523" s="2"/>
      <c r="S523" s="2"/>
      <c r="T523" s="2"/>
      <c r="U523" s="2"/>
      <c r="V523" s="2"/>
      <c r="W523" s="2"/>
      <c r="X523" s="2"/>
      <c r="Y523" s="2"/>
    </row>
    <row r="524" spans="1:25" x14ac:dyDescent="0.25">
      <c r="A524" s="2"/>
      <c r="B524" s="17">
        <f t="shared" si="33"/>
        <v>15</v>
      </c>
      <c r="C524" s="340" t="str">
        <f>Water_emissions!CW265</f>
        <v>w_FORMICACI_HiC</v>
      </c>
      <c r="D524" s="341"/>
      <c r="E524" s="368">
        <f>HLOOKUP($C526,Water_emissions!$E$16:$CQ$32,6,FALSE)</f>
        <v>0</v>
      </c>
      <c r="F524" s="368">
        <f>HLOOKUP($C526,Water_emissions!$E$16:$CQ$32,11,FALSE)</f>
        <v>0</v>
      </c>
      <c r="G524" s="368">
        <f>HLOOKUP($C526,Water_emissions!$E$16:$CQ$32,16,FALSE)</f>
        <v>0</v>
      </c>
      <c r="H524" s="344" t="s">
        <v>1085</v>
      </c>
      <c r="I524" s="342" t="s">
        <v>2233</v>
      </c>
      <c r="J524" s="418" t="str">
        <f>Water_emissions!CY265</f>
        <v>[kg/bbl] kg of FORMIC ACID emissions to water per bbl of crude throughput - High Complexity Coking</v>
      </c>
      <c r="K524" s="419"/>
      <c r="L524" s="419"/>
      <c r="M524" s="419"/>
      <c r="N524" s="419"/>
      <c r="O524" s="419"/>
      <c r="P524" s="420"/>
      <c r="Q524" s="2"/>
      <c r="R524" s="2"/>
      <c r="S524" s="2"/>
      <c r="T524" s="2"/>
      <c r="U524" s="2"/>
      <c r="V524" s="2"/>
      <c r="W524" s="2"/>
      <c r="X524" s="2"/>
      <c r="Y524" s="2"/>
    </row>
    <row r="525" spans="1:25" x14ac:dyDescent="0.25">
      <c r="A525" s="2"/>
      <c r="B525" s="17">
        <f t="shared" si="33"/>
        <v>15</v>
      </c>
      <c r="C525" s="340" t="str">
        <f>Water_emissions!CW266</f>
        <v>w_FORMICACI_HiB</v>
      </c>
      <c r="D525" s="341"/>
      <c r="E525" s="368">
        <f>HLOOKUP($C526,Water_emissions!$E$16:$CQ$32,7,FALSE)</f>
        <v>0</v>
      </c>
      <c r="F525" s="368">
        <f>HLOOKUP($C526,Water_emissions!$E$16:$CQ$32,12,FALSE)</f>
        <v>0</v>
      </c>
      <c r="G525" s="368">
        <f>HLOOKUP($C526,Water_emissions!$E$16:$CQ$32,17,FALSE)</f>
        <v>0</v>
      </c>
      <c r="H525" s="344" t="s">
        <v>1085</v>
      </c>
      <c r="I525" s="342" t="s">
        <v>2233</v>
      </c>
      <c r="J525" s="418" t="str">
        <f>Water_emissions!CY266</f>
        <v>[kg/bbl] kg of FORMIC ACID emissions to water per bbl of crude throughput - High Complexity Hydro Cracking and Coking</v>
      </c>
      <c r="K525" s="419"/>
      <c r="L525" s="419"/>
      <c r="M525" s="419"/>
      <c r="N525" s="419"/>
      <c r="O525" s="419"/>
      <c r="P525" s="420"/>
      <c r="Q525" s="2"/>
      <c r="R525" s="2"/>
      <c r="S525" s="2"/>
      <c r="T525" s="2"/>
      <c r="U525" s="2"/>
      <c r="V525" s="2"/>
      <c r="W525" s="2"/>
      <c r="X525" s="2"/>
      <c r="Y525" s="2"/>
    </row>
    <row r="526" spans="1:25" ht="39" customHeight="1" x14ac:dyDescent="0.25">
      <c r="A526" s="2"/>
      <c r="B526" s="17">
        <f t="shared" si="33"/>
        <v>11</v>
      </c>
      <c r="C526" s="340" t="str">
        <f>Water_emissions!CW267</f>
        <v>w_FORMICACI</v>
      </c>
      <c r="D526" s="39" t="str">
        <f>"IF(NC=0;"&amp;C521&amp;";IF(NC=1;"&amp;C522&amp;";IF(NC=2;"&amp;C523&amp;";IF(NC=3;"&amp;C524&amp;";"&amp;C525&amp;"))))/"&amp;$C$27</f>
        <v>IF(NC=0;w_FORMICACI_L;IF(NC=1;w_FORMICACI_M;IF(NC=2;w_FORMICACI_HiH;IF(NC=3;w_FORMICACI_HiC;w_FORMICACI_HiB))))/Density_oil</v>
      </c>
      <c r="E526" s="68">
        <f>IF($E$24=0,E521,IF($E$24=1,E522,IF($E$24=2,E523,IF($E$24=3,E524,E525))))/$E$27</f>
        <v>0</v>
      </c>
      <c r="F526" s="342"/>
      <c r="G526" s="343"/>
      <c r="H526" s="344" t="s">
        <v>489</v>
      </c>
      <c r="I526" s="342" t="s">
        <v>2233</v>
      </c>
      <c r="J526" s="418" t="str">
        <f>Water_emissions!CY267</f>
        <v>[kg/bbl] kg of FORMIC ACID emissions to water per bbl of crude throughput</v>
      </c>
      <c r="K526" s="419"/>
      <c r="L526" s="419"/>
      <c r="M526" s="419"/>
      <c r="N526" s="419"/>
      <c r="O526" s="419"/>
      <c r="P526" s="420"/>
      <c r="Q526" s="2"/>
      <c r="R526" s="2"/>
      <c r="S526" s="2"/>
      <c r="T526" s="2"/>
      <c r="U526" s="2"/>
      <c r="V526" s="2"/>
      <c r="W526" s="2"/>
      <c r="X526" s="2"/>
      <c r="Y526" s="2"/>
    </row>
    <row r="527" spans="1:25" x14ac:dyDescent="0.25">
      <c r="A527" s="2"/>
      <c r="B527" s="17">
        <f t="shared" si="33"/>
        <v>13</v>
      </c>
      <c r="C527" s="340" t="str">
        <f>Water_emissions!CW268</f>
        <v>w_HEXACHLOR_L</v>
      </c>
      <c r="D527" s="341"/>
      <c r="E527" s="368">
        <f>HLOOKUP($C532,Water_emissions!$E$16:$CQ$32,3,FALSE)</f>
        <v>7.8675622898982476E-3</v>
      </c>
      <c r="F527" s="368">
        <f>HLOOKUP($C532,Water_emissions!$E$16:$CQ$32,8,FALSE)</f>
        <v>7.8675622898982476E-3</v>
      </c>
      <c r="G527" s="368">
        <f>HLOOKUP($C532,Water_emissions!$E$16:$CQ$32,13,FALSE)</f>
        <v>7.8675622898982476E-3</v>
      </c>
      <c r="H527" s="344" t="s">
        <v>1085</v>
      </c>
      <c r="I527" s="342" t="s">
        <v>2233</v>
      </c>
      <c r="J527" s="418" t="str">
        <f>Water_emissions!CY268</f>
        <v>[kg/bbl] kg of HEXACHLOROBENZENE emissions to water per bbl of crude throughput - Low Complexity</v>
      </c>
      <c r="K527" s="419"/>
      <c r="L527" s="419"/>
      <c r="M527" s="419"/>
      <c r="N527" s="419"/>
      <c r="O527" s="419"/>
      <c r="P527" s="420"/>
      <c r="Q527" s="2"/>
      <c r="R527" s="2"/>
      <c r="S527" s="2"/>
      <c r="T527" s="2"/>
      <c r="U527" s="2"/>
      <c r="V527" s="2"/>
      <c r="W527" s="2"/>
      <c r="X527" s="2"/>
      <c r="Y527" s="2"/>
    </row>
    <row r="528" spans="1:25" x14ac:dyDescent="0.25">
      <c r="A528" s="2"/>
      <c r="B528" s="17">
        <f t="shared" si="33"/>
        <v>13</v>
      </c>
      <c r="C528" s="340" t="str">
        <f>Water_emissions!CW269</f>
        <v>w_HEXACHLOR_M</v>
      </c>
      <c r="D528" s="341"/>
      <c r="E528" s="368">
        <f>HLOOKUP($C532,Water_emissions!$E$16:$CQ$32,4,FALSE)</f>
        <v>7.8675622898982476E-3</v>
      </c>
      <c r="F528" s="368">
        <f>HLOOKUP($C532,Water_emissions!$E$16:$CQ$32,9,FALSE)</f>
        <v>7.8675622898982476E-3</v>
      </c>
      <c r="G528" s="368">
        <f>HLOOKUP($C532,Water_emissions!$E$16:$CQ$32,14,FALSE)</f>
        <v>7.8675622898982476E-3</v>
      </c>
      <c r="H528" s="344" t="s">
        <v>1085</v>
      </c>
      <c r="I528" s="342" t="s">
        <v>2233</v>
      </c>
      <c r="J528" s="418" t="str">
        <f>Water_emissions!CY269</f>
        <v>[kg/bbl] kg of HEXACHLOROBENZENE emissions to water per bbl of crude throughput - Med Complexity</v>
      </c>
      <c r="K528" s="419"/>
      <c r="L528" s="419"/>
      <c r="M528" s="419"/>
      <c r="N528" s="419"/>
      <c r="O528" s="419"/>
      <c r="P528" s="420"/>
      <c r="Q528" s="2"/>
      <c r="R528" s="2"/>
      <c r="S528" s="2"/>
      <c r="T528" s="2"/>
      <c r="U528" s="2"/>
      <c r="V528" s="2"/>
      <c r="W528" s="2"/>
      <c r="X528" s="2"/>
      <c r="Y528" s="2"/>
    </row>
    <row r="529" spans="1:25" x14ac:dyDescent="0.25">
      <c r="A529" s="2"/>
      <c r="B529" s="17">
        <f t="shared" si="33"/>
        <v>15</v>
      </c>
      <c r="C529" s="340" t="str">
        <f>Water_emissions!CW270</f>
        <v>w_HEXACHLOR_HiH</v>
      </c>
      <c r="D529" s="341"/>
      <c r="E529" s="368">
        <f>HLOOKUP($C532,Water_emissions!$E$16:$CQ$32,5,FALSE)</f>
        <v>7.8675622898982476E-3</v>
      </c>
      <c r="F529" s="368">
        <f>HLOOKUP($C532,Water_emissions!$E$16:$CQ$32,10,FALSE)</f>
        <v>7.8675622898982476E-3</v>
      </c>
      <c r="G529" s="368">
        <f>HLOOKUP($C532,Water_emissions!$E$16:$CQ$32,15,FALSE)</f>
        <v>7.8675622898982476E-3</v>
      </c>
      <c r="H529" s="344" t="s">
        <v>1085</v>
      </c>
      <c r="I529" s="342" t="s">
        <v>2233</v>
      </c>
      <c r="J529" s="418" t="str">
        <f>Water_emissions!CY270</f>
        <v>[kg/bbl] kg of HEXACHLOROBENZENE emissions to water per bbl of crude throughput - High Complexity Hydro Cracking</v>
      </c>
      <c r="K529" s="419"/>
      <c r="L529" s="419"/>
      <c r="M529" s="419"/>
      <c r="N529" s="419"/>
      <c r="O529" s="419"/>
      <c r="P529" s="420"/>
      <c r="Q529" s="2"/>
      <c r="R529" s="2"/>
      <c r="S529" s="2"/>
      <c r="T529" s="2"/>
      <c r="U529" s="2"/>
      <c r="V529" s="2"/>
      <c r="W529" s="2"/>
      <c r="X529" s="2"/>
      <c r="Y529" s="2"/>
    </row>
    <row r="530" spans="1:25" x14ac:dyDescent="0.25">
      <c r="A530" s="2"/>
      <c r="B530" s="17">
        <f t="shared" ref="B530:B593" si="34">LEN(C530)</f>
        <v>15</v>
      </c>
      <c r="C530" s="340" t="str">
        <f>Water_emissions!CW271</f>
        <v>w_HEXACHLOR_HiC</v>
      </c>
      <c r="D530" s="341"/>
      <c r="E530" s="368">
        <f>HLOOKUP($C532,Water_emissions!$E$16:$CQ$32,6,FALSE)</f>
        <v>7.8675622898982476E-3</v>
      </c>
      <c r="F530" s="368">
        <f>HLOOKUP($C532,Water_emissions!$E$16:$CQ$32,11,FALSE)</f>
        <v>7.8675622898982476E-3</v>
      </c>
      <c r="G530" s="368">
        <f>HLOOKUP($C532,Water_emissions!$E$16:$CQ$32,16,FALSE)</f>
        <v>7.8675622898982476E-3</v>
      </c>
      <c r="H530" s="344" t="s">
        <v>1085</v>
      </c>
      <c r="I530" s="342" t="s">
        <v>2233</v>
      </c>
      <c r="J530" s="418" t="str">
        <f>Water_emissions!CY271</f>
        <v>[kg/bbl] kg of HEXACHLOROBENZENE emissions to water per bbl of crude throughput - High Complexity Coking</v>
      </c>
      <c r="K530" s="419"/>
      <c r="L530" s="419"/>
      <c r="M530" s="419"/>
      <c r="N530" s="419"/>
      <c r="O530" s="419"/>
      <c r="P530" s="420"/>
      <c r="Q530" s="2"/>
      <c r="R530" s="2"/>
      <c r="S530" s="2"/>
      <c r="T530" s="2"/>
      <c r="U530" s="2"/>
      <c r="V530" s="2"/>
      <c r="W530" s="2"/>
      <c r="X530" s="2"/>
      <c r="Y530" s="2"/>
    </row>
    <row r="531" spans="1:25" x14ac:dyDescent="0.25">
      <c r="A531" s="2"/>
      <c r="B531" s="17">
        <f t="shared" si="34"/>
        <v>15</v>
      </c>
      <c r="C531" s="340" t="str">
        <f>Water_emissions!CW272</f>
        <v>w_HEXACHLOR_HiB</v>
      </c>
      <c r="D531" s="341"/>
      <c r="E531" s="368">
        <f>HLOOKUP($C532,Water_emissions!$E$16:$CQ$32,7,FALSE)</f>
        <v>7.8675622898982476E-3</v>
      </c>
      <c r="F531" s="368">
        <f>HLOOKUP($C532,Water_emissions!$E$16:$CQ$32,12,FALSE)</f>
        <v>7.8675622898982476E-3</v>
      </c>
      <c r="G531" s="368">
        <f>HLOOKUP($C532,Water_emissions!$E$16:$CQ$32,17,FALSE)</f>
        <v>7.8675622898982476E-3</v>
      </c>
      <c r="H531" s="344" t="s">
        <v>1085</v>
      </c>
      <c r="I531" s="342" t="s">
        <v>2233</v>
      </c>
      <c r="J531" s="418" t="str">
        <f>Water_emissions!CY272</f>
        <v>[kg/bbl] kg of HEXACHLOROBENZENE emissions to water per bbl of crude throughput - High Complexity Hydro Cracking and Coking</v>
      </c>
      <c r="K531" s="419"/>
      <c r="L531" s="419"/>
      <c r="M531" s="419"/>
      <c r="N531" s="419"/>
      <c r="O531" s="419"/>
      <c r="P531" s="420"/>
      <c r="Q531" s="2"/>
      <c r="R531" s="2"/>
      <c r="S531" s="2"/>
      <c r="T531" s="2"/>
      <c r="U531" s="2"/>
      <c r="V531" s="2"/>
      <c r="W531" s="2"/>
      <c r="X531" s="2"/>
      <c r="Y531" s="2"/>
    </row>
    <row r="532" spans="1:25" ht="39" x14ac:dyDescent="0.25">
      <c r="A532" s="2"/>
      <c r="B532" s="17">
        <f t="shared" si="34"/>
        <v>11</v>
      </c>
      <c r="C532" s="340" t="str">
        <f>Water_emissions!CW273</f>
        <v>w_HEXACHLOR</v>
      </c>
      <c r="D532" s="39" t="str">
        <f>"IF(NC=0;"&amp;C527&amp;";IF(NC=1;"&amp;C528&amp;";IF(NC=2;"&amp;C529&amp;";IF(NC=3;"&amp;C530&amp;";"&amp;C531&amp;"))))/"&amp;$C$27</f>
        <v>IF(NC=0;w_HEXACHLOR_L;IF(NC=1;w_HEXACHLOR_M;IF(NC=2;w_HEXACHLOR_HiH;IF(NC=3;w_HEXACHLOR_HiC;w_HEXACHLOR_HiB))))/Density_oil</v>
      </c>
      <c r="E532" s="68">
        <f>IF($E$24=0,E527,IF($E$24=1,E528,IF($E$24=2,E529,IF($E$24=3,E530,E531))))/$E$27</f>
        <v>5.672819357547408E-5</v>
      </c>
      <c r="F532" s="342"/>
      <c r="G532" s="343"/>
      <c r="H532" s="344" t="s">
        <v>489</v>
      </c>
      <c r="I532" s="342" t="s">
        <v>2233</v>
      </c>
      <c r="J532" s="418" t="str">
        <f>Water_emissions!CY273</f>
        <v>[kg/bbl] kg of HEXACHLOROBENZENE emissions to water per bbl of crude throughput</v>
      </c>
      <c r="K532" s="419"/>
      <c r="L532" s="419"/>
      <c r="M532" s="419"/>
      <c r="N532" s="419"/>
      <c r="O532" s="419"/>
      <c r="P532" s="420"/>
      <c r="Q532" s="2"/>
      <c r="R532" s="2"/>
      <c r="S532" s="2"/>
      <c r="T532" s="2"/>
      <c r="U532" s="2"/>
      <c r="V532" s="2"/>
      <c r="W532" s="2"/>
      <c r="X532" s="2"/>
      <c r="Y532" s="2"/>
    </row>
    <row r="533" spans="1:25" x14ac:dyDescent="0.25">
      <c r="A533" s="2"/>
      <c r="B533" s="17">
        <f t="shared" si="34"/>
        <v>13</v>
      </c>
      <c r="C533" s="340" t="str">
        <f>Water_emissions!CW274</f>
        <v>w_Hydrocarb_L</v>
      </c>
      <c r="D533" s="341"/>
      <c r="E533" s="368">
        <f>HLOOKUP($C538,Water_emissions!$E$16:$CQ$32,3,FALSE)</f>
        <v>2.4019807536300011E-6</v>
      </c>
      <c r="F533" s="368">
        <f>HLOOKUP($C538,Water_emissions!$E$16:$CQ$32,8,FALSE)</f>
        <v>2.4019807536300011E-6</v>
      </c>
      <c r="G533" s="368">
        <f>HLOOKUP($C538,Water_emissions!$E$16:$CQ$32,13,FALSE)</f>
        <v>2.4019807536300011E-6</v>
      </c>
      <c r="H533" s="344" t="s">
        <v>1085</v>
      </c>
      <c r="I533" s="342" t="s">
        <v>2233</v>
      </c>
      <c r="J533" s="418" t="str">
        <f>Water_emissions!CY274</f>
        <v>[kg/bbl] kg of Hydrocarbon, aqueous emissions to water per bbl of crude throughput - Low Complexity</v>
      </c>
      <c r="K533" s="419"/>
      <c r="L533" s="419"/>
      <c r="M533" s="419"/>
      <c r="N533" s="419"/>
      <c r="O533" s="419"/>
      <c r="P533" s="420"/>
      <c r="Q533" s="2"/>
      <c r="R533" s="2"/>
      <c r="S533" s="2"/>
      <c r="T533" s="2"/>
      <c r="U533" s="2"/>
      <c r="V533" s="2"/>
      <c r="W533" s="2"/>
      <c r="X533" s="2"/>
      <c r="Y533" s="2"/>
    </row>
    <row r="534" spans="1:25" x14ac:dyDescent="0.25">
      <c r="A534" s="2"/>
      <c r="B534" s="17">
        <f t="shared" si="34"/>
        <v>13</v>
      </c>
      <c r="C534" s="340" t="str">
        <f>Water_emissions!CW275</f>
        <v>w_Hydrocarb_M</v>
      </c>
      <c r="D534" s="341"/>
      <c r="E534" s="368">
        <f>HLOOKUP($C538,Water_emissions!$E$16:$CQ$32,4,FALSE)</f>
        <v>2.4019807536300011E-6</v>
      </c>
      <c r="F534" s="368">
        <f>HLOOKUP($C538,Water_emissions!$E$16:$CQ$32,9,FALSE)</f>
        <v>2.4019807536300011E-6</v>
      </c>
      <c r="G534" s="368">
        <f>HLOOKUP($C538,Water_emissions!$E$16:$CQ$32,14,FALSE)</f>
        <v>2.4019807536300011E-6</v>
      </c>
      <c r="H534" s="344" t="s">
        <v>1085</v>
      </c>
      <c r="I534" s="342" t="s">
        <v>2233</v>
      </c>
      <c r="J534" s="418" t="str">
        <f>Water_emissions!CY275</f>
        <v>[kg/bbl] kg of Hydrocarbon, aqueous emissions to water per bbl of crude throughput - Med Complexity</v>
      </c>
      <c r="K534" s="419"/>
      <c r="L534" s="419"/>
      <c r="M534" s="419"/>
      <c r="N534" s="419"/>
      <c r="O534" s="419"/>
      <c r="P534" s="420"/>
      <c r="Q534" s="2"/>
      <c r="R534" s="2"/>
      <c r="S534" s="2"/>
      <c r="T534" s="2"/>
      <c r="U534" s="2"/>
      <c r="V534" s="2"/>
      <c r="W534" s="2"/>
      <c r="X534" s="2"/>
      <c r="Y534" s="2"/>
    </row>
    <row r="535" spans="1:25" x14ac:dyDescent="0.25">
      <c r="A535" s="2"/>
      <c r="B535" s="17">
        <f t="shared" si="34"/>
        <v>15</v>
      </c>
      <c r="C535" s="340" t="str">
        <f>Water_emissions!CW276</f>
        <v>w_Hydrocarb_HiH</v>
      </c>
      <c r="D535" s="341"/>
      <c r="E535" s="368">
        <f>HLOOKUP($C538,Water_emissions!$E$16:$CQ$32,5,FALSE)</f>
        <v>2.4019807536300011E-6</v>
      </c>
      <c r="F535" s="368">
        <f>HLOOKUP($C538,Water_emissions!$E$16:$CQ$32,10,FALSE)</f>
        <v>2.4019807536300011E-6</v>
      </c>
      <c r="G535" s="368">
        <f>HLOOKUP($C538,Water_emissions!$E$16:$CQ$32,15,FALSE)</f>
        <v>2.4019807536300011E-6</v>
      </c>
      <c r="H535" s="344" t="s">
        <v>1085</v>
      </c>
      <c r="I535" s="342" t="s">
        <v>2233</v>
      </c>
      <c r="J535" s="418" t="str">
        <f>Water_emissions!CY276</f>
        <v>[kg/bbl] kg of Hydrocarbon, aqueous emissions to water per bbl of crude throughput - High Complexity Hydro Cracking</v>
      </c>
      <c r="K535" s="419"/>
      <c r="L535" s="419"/>
      <c r="M535" s="419"/>
      <c r="N535" s="419"/>
      <c r="O535" s="419"/>
      <c r="P535" s="420"/>
      <c r="Q535" s="2"/>
      <c r="R535" s="2"/>
      <c r="S535" s="2"/>
      <c r="T535" s="2"/>
      <c r="U535" s="2"/>
      <c r="V535" s="2"/>
      <c r="W535" s="2"/>
      <c r="X535" s="2"/>
      <c r="Y535" s="2"/>
    </row>
    <row r="536" spans="1:25" x14ac:dyDescent="0.25">
      <c r="A536" s="2"/>
      <c r="B536" s="17">
        <f t="shared" si="34"/>
        <v>15</v>
      </c>
      <c r="C536" s="340" t="str">
        <f>Water_emissions!CW277</f>
        <v>w_Hydrocarb_HiC</v>
      </c>
      <c r="D536" s="341"/>
      <c r="E536" s="368">
        <f>HLOOKUP($C538,Water_emissions!$E$16:$CQ$32,6,FALSE)</f>
        <v>2.4019807536300011E-6</v>
      </c>
      <c r="F536" s="368">
        <f>HLOOKUP($C538,Water_emissions!$E$16:$CQ$32,11,FALSE)</f>
        <v>2.4019807536300011E-6</v>
      </c>
      <c r="G536" s="368">
        <f>HLOOKUP($C538,Water_emissions!$E$16:$CQ$32,16,FALSE)</f>
        <v>2.4019807536300011E-6</v>
      </c>
      <c r="H536" s="344" t="s">
        <v>1085</v>
      </c>
      <c r="I536" s="342" t="s">
        <v>2233</v>
      </c>
      <c r="J536" s="418" t="str">
        <f>Water_emissions!CY277</f>
        <v>[kg/bbl] kg of Hydrocarbon, aqueous emissions to water per bbl of crude throughput - High Complexity Coking</v>
      </c>
      <c r="K536" s="419"/>
      <c r="L536" s="419"/>
      <c r="M536" s="419"/>
      <c r="N536" s="419"/>
      <c r="O536" s="419"/>
      <c r="P536" s="420"/>
      <c r="Q536" s="2"/>
      <c r="R536" s="2"/>
      <c r="S536" s="2"/>
      <c r="T536" s="2"/>
      <c r="U536" s="2"/>
      <c r="V536" s="2"/>
      <c r="W536" s="2"/>
      <c r="X536" s="2"/>
      <c r="Y536" s="2"/>
    </row>
    <row r="537" spans="1:25" x14ac:dyDescent="0.25">
      <c r="A537" s="2"/>
      <c r="B537" s="17">
        <f t="shared" si="34"/>
        <v>15</v>
      </c>
      <c r="C537" s="340" t="str">
        <f>Water_emissions!CW278</f>
        <v>w_Hydrocarb_HiB</v>
      </c>
      <c r="D537" s="341"/>
      <c r="E537" s="368">
        <f>HLOOKUP($C538,Water_emissions!$E$16:$CQ$32,7,FALSE)</f>
        <v>2.4019807536300011E-6</v>
      </c>
      <c r="F537" s="368">
        <f>HLOOKUP($C538,Water_emissions!$E$16:$CQ$32,12,FALSE)</f>
        <v>2.4019807536300011E-6</v>
      </c>
      <c r="G537" s="368">
        <f>HLOOKUP($C538,Water_emissions!$E$16:$CQ$32,17,FALSE)</f>
        <v>2.4019807536300011E-6</v>
      </c>
      <c r="H537" s="344" t="s">
        <v>1085</v>
      </c>
      <c r="I537" s="342" t="s">
        <v>2233</v>
      </c>
      <c r="J537" s="418" t="str">
        <f>Water_emissions!CY278</f>
        <v>[kg/bbl] kg of Hydrocarbon, aqueous emissions to water per bbl of crude throughput - High Complexity Hydro Cracking and Coking</v>
      </c>
      <c r="K537" s="419"/>
      <c r="L537" s="419"/>
      <c r="M537" s="419"/>
      <c r="N537" s="419"/>
      <c r="O537" s="419"/>
      <c r="P537" s="420"/>
      <c r="Q537" s="2"/>
      <c r="R537" s="2"/>
      <c r="S537" s="2"/>
      <c r="T537" s="2"/>
      <c r="U537" s="2"/>
      <c r="V537" s="2"/>
      <c r="W537" s="2"/>
      <c r="X537" s="2"/>
      <c r="Y537" s="2"/>
    </row>
    <row r="538" spans="1:25" ht="26.25" x14ac:dyDescent="0.25">
      <c r="A538" s="2"/>
      <c r="B538" s="17">
        <f t="shared" si="34"/>
        <v>11</v>
      </c>
      <c r="C538" s="340" t="str">
        <f>Water_emissions!CW279</f>
        <v>w_Hydrocarb</v>
      </c>
      <c r="D538" s="39" t="str">
        <f>"IF(NC=0;"&amp;C533&amp;";IF(NC=1;"&amp;C534&amp;";IF(NC=2;"&amp;C535&amp;";IF(NC=3;"&amp;C536&amp;";"&amp;C537&amp;"))))/"&amp;$C$27</f>
        <v>IF(NC=0;w_Hydrocarb_L;IF(NC=1;w_Hydrocarb_M;IF(NC=2;w_Hydrocarb_HiH;IF(NC=3;w_Hydrocarb_HiC;w_Hydrocarb_HiB))))/Density_oil</v>
      </c>
      <c r="E538" s="68">
        <f>IF($E$24=0,E533,IF($E$24=1,E534,IF($E$24=2,E535,IF($E$24=3,E536,E537))))/$E$27</f>
        <v>1.7319218346887482E-8</v>
      </c>
      <c r="F538" s="342"/>
      <c r="G538" s="343"/>
      <c r="H538" s="344" t="s">
        <v>489</v>
      </c>
      <c r="I538" s="342" t="s">
        <v>2233</v>
      </c>
      <c r="J538" s="418" t="str">
        <f>Water_emissions!CY279</f>
        <v>[kg/bbl] kg of Hydrocarbon, aqueous emissions to water per bbl of crude throughput</v>
      </c>
      <c r="K538" s="419"/>
      <c r="L538" s="419"/>
      <c r="M538" s="419"/>
      <c r="N538" s="419"/>
      <c r="O538" s="419"/>
      <c r="P538" s="420"/>
      <c r="Q538" s="2"/>
      <c r="R538" s="2"/>
      <c r="S538" s="2"/>
      <c r="T538" s="2"/>
      <c r="U538" s="2"/>
      <c r="V538" s="2"/>
      <c r="W538" s="2"/>
      <c r="X538" s="2"/>
      <c r="Y538" s="2"/>
    </row>
    <row r="539" spans="1:25" x14ac:dyDescent="0.25">
      <c r="A539" s="2"/>
      <c r="B539" s="17">
        <f t="shared" si="34"/>
        <v>13</v>
      </c>
      <c r="C539" s="340" t="str">
        <f>Water_emissions!CW280</f>
        <v>w_HYDROFLUO_L</v>
      </c>
      <c r="D539" s="341"/>
      <c r="E539" s="368">
        <f>HLOOKUP($C544,Water_emissions!$E$16:$CQ$32,3,FALSE)</f>
        <v>0</v>
      </c>
      <c r="F539" s="368">
        <f>HLOOKUP($C544,Water_emissions!$E$16:$CQ$32,8,FALSE)</f>
        <v>0</v>
      </c>
      <c r="G539" s="368">
        <f>HLOOKUP($C544,Water_emissions!$E$16:$CQ$32,13,FALSE)</f>
        <v>0</v>
      </c>
      <c r="H539" s="344" t="s">
        <v>1085</v>
      </c>
      <c r="I539" s="342" t="s">
        <v>2233</v>
      </c>
      <c r="J539" s="418" t="str">
        <f>Water_emissions!CY280</f>
        <v>[kg/bbl] kg of HYDROFLUORIC ACID emissions to water per bbl of crude throughput - Low Complexity</v>
      </c>
      <c r="K539" s="419"/>
      <c r="L539" s="419"/>
      <c r="M539" s="419"/>
      <c r="N539" s="419"/>
      <c r="O539" s="419"/>
      <c r="P539" s="420"/>
      <c r="Q539" s="2"/>
      <c r="R539" s="2"/>
      <c r="S539" s="2"/>
      <c r="T539" s="2"/>
      <c r="U539" s="2"/>
      <c r="V539" s="2"/>
      <c r="W539" s="2"/>
      <c r="X539" s="2"/>
      <c r="Y539" s="2"/>
    </row>
    <row r="540" spans="1:25" x14ac:dyDescent="0.25">
      <c r="A540" s="2"/>
      <c r="B540" s="17">
        <f t="shared" si="34"/>
        <v>13</v>
      </c>
      <c r="C540" s="340" t="str">
        <f>Water_emissions!CW281</f>
        <v>w_HYDROFLUO_M</v>
      </c>
      <c r="D540" s="341"/>
      <c r="E540" s="368">
        <f>HLOOKUP($C544,Water_emissions!$E$16:$CQ$32,4,FALSE)</f>
        <v>0.18291305837705388</v>
      </c>
      <c r="F540" s="368">
        <f>HLOOKUP($C544,Water_emissions!$E$16:$CQ$32,9,FALSE)</f>
        <v>0</v>
      </c>
      <c r="G540" s="368">
        <f>HLOOKUP($C544,Water_emissions!$E$16:$CQ$32,14,FALSE)</f>
        <v>0.54873917513116166</v>
      </c>
      <c r="H540" s="344" t="s">
        <v>1085</v>
      </c>
      <c r="I540" s="342" t="s">
        <v>2233</v>
      </c>
      <c r="J540" s="418" t="str">
        <f>Water_emissions!CY281</f>
        <v>[kg/bbl] kg of HYDROFLUORIC ACID emissions to water per bbl of crude throughput - Med Complexity</v>
      </c>
      <c r="K540" s="419"/>
      <c r="L540" s="419"/>
      <c r="M540" s="419"/>
      <c r="N540" s="419"/>
      <c r="O540" s="419"/>
      <c r="P540" s="420"/>
      <c r="Q540" s="2"/>
      <c r="R540" s="2"/>
      <c r="S540" s="2"/>
      <c r="T540" s="2"/>
      <c r="U540" s="2"/>
      <c r="V540" s="2"/>
      <c r="W540" s="2"/>
      <c r="X540" s="2"/>
      <c r="Y540" s="2"/>
    </row>
    <row r="541" spans="1:25" x14ac:dyDescent="0.25">
      <c r="A541" s="2"/>
      <c r="B541" s="17">
        <f t="shared" si="34"/>
        <v>15</v>
      </c>
      <c r="C541" s="340" t="str">
        <f>Water_emissions!CW282</f>
        <v>w_HYDROFLUO_HiH</v>
      </c>
      <c r="D541" s="341"/>
      <c r="E541" s="368">
        <f>HLOOKUP($C544,Water_emissions!$E$16:$CQ$32,5,FALSE)</f>
        <v>0</v>
      </c>
      <c r="F541" s="368">
        <f>HLOOKUP($C544,Water_emissions!$E$16:$CQ$32,10,FALSE)</f>
        <v>0</v>
      </c>
      <c r="G541" s="368">
        <f>HLOOKUP($C544,Water_emissions!$E$16:$CQ$32,15,FALSE)</f>
        <v>0</v>
      </c>
      <c r="H541" s="344" t="s">
        <v>1085</v>
      </c>
      <c r="I541" s="342" t="s">
        <v>2233</v>
      </c>
      <c r="J541" s="418" t="str">
        <f>Water_emissions!CY282</f>
        <v>[kg/bbl] kg of HYDROFLUORIC ACID emissions to water per bbl of crude throughput - High Complexity Hydro Cracking</v>
      </c>
      <c r="K541" s="419"/>
      <c r="L541" s="419"/>
      <c r="M541" s="419"/>
      <c r="N541" s="419"/>
      <c r="O541" s="419"/>
      <c r="P541" s="420"/>
      <c r="Q541" s="2"/>
      <c r="R541" s="2"/>
      <c r="S541" s="2"/>
      <c r="T541" s="2"/>
      <c r="U541" s="2"/>
      <c r="V541" s="2"/>
      <c r="W541" s="2"/>
      <c r="X541" s="2"/>
      <c r="Y541" s="2"/>
    </row>
    <row r="542" spans="1:25" x14ac:dyDescent="0.25">
      <c r="A542" s="2"/>
      <c r="B542" s="17">
        <f t="shared" si="34"/>
        <v>15</v>
      </c>
      <c r="C542" s="340" t="str">
        <f>Water_emissions!CW283</f>
        <v>w_HYDROFLUO_HiC</v>
      </c>
      <c r="D542" s="341"/>
      <c r="E542" s="368">
        <f>HLOOKUP($C544,Water_emissions!$E$16:$CQ$32,6,FALSE)</f>
        <v>0</v>
      </c>
      <c r="F542" s="368">
        <f>HLOOKUP($C544,Water_emissions!$E$16:$CQ$32,11,FALSE)</f>
        <v>0</v>
      </c>
      <c r="G542" s="368">
        <f>HLOOKUP($C544,Water_emissions!$E$16:$CQ$32,16,FALSE)</f>
        <v>0</v>
      </c>
      <c r="H542" s="344" t="s">
        <v>1085</v>
      </c>
      <c r="I542" s="342" t="s">
        <v>2233</v>
      </c>
      <c r="J542" s="418" t="str">
        <f>Water_emissions!CY283</f>
        <v>[kg/bbl] kg of HYDROFLUORIC ACID emissions to water per bbl of crude throughput - High Complexity Coking</v>
      </c>
      <c r="K542" s="419"/>
      <c r="L542" s="419"/>
      <c r="M542" s="419"/>
      <c r="N542" s="419"/>
      <c r="O542" s="419"/>
      <c r="P542" s="420"/>
      <c r="Q542" s="2"/>
      <c r="R542" s="2"/>
      <c r="S542" s="2"/>
      <c r="T542" s="2"/>
      <c r="U542" s="2"/>
      <c r="V542" s="2"/>
      <c r="W542" s="2"/>
      <c r="X542" s="2"/>
      <c r="Y542" s="2"/>
    </row>
    <row r="543" spans="1:25" x14ac:dyDescent="0.25">
      <c r="A543" s="2"/>
      <c r="B543" s="17">
        <f t="shared" si="34"/>
        <v>15</v>
      </c>
      <c r="C543" s="340" t="str">
        <f>Water_emissions!CW284</f>
        <v>w_HYDROFLUO_HiB</v>
      </c>
      <c r="D543" s="341"/>
      <c r="E543" s="368">
        <f>HLOOKUP($C544,Water_emissions!$E$16:$CQ$32,7,FALSE)</f>
        <v>0</v>
      </c>
      <c r="F543" s="368">
        <f>HLOOKUP($C544,Water_emissions!$E$16:$CQ$32,12,FALSE)</f>
        <v>0</v>
      </c>
      <c r="G543" s="368">
        <f>HLOOKUP($C544,Water_emissions!$E$16:$CQ$32,17,FALSE)</f>
        <v>0</v>
      </c>
      <c r="H543" s="344" t="s">
        <v>1085</v>
      </c>
      <c r="I543" s="342" t="s">
        <v>2233</v>
      </c>
      <c r="J543" s="418" t="str">
        <f>Water_emissions!CY284</f>
        <v>[kg/bbl] kg of HYDROFLUORIC ACID emissions to water per bbl of crude throughput - High Complexity Hydro Cracking and Coking</v>
      </c>
      <c r="K543" s="419"/>
      <c r="L543" s="419"/>
      <c r="M543" s="419"/>
      <c r="N543" s="419"/>
      <c r="O543" s="419"/>
      <c r="P543" s="420"/>
      <c r="Q543" s="2"/>
      <c r="R543" s="2"/>
      <c r="S543" s="2"/>
      <c r="T543" s="2"/>
      <c r="U543" s="2"/>
      <c r="V543" s="2"/>
      <c r="W543" s="2"/>
      <c r="X543" s="2"/>
      <c r="Y543" s="2"/>
    </row>
    <row r="544" spans="1:25" ht="39" x14ac:dyDescent="0.25">
      <c r="A544" s="2"/>
      <c r="B544" s="17">
        <f t="shared" si="34"/>
        <v>11</v>
      </c>
      <c r="C544" s="340" t="str">
        <f>Water_emissions!CW285</f>
        <v>w_HYDROFLUO</v>
      </c>
      <c r="D544" s="39" t="str">
        <f>"IF(NC=0;"&amp;C539&amp;";IF(NC=1;"&amp;C540&amp;";IF(NC=2;"&amp;C541&amp;";IF(NC=3;"&amp;C542&amp;";"&amp;C543&amp;"))))/"&amp;$C$27</f>
        <v>IF(NC=0;w_HYDROFLUO_L;IF(NC=1;w_HYDROFLUO_M;IF(NC=2;w_HYDROFLUO_HiH;IF(NC=3;w_HYDROFLUO_HiC;w_HYDROFLUO_HiB))))/Density_oil</v>
      </c>
      <c r="E544" s="68">
        <f>IF($E$24=0,E539,IF($E$24=1,E540,IF($E$24=2,E541,IF($E$24=3,E542,E543))))/$E$27</f>
        <v>0</v>
      </c>
      <c r="F544" s="342"/>
      <c r="G544" s="343"/>
      <c r="H544" s="344" t="s">
        <v>489</v>
      </c>
      <c r="I544" s="342" t="s">
        <v>2233</v>
      </c>
      <c r="J544" s="418" t="str">
        <f>Water_emissions!CY285</f>
        <v>[kg/bbl] kg of HYDROFLUORIC ACID emissions to water per bbl of crude throughput</v>
      </c>
      <c r="K544" s="419"/>
      <c r="L544" s="419"/>
      <c r="M544" s="419"/>
      <c r="N544" s="419"/>
      <c r="O544" s="419"/>
      <c r="P544" s="420"/>
      <c r="Q544" s="2"/>
      <c r="R544" s="2"/>
      <c r="S544" s="2"/>
      <c r="T544" s="2"/>
      <c r="U544" s="2"/>
      <c r="V544" s="2"/>
      <c r="W544" s="2"/>
      <c r="X544" s="2"/>
      <c r="Y544" s="2"/>
    </row>
    <row r="545" spans="1:25" x14ac:dyDescent="0.25">
      <c r="A545" s="2"/>
      <c r="B545" s="17">
        <f t="shared" si="34"/>
        <v>13</v>
      </c>
      <c r="C545" s="340" t="str">
        <f>Water_emissions!CW286</f>
        <v>w_HYDROGENC_L</v>
      </c>
      <c r="D545" s="341"/>
      <c r="E545" s="368">
        <f>HLOOKUP($C550,Water_emissions!$E$16:$CQ$32,3,FALSE)</f>
        <v>2.3397181642348448E-2</v>
      </c>
      <c r="F545" s="368">
        <f>HLOOKUP($C550,Water_emissions!$E$16:$CQ$32,8,FALSE)</f>
        <v>0</v>
      </c>
      <c r="G545" s="368">
        <f>HLOOKUP($C550,Water_emissions!$E$16:$CQ$32,13,FALSE)</f>
        <v>0.16378027149643914</v>
      </c>
      <c r="H545" s="344" t="s">
        <v>1085</v>
      </c>
      <c r="I545" s="342" t="s">
        <v>2233</v>
      </c>
      <c r="J545" s="418" t="str">
        <f>Water_emissions!CY286</f>
        <v>[kg/bbl] kg of HYDROGEN CYANIDE emissions to water per bbl of crude throughput - Low Complexity</v>
      </c>
      <c r="K545" s="419"/>
      <c r="L545" s="419"/>
      <c r="M545" s="419"/>
      <c r="N545" s="419"/>
      <c r="O545" s="419"/>
      <c r="P545" s="420"/>
      <c r="Q545" s="2"/>
      <c r="R545" s="2"/>
      <c r="S545" s="2"/>
      <c r="T545" s="2"/>
      <c r="U545" s="2"/>
      <c r="V545" s="2"/>
      <c r="W545" s="2"/>
      <c r="X545" s="2"/>
      <c r="Y545" s="2"/>
    </row>
    <row r="546" spans="1:25" x14ac:dyDescent="0.25">
      <c r="A546" s="2"/>
      <c r="B546" s="17">
        <f t="shared" si="34"/>
        <v>13</v>
      </c>
      <c r="C546" s="340" t="str">
        <f>Water_emissions!CW287</f>
        <v>w_HYDROGENC_M</v>
      </c>
      <c r="D546" s="341"/>
      <c r="E546" s="368">
        <f>HLOOKUP($C550,Water_emissions!$E$16:$CQ$32,4,FALSE)</f>
        <v>2.3397181642348448E-2</v>
      </c>
      <c r="F546" s="368">
        <f>HLOOKUP($C550,Water_emissions!$E$16:$CQ$32,9,FALSE)</f>
        <v>0</v>
      </c>
      <c r="G546" s="368">
        <f>HLOOKUP($C550,Water_emissions!$E$16:$CQ$32,14,FALSE)</f>
        <v>0.16378027149643914</v>
      </c>
      <c r="H546" s="344" t="s">
        <v>1085</v>
      </c>
      <c r="I546" s="342" t="s">
        <v>2233</v>
      </c>
      <c r="J546" s="418" t="str">
        <f>Water_emissions!CY287</f>
        <v>[kg/bbl] kg of HYDROGEN CYANIDE emissions to water per bbl of crude throughput - Med Complexity</v>
      </c>
      <c r="K546" s="419"/>
      <c r="L546" s="419"/>
      <c r="M546" s="419"/>
      <c r="N546" s="419"/>
      <c r="O546" s="419"/>
      <c r="P546" s="420"/>
      <c r="Q546" s="2"/>
      <c r="R546" s="2"/>
      <c r="S546" s="2"/>
      <c r="T546" s="2"/>
      <c r="U546" s="2"/>
      <c r="V546" s="2"/>
      <c r="W546" s="2"/>
      <c r="X546" s="2"/>
      <c r="Y546" s="2"/>
    </row>
    <row r="547" spans="1:25" x14ac:dyDescent="0.25">
      <c r="A547" s="2"/>
      <c r="B547" s="17">
        <f t="shared" si="34"/>
        <v>15</v>
      </c>
      <c r="C547" s="340" t="str">
        <f>Water_emissions!CW288</f>
        <v>w_HYDROGENC_HiH</v>
      </c>
      <c r="D547" s="341"/>
      <c r="E547" s="368">
        <f>HLOOKUP($C550,Water_emissions!$E$16:$CQ$32,5,FALSE)</f>
        <v>0</v>
      </c>
      <c r="F547" s="368">
        <f>HLOOKUP($C550,Water_emissions!$E$16:$CQ$32,10,FALSE)</f>
        <v>0</v>
      </c>
      <c r="G547" s="368">
        <f>HLOOKUP($C550,Water_emissions!$E$16:$CQ$32,15,FALSE)</f>
        <v>0</v>
      </c>
      <c r="H547" s="344" t="s">
        <v>1085</v>
      </c>
      <c r="I547" s="342" t="s">
        <v>2233</v>
      </c>
      <c r="J547" s="418" t="str">
        <f>Water_emissions!CY288</f>
        <v>[kg/bbl] kg of HYDROGEN CYANIDE emissions to water per bbl of crude throughput - High Complexity Hydro Cracking</v>
      </c>
      <c r="K547" s="419"/>
      <c r="L547" s="419"/>
      <c r="M547" s="419"/>
      <c r="N547" s="419"/>
      <c r="O547" s="419"/>
      <c r="P547" s="420"/>
      <c r="Q547" s="2"/>
      <c r="R547" s="2"/>
      <c r="S547" s="2"/>
      <c r="T547" s="2"/>
      <c r="U547" s="2"/>
      <c r="V547" s="2"/>
      <c r="W547" s="2"/>
      <c r="X547" s="2"/>
      <c r="Y547" s="2"/>
    </row>
    <row r="548" spans="1:25" x14ac:dyDescent="0.25">
      <c r="A548" s="2"/>
      <c r="B548" s="17">
        <f t="shared" si="34"/>
        <v>15</v>
      </c>
      <c r="C548" s="340" t="str">
        <f>Water_emissions!CW289</f>
        <v>w_HYDROGENC_HiC</v>
      </c>
      <c r="D548" s="341"/>
      <c r="E548" s="368">
        <f>HLOOKUP($C550,Water_emissions!$E$16:$CQ$32,6,FALSE)</f>
        <v>8.1890135748219572E-2</v>
      </c>
      <c r="F548" s="368">
        <f>HLOOKUP($C550,Water_emissions!$E$16:$CQ$32,11,FALSE)</f>
        <v>0</v>
      </c>
      <c r="G548" s="368">
        <f>HLOOKUP($C550,Water_emissions!$E$16:$CQ$32,16,FALSE)</f>
        <v>0.16378027149643914</v>
      </c>
      <c r="H548" s="344" t="s">
        <v>1085</v>
      </c>
      <c r="I548" s="342" t="s">
        <v>2233</v>
      </c>
      <c r="J548" s="418" t="str">
        <f>Water_emissions!CY289</f>
        <v>[kg/bbl] kg of HYDROGEN CYANIDE emissions to water per bbl of crude throughput - High Complexity Coking</v>
      </c>
      <c r="K548" s="419"/>
      <c r="L548" s="419"/>
      <c r="M548" s="419"/>
      <c r="N548" s="419"/>
      <c r="O548" s="419"/>
      <c r="P548" s="420"/>
      <c r="Q548" s="2"/>
      <c r="R548" s="2"/>
      <c r="S548" s="2"/>
      <c r="T548" s="2"/>
      <c r="U548" s="2"/>
      <c r="V548" s="2"/>
      <c r="W548" s="2"/>
      <c r="X548" s="2"/>
      <c r="Y548" s="2"/>
    </row>
    <row r="549" spans="1:25" x14ac:dyDescent="0.25">
      <c r="A549" s="2"/>
      <c r="B549" s="17">
        <f t="shared" si="34"/>
        <v>15</v>
      </c>
      <c r="C549" s="340" t="str">
        <f>Water_emissions!CW290</f>
        <v>w_HYDROGENC_HiB</v>
      </c>
      <c r="D549" s="341"/>
      <c r="E549" s="368">
        <f>HLOOKUP($C550,Water_emissions!$E$16:$CQ$32,7,FALSE)</f>
        <v>0</v>
      </c>
      <c r="F549" s="368">
        <f>HLOOKUP($C550,Water_emissions!$E$16:$CQ$32,12,FALSE)</f>
        <v>0</v>
      </c>
      <c r="G549" s="368">
        <f>HLOOKUP($C550,Water_emissions!$E$16:$CQ$32,17,FALSE)</f>
        <v>0</v>
      </c>
      <c r="H549" s="344" t="s">
        <v>1085</v>
      </c>
      <c r="I549" s="342" t="s">
        <v>2233</v>
      </c>
      <c r="J549" s="418" t="str">
        <f>Water_emissions!CY290</f>
        <v>[kg/bbl] kg of HYDROGEN CYANIDE emissions to water per bbl of crude throughput - High Complexity Hydro Cracking and Coking</v>
      </c>
      <c r="K549" s="419"/>
      <c r="L549" s="419"/>
      <c r="M549" s="419"/>
      <c r="N549" s="419"/>
      <c r="O549" s="419"/>
      <c r="P549" s="420"/>
      <c r="Q549" s="2"/>
      <c r="R549" s="2"/>
      <c r="S549" s="2"/>
      <c r="T549" s="2"/>
      <c r="U549" s="2"/>
      <c r="V549" s="2"/>
      <c r="W549" s="2"/>
      <c r="X549" s="2"/>
      <c r="Y549" s="2"/>
    </row>
    <row r="550" spans="1:25" ht="39" x14ac:dyDescent="0.25">
      <c r="A550" s="2"/>
      <c r="B550" s="17">
        <f t="shared" si="34"/>
        <v>11</v>
      </c>
      <c r="C550" s="340" t="str">
        <f>Water_emissions!CW291</f>
        <v>w_HYDROGENC</v>
      </c>
      <c r="D550" s="39" t="str">
        <f>"IF(NC=0;"&amp;C545&amp;";IF(NC=1;"&amp;C546&amp;";IF(NC=2;"&amp;C547&amp;";IF(NC=3;"&amp;C548&amp;";"&amp;C549&amp;"))))/"&amp;$C$27</f>
        <v>IF(NC=0;w_HYDROGENC_L;IF(NC=1;w_HYDROGENC_M;IF(NC=2;w_HYDROGENC_HiH;IF(NC=3;w_HYDROGENC_HiC;w_HYDROGENC_HiB))))/Density_oil</v>
      </c>
      <c r="E550" s="68">
        <f>IF($E$24=0,E545,IF($E$24=1,E546,IF($E$24=2,E547,IF($E$24=3,E548,E549))))/$E$27</f>
        <v>0</v>
      </c>
      <c r="F550" s="342"/>
      <c r="G550" s="343"/>
      <c r="H550" s="344" t="s">
        <v>489</v>
      </c>
      <c r="I550" s="342" t="s">
        <v>2233</v>
      </c>
      <c r="J550" s="418" t="str">
        <f>Water_emissions!CY291</f>
        <v>[kg/bbl] kg of HYDROGEN CYANIDE emissions to water per bbl of crude throughput</v>
      </c>
      <c r="K550" s="419"/>
      <c r="L550" s="419"/>
      <c r="M550" s="419"/>
      <c r="N550" s="419"/>
      <c r="O550" s="419"/>
      <c r="P550" s="420"/>
      <c r="Q550" s="2"/>
      <c r="R550" s="2"/>
      <c r="S550" s="2"/>
      <c r="T550" s="2"/>
      <c r="U550" s="2"/>
      <c r="V550" s="2"/>
      <c r="W550" s="2"/>
      <c r="X550" s="2"/>
      <c r="Y550" s="2"/>
    </row>
    <row r="551" spans="1:25" x14ac:dyDescent="0.25">
      <c r="A551" s="2"/>
      <c r="B551" s="17">
        <f t="shared" si="34"/>
        <v>13</v>
      </c>
      <c r="C551" s="340" t="str">
        <f>Water_emissions!CW292</f>
        <v>w_Indeno123_L</v>
      </c>
      <c r="D551" s="341"/>
      <c r="E551" s="368">
        <f>HLOOKUP($C556,Water_emissions!$E$16:$CQ$32,3,FALSE)</f>
        <v>0</v>
      </c>
      <c r="F551" s="368">
        <f>HLOOKUP($C556,Water_emissions!$E$16:$CQ$32,8,FALSE)</f>
        <v>0</v>
      </c>
      <c r="G551" s="368">
        <f>HLOOKUP($C556,Water_emissions!$E$16:$CQ$32,13,FALSE)</f>
        <v>0</v>
      </c>
      <c r="H551" s="344" t="s">
        <v>1085</v>
      </c>
      <c r="I551" s="342" t="s">
        <v>2233</v>
      </c>
      <c r="J551" s="418" t="str">
        <f>Water_emissions!CY292</f>
        <v>[kg/bbl] kg of Indeno(1,2,3-cd)pyrene emissions to water per bbl of crude throughput - Low Complexity</v>
      </c>
      <c r="K551" s="419"/>
      <c r="L551" s="419"/>
      <c r="M551" s="419"/>
      <c r="N551" s="419"/>
      <c r="O551" s="419"/>
      <c r="P551" s="420"/>
      <c r="Q551" s="2"/>
      <c r="R551" s="2"/>
      <c r="S551" s="2"/>
      <c r="T551" s="2"/>
      <c r="U551" s="2"/>
      <c r="V551" s="2"/>
      <c r="W551" s="2"/>
      <c r="X551" s="2"/>
      <c r="Y551" s="2"/>
    </row>
    <row r="552" spans="1:25" x14ac:dyDescent="0.25">
      <c r="A552" s="2"/>
      <c r="B552" s="17">
        <f t="shared" si="34"/>
        <v>13</v>
      </c>
      <c r="C552" s="340" t="str">
        <f>Water_emissions!CW293</f>
        <v>w_Indeno123_M</v>
      </c>
      <c r="D552" s="341"/>
      <c r="E552" s="368">
        <f>HLOOKUP($C556,Water_emissions!$E$16:$CQ$32,4,FALSE)</f>
        <v>0</v>
      </c>
      <c r="F552" s="368">
        <f>HLOOKUP($C556,Water_emissions!$E$16:$CQ$32,9,FALSE)</f>
        <v>0</v>
      </c>
      <c r="G552" s="368">
        <f>HLOOKUP($C556,Water_emissions!$E$16:$CQ$32,14,FALSE)</f>
        <v>0</v>
      </c>
      <c r="H552" s="344" t="s">
        <v>1085</v>
      </c>
      <c r="I552" s="342" t="s">
        <v>2233</v>
      </c>
      <c r="J552" s="418" t="str">
        <f>Water_emissions!CY293</f>
        <v>[kg/bbl] kg of Indeno(1,2,3-cd)pyrene emissions to water per bbl of crude throughput - Med Complexity</v>
      </c>
      <c r="K552" s="419"/>
      <c r="L552" s="419"/>
      <c r="M552" s="419"/>
      <c r="N552" s="419"/>
      <c r="O552" s="419"/>
      <c r="P552" s="420"/>
      <c r="Q552" s="2"/>
      <c r="R552" s="2"/>
      <c r="S552" s="2"/>
      <c r="T552" s="2"/>
      <c r="U552" s="2"/>
      <c r="V552" s="2"/>
      <c r="W552" s="2"/>
      <c r="X552" s="2"/>
      <c r="Y552" s="2"/>
    </row>
    <row r="553" spans="1:25" x14ac:dyDescent="0.25">
      <c r="A553" s="2"/>
      <c r="B553" s="17">
        <f t="shared" si="34"/>
        <v>15</v>
      </c>
      <c r="C553" s="340" t="str">
        <f>Water_emissions!CW294</f>
        <v>w_Indeno123_HiH</v>
      </c>
      <c r="D553" s="341"/>
      <c r="E553" s="368">
        <f>HLOOKUP($C556,Water_emissions!$E$16:$CQ$32,5,FALSE)</f>
        <v>0</v>
      </c>
      <c r="F553" s="368">
        <f>HLOOKUP($C556,Water_emissions!$E$16:$CQ$32,10,FALSE)</f>
        <v>0</v>
      </c>
      <c r="G553" s="368">
        <f>HLOOKUP($C556,Water_emissions!$E$16:$CQ$32,15,FALSE)</f>
        <v>0</v>
      </c>
      <c r="H553" s="344" t="s">
        <v>1085</v>
      </c>
      <c r="I553" s="342" t="s">
        <v>2233</v>
      </c>
      <c r="J553" s="418" t="str">
        <f>Water_emissions!CY294</f>
        <v>[kg/bbl] kg of Indeno(1,2,3-cd)pyrene emissions to water per bbl of crude throughput - High Complexity Hydro Cracking</v>
      </c>
      <c r="K553" s="419"/>
      <c r="L553" s="419"/>
      <c r="M553" s="419"/>
      <c r="N553" s="419"/>
      <c r="O553" s="419"/>
      <c r="P553" s="420"/>
      <c r="Q553" s="2"/>
      <c r="R553" s="2"/>
      <c r="S553" s="2"/>
      <c r="T553" s="2"/>
      <c r="U553" s="2"/>
      <c r="V553" s="2"/>
      <c r="W553" s="2"/>
      <c r="X553" s="2"/>
      <c r="Y553" s="2"/>
    </row>
    <row r="554" spans="1:25" x14ac:dyDescent="0.25">
      <c r="A554" s="2"/>
      <c r="B554" s="17">
        <f t="shared" si="34"/>
        <v>15</v>
      </c>
      <c r="C554" s="340" t="str">
        <f>Water_emissions!CW295</f>
        <v>w_Indeno123_HiC</v>
      </c>
      <c r="D554" s="341"/>
      <c r="E554" s="368">
        <f>HLOOKUP($C556,Water_emissions!$E$16:$CQ$32,6,FALSE)</f>
        <v>0</v>
      </c>
      <c r="F554" s="368">
        <f>HLOOKUP($C556,Water_emissions!$E$16:$CQ$32,11,FALSE)</f>
        <v>0</v>
      </c>
      <c r="G554" s="368">
        <f>HLOOKUP($C556,Water_emissions!$E$16:$CQ$32,16,FALSE)</f>
        <v>0</v>
      </c>
      <c r="H554" s="344" t="s">
        <v>1085</v>
      </c>
      <c r="I554" s="342" t="s">
        <v>2233</v>
      </c>
      <c r="J554" s="418" t="str">
        <f>Water_emissions!CY295</f>
        <v>[kg/bbl] kg of Indeno(1,2,3-cd)pyrene emissions to water per bbl of crude throughput - High Complexity Coking</v>
      </c>
      <c r="K554" s="419"/>
      <c r="L554" s="419"/>
      <c r="M554" s="419"/>
      <c r="N554" s="419"/>
      <c r="O554" s="419"/>
      <c r="P554" s="420"/>
      <c r="Q554" s="2"/>
      <c r="R554" s="2"/>
      <c r="S554" s="2"/>
      <c r="T554" s="2"/>
      <c r="U554" s="2"/>
      <c r="V554" s="2"/>
      <c r="W554" s="2"/>
      <c r="X554" s="2"/>
      <c r="Y554" s="2"/>
    </row>
    <row r="555" spans="1:25" x14ac:dyDescent="0.25">
      <c r="A555" s="2"/>
      <c r="B555" s="17">
        <f t="shared" si="34"/>
        <v>15</v>
      </c>
      <c r="C555" s="340" t="str">
        <f>Water_emissions!CW296</f>
        <v>w_Indeno123_HiB</v>
      </c>
      <c r="D555" s="341"/>
      <c r="E555" s="368">
        <f>HLOOKUP($C556,Water_emissions!$E$16:$CQ$32,7,FALSE)</f>
        <v>0</v>
      </c>
      <c r="F555" s="368">
        <f>HLOOKUP($C556,Water_emissions!$E$16:$CQ$32,12,FALSE)</f>
        <v>0</v>
      </c>
      <c r="G555" s="368">
        <f>HLOOKUP($C556,Water_emissions!$E$16:$CQ$32,17,FALSE)</f>
        <v>0</v>
      </c>
      <c r="H555" s="344" t="s">
        <v>1085</v>
      </c>
      <c r="I555" s="342" t="s">
        <v>2233</v>
      </c>
      <c r="J555" s="418" t="str">
        <f>Water_emissions!CY296</f>
        <v>[kg/bbl] kg of Indeno(1,2,3-cd)pyrene emissions to water per bbl of crude throughput - High Complexity Hydro Cracking and Coking</v>
      </c>
      <c r="K555" s="419"/>
      <c r="L555" s="419"/>
      <c r="M555" s="419"/>
      <c r="N555" s="419"/>
      <c r="O555" s="419"/>
      <c r="P555" s="420"/>
      <c r="Q555" s="2"/>
      <c r="R555" s="2"/>
      <c r="S555" s="2"/>
      <c r="T555" s="2"/>
      <c r="U555" s="2"/>
      <c r="V555" s="2"/>
      <c r="W555" s="2"/>
      <c r="X555" s="2"/>
      <c r="Y555" s="2"/>
    </row>
    <row r="556" spans="1:25" ht="26.25" x14ac:dyDescent="0.25">
      <c r="A556" s="2"/>
      <c r="B556" s="17">
        <f t="shared" si="34"/>
        <v>11</v>
      </c>
      <c r="C556" s="340" t="str">
        <f>Water_emissions!CW297</f>
        <v>w_Indeno123</v>
      </c>
      <c r="D556" s="39" t="str">
        <f>"IF(NC=0;"&amp;C551&amp;";IF(NC=1;"&amp;C552&amp;";IF(NC=2;"&amp;C553&amp;";IF(NC=3;"&amp;C554&amp;";"&amp;C555&amp;"))))/"&amp;$C$27</f>
        <v>IF(NC=0;w_Indeno123_L;IF(NC=1;w_Indeno123_M;IF(NC=2;w_Indeno123_HiH;IF(NC=3;w_Indeno123_HiC;w_Indeno123_HiB))))/Density_oil</v>
      </c>
      <c r="E556" s="68">
        <f>IF($E$24=0,E551,IF($E$24=1,E552,IF($E$24=2,E553,IF($E$24=3,E554,E555))))/$E$27</f>
        <v>0</v>
      </c>
      <c r="F556" s="342"/>
      <c r="G556" s="343"/>
      <c r="H556" s="344" t="s">
        <v>489</v>
      </c>
      <c r="I556" s="342" t="s">
        <v>2233</v>
      </c>
      <c r="J556" s="418" t="str">
        <f>Water_emissions!CY297</f>
        <v>[kg/bbl] kg of Indeno(1,2,3-cd)pyrene emissions to water per bbl of crude throughput</v>
      </c>
      <c r="K556" s="419"/>
      <c r="L556" s="419"/>
      <c r="M556" s="419"/>
      <c r="N556" s="419"/>
      <c r="O556" s="419"/>
      <c r="P556" s="420"/>
      <c r="Q556" s="2"/>
      <c r="R556" s="2"/>
      <c r="S556" s="2"/>
      <c r="T556" s="2"/>
      <c r="U556" s="2"/>
      <c r="V556" s="2"/>
      <c r="W556" s="2"/>
      <c r="X556" s="2"/>
      <c r="Y556" s="2"/>
    </row>
    <row r="557" spans="1:25" x14ac:dyDescent="0.25">
      <c r="A557" s="2"/>
      <c r="B557" s="17">
        <f t="shared" si="34"/>
        <v>13</v>
      </c>
      <c r="C557" s="340" t="str">
        <f>Water_emissions!CW298</f>
        <v>w_Irontotal_L</v>
      </c>
      <c r="D557" s="341"/>
      <c r="E557" s="368">
        <f>HLOOKUP($C562,Water_emissions!$E$16:$CQ$32,3,FALSE)</f>
        <v>2.7833929995574067E-5</v>
      </c>
      <c r="F557" s="368">
        <f>HLOOKUP($C562,Water_emissions!$E$16:$CQ$32,8,FALSE)</f>
        <v>2.7833929995574067E-5</v>
      </c>
      <c r="G557" s="368">
        <f>HLOOKUP($C562,Water_emissions!$E$16:$CQ$32,13,FALSE)</f>
        <v>2.7833929995574067E-5</v>
      </c>
      <c r="H557" s="344" t="s">
        <v>1085</v>
      </c>
      <c r="I557" s="342" t="s">
        <v>2233</v>
      </c>
      <c r="J557" s="418" t="str">
        <f>Water_emissions!CY298</f>
        <v>[kg/bbl] kg of Iron, total (as Fe) emissions to water per bbl of crude throughput - Low Complexity</v>
      </c>
      <c r="K557" s="419"/>
      <c r="L557" s="419"/>
      <c r="M557" s="419"/>
      <c r="N557" s="419"/>
      <c r="O557" s="419"/>
      <c r="P557" s="420"/>
      <c r="Q557" s="2"/>
      <c r="R557" s="2"/>
      <c r="S557" s="2"/>
      <c r="T557" s="2"/>
      <c r="U557" s="2"/>
      <c r="V557" s="2"/>
      <c r="W557" s="2"/>
      <c r="X557" s="2"/>
      <c r="Y557" s="2"/>
    </row>
    <row r="558" spans="1:25" x14ac:dyDescent="0.25">
      <c r="A558" s="2"/>
      <c r="B558" s="17">
        <f t="shared" si="34"/>
        <v>13</v>
      </c>
      <c r="C558" s="340" t="str">
        <f>Water_emissions!CW299</f>
        <v>w_Irontotal_M</v>
      </c>
      <c r="D558" s="341"/>
      <c r="E558" s="368">
        <f>HLOOKUP($C562,Water_emissions!$E$16:$CQ$32,4,FALSE)</f>
        <v>5.4911176573869489E-5</v>
      </c>
      <c r="F558" s="368">
        <f>HLOOKUP($C562,Water_emissions!$E$16:$CQ$32,9,FALSE)</f>
        <v>5.4911176573869489E-5</v>
      </c>
      <c r="G558" s="368">
        <f>HLOOKUP($C562,Water_emissions!$E$16:$CQ$32,14,FALSE)</f>
        <v>5.4911176573869489E-5</v>
      </c>
      <c r="H558" s="344" t="s">
        <v>1085</v>
      </c>
      <c r="I558" s="342" t="s">
        <v>2233</v>
      </c>
      <c r="J558" s="418" t="str">
        <f>Water_emissions!CY299</f>
        <v>[kg/bbl] kg of Iron, total (as Fe) emissions to water per bbl of crude throughput - Med Complexity</v>
      </c>
      <c r="K558" s="419"/>
      <c r="L558" s="419"/>
      <c r="M558" s="419"/>
      <c r="N558" s="419"/>
      <c r="O558" s="419"/>
      <c r="P558" s="420"/>
      <c r="Q558" s="2"/>
      <c r="R558" s="2"/>
      <c r="S558" s="2"/>
      <c r="T558" s="2"/>
      <c r="U558" s="2"/>
      <c r="V558" s="2"/>
      <c r="W558" s="2"/>
      <c r="X558" s="2"/>
      <c r="Y558" s="2"/>
    </row>
    <row r="559" spans="1:25" x14ac:dyDescent="0.25">
      <c r="A559" s="2"/>
      <c r="B559" s="17">
        <f t="shared" si="34"/>
        <v>15</v>
      </c>
      <c r="C559" s="340" t="str">
        <f>Water_emissions!CW300</f>
        <v>w_Irontotal_HiH</v>
      </c>
      <c r="D559" s="341"/>
      <c r="E559" s="368">
        <f>HLOOKUP($C562,Water_emissions!$E$16:$CQ$32,5,FALSE)</f>
        <v>4.9765650903813409E-4</v>
      </c>
      <c r="F559" s="368">
        <f>HLOOKUP($C562,Water_emissions!$E$16:$CQ$32,10,FALSE)</f>
        <v>4.9765650903813409E-4</v>
      </c>
      <c r="G559" s="368">
        <f>HLOOKUP($C562,Water_emissions!$E$16:$CQ$32,15,FALSE)</f>
        <v>4.9765650903813409E-4</v>
      </c>
      <c r="H559" s="344" t="s">
        <v>1085</v>
      </c>
      <c r="I559" s="342" t="s">
        <v>2233</v>
      </c>
      <c r="J559" s="418" t="str">
        <f>Water_emissions!CY300</f>
        <v>[kg/bbl] kg of Iron, total (as Fe) emissions to water per bbl of crude throughput - High Complexity Hydro Cracking</v>
      </c>
      <c r="K559" s="419"/>
      <c r="L559" s="419"/>
      <c r="M559" s="419"/>
      <c r="N559" s="419"/>
      <c r="O559" s="419"/>
      <c r="P559" s="420"/>
      <c r="Q559" s="2"/>
      <c r="R559" s="2"/>
      <c r="S559" s="2"/>
      <c r="T559" s="2"/>
      <c r="U559" s="2"/>
      <c r="V559" s="2"/>
      <c r="W559" s="2"/>
      <c r="X559" s="2"/>
      <c r="Y559" s="2"/>
    </row>
    <row r="560" spans="1:25" x14ac:dyDescent="0.25">
      <c r="A560" s="2"/>
      <c r="B560" s="17">
        <f t="shared" si="34"/>
        <v>15</v>
      </c>
      <c r="C560" s="340" t="str">
        <f>Water_emissions!CW301</f>
        <v>w_Irontotal_HiC</v>
      </c>
      <c r="D560" s="341"/>
      <c r="E560" s="368">
        <f>HLOOKUP($C562,Water_emissions!$E$16:$CQ$32,6,FALSE)</f>
        <v>1.9346720520252588E-4</v>
      </c>
      <c r="F560" s="368">
        <f>HLOOKUP($C562,Water_emissions!$E$16:$CQ$32,11,FALSE)</f>
        <v>2.7833929995574067E-5</v>
      </c>
      <c r="G560" s="368">
        <f>HLOOKUP($C562,Water_emissions!$E$16:$CQ$32,16,FALSE)</f>
        <v>4.9765650903813409E-4</v>
      </c>
      <c r="H560" s="344" t="s">
        <v>1085</v>
      </c>
      <c r="I560" s="342" t="s">
        <v>2233</v>
      </c>
      <c r="J560" s="418" t="str">
        <f>Water_emissions!CY301</f>
        <v>[kg/bbl] kg of Iron, total (as Fe) emissions to water per bbl of crude throughput - High Complexity Coking</v>
      </c>
      <c r="K560" s="419"/>
      <c r="L560" s="419"/>
      <c r="M560" s="419"/>
      <c r="N560" s="419"/>
      <c r="O560" s="419"/>
      <c r="P560" s="420"/>
      <c r="Q560" s="2"/>
      <c r="R560" s="2"/>
      <c r="S560" s="2"/>
      <c r="T560" s="2"/>
      <c r="U560" s="2"/>
      <c r="V560" s="2"/>
      <c r="W560" s="2"/>
      <c r="X560" s="2"/>
      <c r="Y560" s="2"/>
    </row>
    <row r="561" spans="1:25" x14ac:dyDescent="0.25">
      <c r="A561" s="2"/>
      <c r="B561" s="17">
        <f t="shared" si="34"/>
        <v>15</v>
      </c>
      <c r="C561" s="340" t="str">
        <f>Water_emissions!CW302</f>
        <v>w_Irontotal_HiB</v>
      </c>
      <c r="D561" s="341"/>
      <c r="E561" s="368">
        <f>HLOOKUP($C562,Water_emissions!$E$16:$CQ$32,7,FALSE)</f>
        <v>1.9346720520252588E-4</v>
      </c>
      <c r="F561" s="368">
        <f>HLOOKUP($C562,Water_emissions!$E$16:$CQ$32,12,FALSE)</f>
        <v>2.7833929995574067E-5</v>
      </c>
      <c r="G561" s="368">
        <f>HLOOKUP($C562,Water_emissions!$E$16:$CQ$32,17,FALSE)</f>
        <v>4.9765650903813409E-4</v>
      </c>
      <c r="H561" s="344" t="s">
        <v>1085</v>
      </c>
      <c r="I561" s="342" t="s">
        <v>2233</v>
      </c>
      <c r="J561" s="418" t="str">
        <f>Water_emissions!CY302</f>
        <v>[kg/bbl] kg of Iron, total (as Fe) emissions to water per bbl of crude throughput - High Complexity Hydro Cracking and Coking</v>
      </c>
      <c r="K561" s="419"/>
      <c r="L561" s="419"/>
      <c r="M561" s="419"/>
      <c r="N561" s="419"/>
      <c r="O561" s="419"/>
      <c r="P561" s="420"/>
      <c r="Q561" s="2"/>
      <c r="R561" s="2"/>
      <c r="S561" s="2"/>
      <c r="T561" s="2"/>
      <c r="U561" s="2"/>
      <c r="V561" s="2"/>
      <c r="W561" s="2"/>
      <c r="X561" s="2"/>
      <c r="Y561" s="2"/>
    </row>
    <row r="562" spans="1:25" ht="26.25" x14ac:dyDescent="0.25">
      <c r="A562" s="2"/>
      <c r="B562" s="17">
        <f t="shared" si="34"/>
        <v>11</v>
      </c>
      <c r="C562" s="340" t="str">
        <f>Water_emissions!CW303</f>
        <v>w_Irontotal</v>
      </c>
      <c r="D562" s="39" t="str">
        <f>"IF(NC=0;"&amp;C557&amp;";IF(NC=1;"&amp;C558&amp;";IF(NC=2;"&amp;C559&amp;";IF(NC=3;"&amp;C560&amp;";"&amp;C561&amp;"))))/"&amp;$C$27</f>
        <v>IF(NC=0;w_Irontotal_L;IF(NC=1;w_Irontotal_M;IF(NC=2;w_Irontotal_HiH;IF(NC=3;w_Irontotal_HiC;w_Irontotal_HiB))))/Density_oil</v>
      </c>
      <c r="E562" s="68">
        <f>IF($E$24=0,E557,IF($E$24=1,E558,IF($E$24=2,E559,IF($E$24=3,E560,E561))))/$E$27</f>
        <v>1.3949740291635867E-6</v>
      </c>
      <c r="F562" s="342"/>
      <c r="G562" s="343"/>
      <c r="H562" s="344" t="s">
        <v>489</v>
      </c>
      <c r="I562" s="342" t="s">
        <v>2233</v>
      </c>
      <c r="J562" s="418" t="str">
        <f>Water_emissions!CY303</f>
        <v>[kg/bbl] kg of Iron, total (as Fe) emissions to water per bbl of crude throughput</v>
      </c>
      <c r="K562" s="419"/>
      <c r="L562" s="419"/>
      <c r="M562" s="419"/>
      <c r="N562" s="419"/>
      <c r="O562" s="419"/>
      <c r="P562" s="420"/>
      <c r="Q562" s="2"/>
      <c r="R562" s="2"/>
      <c r="S562" s="2"/>
      <c r="T562" s="2"/>
      <c r="U562" s="2"/>
      <c r="V562" s="2"/>
      <c r="W562" s="2"/>
      <c r="X562" s="2"/>
      <c r="Y562" s="2"/>
    </row>
    <row r="563" spans="1:25" x14ac:dyDescent="0.25">
      <c r="A563" s="2"/>
      <c r="B563" s="17">
        <f t="shared" si="34"/>
        <v>13</v>
      </c>
      <c r="C563" s="340" t="str">
        <f>Water_emissions!CW304</f>
        <v>w_ISOPROPYL_L</v>
      </c>
      <c r="D563" s="341"/>
      <c r="E563" s="368">
        <f>HLOOKUP($C568,Water_emissions!$E$16:$CQ$32,3,FALSE)</f>
        <v>0</v>
      </c>
      <c r="F563" s="368">
        <f>HLOOKUP($C568,Water_emissions!$E$16:$CQ$32,8,FALSE)</f>
        <v>0</v>
      </c>
      <c r="G563" s="368">
        <f>HLOOKUP($C568,Water_emissions!$E$16:$CQ$32,13,FALSE)</f>
        <v>0</v>
      </c>
      <c r="H563" s="344" t="s">
        <v>1085</v>
      </c>
      <c r="I563" s="342" t="s">
        <v>2233</v>
      </c>
      <c r="J563" s="418" t="str">
        <f>Water_emissions!CY304</f>
        <v>[kg/bbl] kg of ISOPROPYLBENZENE emissions to water per bbl of crude throughput - Low Complexity</v>
      </c>
      <c r="K563" s="419"/>
      <c r="L563" s="419"/>
      <c r="M563" s="419"/>
      <c r="N563" s="419"/>
      <c r="O563" s="419"/>
      <c r="P563" s="420"/>
      <c r="Q563" s="2"/>
      <c r="R563" s="2"/>
      <c r="S563" s="2"/>
      <c r="T563" s="2"/>
      <c r="U563" s="2"/>
      <c r="V563" s="2"/>
      <c r="W563" s="2"/>
      <c r="X563" s="2"/>
      <c r="Y563" s="2"/>
    </row>
    <row r="564" spans="1:25" x14ac:dyDescent="0.25">
      <c r="A564" s="2"/>
      <c r="B564" s="17">
        <f t="shared" si="34"/>
        <v>13</v>
      </c>
      <c r="C564" s="340" t="str">
        <f>Water_emissions!CW305</f>
        <v>w_ISOPROPYL_M</v>
      </c>
      <c r="D564" s="341"/>
      <c r="E564" s="368">
        <f>HLOOKUP($C568,Water_emissions!$E$16:$CQ$32,4,FALSE)</f>
        <v>1.2836381229148497E-3</v>
      </c>
      <c r="F564" s="368">
        <f>HLOOKUP($C568,Water_emissions!$E$16:$CQ$32,9,FALSE)</f>
        <v>0</v>
      </c>
      <c r="G564" s="368">
        <f>HLOOKUP($C568,Water_emissions!$E$16:$CQ$32,14,FALSE)</f>
        <v>1.1825922421948911E-2</v>
      </c>
      <c r="H564" s="344" t="s">
        <v>1085</v>
      </c>
      <c r="I564" s="342" t="s">
        <v>2233</v>
      </c>
      <c r="J564" s="418" t="str">
        <f>Water_emissions!CY305</f>
        <v>[kg/bbl] kg of ISOPROPYLBENZENE emissions to water per bbl of crude throughput - Med Complexity</v>
      </c>
      <c r="K564" s="419"/>
      <c r="L564" s="419"/>
      <c r="M564" s="419"/>
      <c r="N564" s="419"/>
      <c r="O564" s="419"/>
      <c r="P564" s="420"/>
      <c r="Q564" s="2"/>
      <c r="R564" s="2"/>
      <c r="S564" s="2"/>
      <c r="T564" s="2"/>
      <c r="U564" s="2"/>
      <c r="V564" s="2"/>
      <c r="W564" s="2"/>
      <c r="X564" s="2"/>
      <c r="Y564" s="2"/>
    </row>
    <row r="565" spans="1:25" x14ac:dyDescent="0.25">
      <c r="A565" s="2"/>
      <c r="B565" s="17">
        <f t="shared" si="34"/>
        <v>15</v>
      </c>
      <c r="C565" s="340" t="str">
        <f>Water_emissions!CW306</f>
        <v>w_ISOPROPYL_HiH</v>
      </c>
      <c r="D565" s="341"/>
      <c r="E565" s="368">
        <f>HLOOKUP($C568,Water_emissions!$E$16:$CQ$32,5,FALSE)</f>
        <v>7.1225797811630071E-3</v>
      </c>
      <c r="F565" s="368">
        <f>HLOOKUP($C568,Water_emissions!$E$16:$CQ$32,10,FALSE)</f>
        <v>0</v>
      </c>
      <c r="G565" s="368">
        <f>HLOOKUP($C568,Water_emissions!$E$16:$CQ$32,15,FALSE)</f>
        <v>1.2529085376767496E-2</v>
      </c>
      <c r="H565" s="344" t="s">
        <v>1085</v>
      </c>
      <c r="I565" s="342" t="s">
        <v>2233</v>
      </c>
      <c r="J565" s="418" t="str">
        <f>Water_emissions!CY306</f>
        <v>[kg/bbl] kg of ISOPROPYLBENZENE emissions to water per bbl of crude throughput - High Complexity Hydro Cracking</v>
      </c>
      <c r="K565" s="419"/>
      <c r="L565" s="419"/>
      <c r="M565" s="419"/>
      <c r="N565" s="419"/>
      <c r="O565" s="419"/>
      <c r="P565" s="420"/>
      <c r="Q565" s="2"/>
      <c r="R565" s="2"/>
      <c r="S565" s="2"/>
      <c r="T565" s="2"/>
      <c r="U565" s="2"/>
      <c r="V565" s="2"/>
      <c r="W565" s="2"/>
      <c r="X565" s="2"/>
      <c r="Y565" s="2"/>
    </row>
    <row r="566" spans="1:25" x14ac:dyDescent="0.25">
      <c r="A566" s="2"/>
      <c r="B566" s="17">
        <f t="shared" si="34"/>
        <v>15</v>
      </c>
      <c r="C566" s="340" t="str">
        <f>Water_emissions!CW307</f>
        <v>w_ISOPROPYL_HiC</v>
      </c>
      <c r="D566" s="341"/>
      <c r="E566" s="368">
        <f>HLOOKUP($C568,Water_emissions!$E$16:$CQ$32,6,FALSE)</f>
        <v>1.1702769076332328E-2</v>
      </c>
      <c r="F566" s="368">
        <f>HLOOKUP($C568,Water_emissions!$E$16:$CQ$32,11,FALSE)</f>
        <v>0</v>
      </c>
      <c r="G566" s="368">
        <f>HLOOKUP($C568,Water_emissions!$E$16:$CQ$32,16,FALSE)</f>
        <v>8.7096087241105832E-2</v>
      </c>
      <c r="H566" s="344" t="s">
        <v>1085</v>
      </c>
      <c r="I566" s="342" t="s">
        <v>2233</v>
      </c>
      <c r="J566" s="418" t="str">
        <f>Water_emissions!CY307</f>
        <v>[kg/bbl] kg of ISOPROPYLBENZENE emissions to water per bbl of crude throughput - High Complexity Coking</v>
      </c>
      <c r="K566" s="419"/>
      <c r="L566" s="419"/>
      <c r="M566" s="419"/>
      <c r="N566" s="419"/>
      <c r="O566" s="419"/>
      <c r="P566" s="420"/>
      <c r="Q566" s="2"/>
      <c r="R566" s="2"/>
      <c r="S566" s="2"/>
      <c r="T566" s="2"/>
      <c r="U566" s="2"/>
      <c r="V566" s="2"/>
      <c r="W566" s="2"/>
      <c r="X566" s="2"/>
      <c r="Y566" s="2"/>
    </row>
    <row r="567" spans="1:25" x14ac:dyDescent="0.25">
      <c r="A567" s="2"/>
      <c r="B567" s="17">
        <f t="shared" si="34"/>
        <v>15</v>
      </c>
      <c r="C567" s="340" t="str">
        <f>Water_emissions!CW308</f>
        <v>w_ISOPROPYL_HiB</v>
      </c>
      <c r="D567" s="341"/>
      <c r="E567" s="368">
        <f>HLOOKUP($C568,Water_emissions!$E$16:$CQ$32,7,FALSE)</f>
        <v>3.2097033390435735E-3</v>
      </c>
      <c r="F567" s="368">
        <f>HLOOKUP($C568,Water_emissions!$E$16:$CQ$32,12,FALSE)</f>
        <v>0</v>
      </c>
      <c r="G567" s="368">
        <f>HLOOKUP($C568,Water_emissions!$E$16:$CQ$32,17,FALSE)</f>
        <v>2.7235908672468275E-2</v>
      </c>
      <c r="H567" s="344" t="s">
        <v>1085</v>
      </c>
      <c r="I567" s="342" t="s">
        <v>2233</v>
      </c>
      <c r="J567" s="418" t="str">
        <f>Water_emissions!CY308</f>
        <v>[kg/bbl] kg of ISOPROPYLBENZENE emissions to water per bbl of crude throughput - High Complexity Hydro Cracking and Coking</v>
      </c>
      <c r="K567" s="419"/>
      <c r="L567" s="419"/>
      <c r="M567" s="419"/>
      <c r="N567" s="419"/>
      <c r="O567" s="419"/>
      <c r="P567" s="420"/>
      <c r="Q567" s="2"/>
      <c r="R567" s="2"/>
      <c r="S567" s="2"/>
      <c r="T567" s="2"/>
      <c r="U567" s="2"/>
      <c r="V567" s="2"/>
      <c r="W567" s="2"/>
      <c r="X567" s="2"/>
      <c r="Y567" s="2"/>
    </row>
    <row r="568" spans="1:25" ht="39" x14ac:dyDescent="0.25">
      <c r="A568" s="2"/>
      <c r="B568" s="17">
        <f t="shared" si="34"/>
        <v>11</v>
      </c>
      <c r="C568" s="340" t="str">
        <f>Water_emissions!CW309</f>
        <v>w_ISOPROPYL</v>
      </c>
      <c r="D568" s="39" t="str">
        <f>"IF(NC=0;"&amp;C563&amp;";IF(NC=1;"&amp;C564&amp;";IF(NC=2;"&amp;C565&amp;";IF(NC=3;"&amp;C566&amp;";"&amp;C567&amp;"))))"</f>
        <v>IF(NC=0;w_ISOPROPYL_L;IF(NC=1;w_ISOPROPYL_M;IF(NC=2;w_ISOPROPYL_HiH;IF(NC=3;w_ISOPROPYL_HiC;w_ISOPROPYL_HiB))))</v>
      </c>
      <c r="E568" s="68">
        <f>IF($E$24=0,E563,IF($E$24=1,E564,IF($E$24=2,E565,IF($E$24=3,E566,E567))))/$E$27</f>
        <v>2.3143213314103196E-5</v>
      </c>
      <c r="F568" s="342"/>
      <c r="G568" s="343"/>
      <c r="H568" s="344" t="s">
        <v>489</v>
      </c>
      <c r="I568" s="342" t="s">
        <v>2233</v>
      </c>
      <c r="J568" s="418" t="str">
        <f>Water_emissions!CY309</f>
        <v>[kg/bbl] kg of ISOPROPYLBENZENE emissions to water per bbl of crude throughput</v>
      </c>
      <c r="K568" s="419"/>
      <c r="L568" s="419"/>
      <c r="M568" s="419"/>
      <c r="N568" s="419"/>
      <c r="O568" s="419"/>
      <c r="P568" s="420"/>
      <c r="Q568" s="2"/>
      <c r="R568" s="2"/>
      <c r="S568" s="2"/>
      <c r="T568" s="2"/>
      <c r="U568" s="2"/>
      <c r="V568" s="2"/>
      <c r="W568" s="2"/>
      <c r="X568" s="2"/>
      <c r="Y568" s="2"/>
    </row>
    <row r="569" spans="1:25" x14ac:dyDescent="0.25">
      <c r="A569" s="2"/>
      <c r="B569" s="17">
        <f t="shared" si="34"/>
        <v>13</v>
      </c>
      <c r="C569" s="340" t="str">
        <f>Water_emissions!CW310</f>
        <v>w_Leadtotal_L</v>
      </c>
      <c r="D569" s="341"/>
      <c r="E569" s="368">
        <f>HLOOKUP($C574,Water_emissions!$E$16:$CQ$32,3,FALSE)</f>
        <v>4.7538515152792409E-7</v>
      </c>
      <c r="F569" s="368">
        <f>HLOOKUP($C574,Water_emissions!$E$16:$CQ$32,8,FALSE)</f>
        <v>4.7538515152792409E-7</v>
      </c>
      <c r="G569" s="368">
        <f>HLOOKUP($C574,Water_emissions!$E$16:$CQ$32,13,FALSE)</f>
        <v>4.7538515152792409E-7</v>
      </c>
      <c r="H569" s="344" t="s">
        <v>1085</v>
      </c>
      <c r="I569" s="342" t="s">
        <v>2233</v>
      </c>
      <c r="J569" s="418" t="str">
        <f>Water_emissions!CY310</f>
        <v>[kg/bbl] kg of Lead, total (as Pb) emissions to water per bbl of crude throughput - Low Complexity</v>
      </c>
      <c r="K569" s="419"/>
      <c r="L569" s="419"/>
      <c r="M569" s="419"/>
      <c r="N569" s="419"/>
      <c r="O569" s="419"/>
      <c r="P569" s="420"/>
      <c r="Q569" s="2"/>
      <c r="R569" s="2"/>
      <c r="S569" s="2"/>
      <c r="T569" s="2"/>
      <c r="U569" s="2"/>
      <c r="V569" s="2"/>
      <c r="W569" s="2"/>
      <c r="X569" s="2"/>
      <c r="Y569" s="2"/>
    </row>
    <row r="570" spans="1:25" x14ac:dyDescent="0.25">
      <c r="A570" s="2"/>
      <c r="B570" s="17">
        <f t="shared" si="34"/>
        <v>13</v>
      </c>
      <c r="C570" s="340" t="str">
        <f>Water_emissions!CW311</f>
        <v>w_Leadtotal_M</v>
      </c>
      <c r="D570" s="341"/>
      <c r="E570" s="368">
        <f>HLOOKUP($C574,Water_emissions!$E$16:$CQ$32,4,FALSE)</f>
        <v>0</v>
      </c>
      <c r="F570" s="368">
        <f>HLOOKUP($C574,Water_emissions!$E$16:$CQ$32,9,FALSE)</f>
        <v>0</v>
      </c>
      <c r="G570" s="368">
        <f>HLOOKUP($C574,Water_emissions!$E$16:$CQ$32,14,FALSE)</f>
        <v>0</v>
      </c>
      <c r="H570" s="344" t="s">
        <v>1085</v>
      </c>
      <c r="I570" s="342" t="s">
        <v>2233</v>
      </c>
      <c r="J570" s="418" t="str">
        <f>Water_emissions!CY311</f>
        <v>[kg/bbl] kg of Lead, total (as Pb) emissions to water per bbl of crude throughput - Med Complexity</v>
      </c>
      <c r="K570" s="419"/>
      <c r="L570" s="419"/>
      <c r="M570" s="419"/>
      <c r="N570" s="419"/>
      <c r="O570" s="419"/>
      <c r="P570" s="420"/>
      <c r="Q570" s="2"/>
      <c r="R570" s="2"/>
      <c r="S570" s="2"/>
      <c r="T570" s="2"/>
      <c r="U570" s="2"/>
      <c r="V570" s="2"/>
      <c r="W570" s="2"/>
      <c r="X570" s="2"/>
      <c r="Y570" s="2"/>
    </row>
    <row r="571" spans="1:25" x14ac:dyDescent="0.25">
      <c r="A571" s="2"/>
      <c r="B571" s="17">
        <f t="shared" si="34"/>
        <v>15</v>
      </c>
      <c r="C571" s="340" t="str">
        <f>Water_emissions!CW312</f>
        <v>w_Leadtotal_HiH</v>
      </c>
      <c r="D571" s="341"/>
      <c r="E571" s="368">
        <f>HLOOKUP($C574,Water_emissions!$E$16:$CQ$32,5,FALSE)</f>
        <v>7.290086545961478E-8</v>
      </c>
      <c r="F571" s="368">
        <f>HLOOKUP($C574,Water_emissions!$E$16:$CQ$32,10,FALSE)</f>
        <v>3.9823632776153434E-9</v>
      </c>
      <c r="G571" s="368">
        <f>HLOOKUP($C574,Water_emissions!$E$16:$CQ$32,15,FALSE)</f>
        <v>1.4181936764161421E-7</v>
      </c>
      <c r="H571" s="344" t="s">
        <v>1085</v>
      </c>
      <c r="I571" s="342" t="s">
        <v>2233</v>
      </c>
      <c r="J571" s="418" t="str">
        <f>Water_emissions!CY312</f>
        <v>[kg/bbl] kg of Lead, total (as Pb) emissions to water per bbl of crude throughput - High Complexity Hydro Cracking</v>
      </c>
      <c r="K571" s="419"/>
      <c r="L571" s="419"/>
      <c r="M571" s="419"/>
      <c r="N571" s="419"/>
      <c r="O571" s="419"/>
      <c r="P571" s="420"/>
      <c r="Q571" s="2"/>
      <c r="R571" s="2"/>
      <c r="S571" s="2"/>
      <c r="T571" s="2"/>
      <c r="U571" s="2"/>
      <c r="V571" s="2"/>
      <c r="W571" s="2"/>
      <c r="X571" s="2"/>
      <c r="Y571" s="2"/>
    </row>
    <row r="572" spans="1:25" x14ac:dyDescent="0.25">
      <c r="A572" s="2"/>
      <c r="B572" s="17">
        <f t="shared" si="34"/>
        <v>15</v>
      </c>
      <c r="C572" s="340" t="str">
        <f>Water_emissions!CW313</f>
        <v>w_Leadtotal_HiC</v>
      </c>
      <c r="D572" s="341"/>
      <c r="E572" s="368">
        <f>HLOOKUP($C574,Water_emissions!$E$16:$CQ$32,6,FALSE)</f>
        <v>2.3749258128995225E-7</v>
      </c>
      <c r="F572" s="368">
        <f>HLOOKUP($C574,Water_emissions!$E$16:$CQ$32,11,FALSE)</f>
        <v>0</v>
      </c>
      <c r="G572" s="368">
        <f>HLOOKUP($C574,Water_emissions!$E$16:$CQ$32,16,FALSE)</f>
        <v>6.0969122164635145E-7</v>
      </c>
      <c r="H572" s="344" t="s">
        <v>1085</v>
      </c>
      <c r="I572" s="342" t="s">
        <v>2233</v>
      </c>
      <c r="J572" s="418" t="str">
        <f>Water_emissions!CY313</f>
        <v>[kg/bbl] kg of Lead, total (as Pb) emissions to water per bbl of crude throughput - High Complexity Coking</v>
      </c>
      <c r="K572" s="419"/>
      <c r="L572" s="419"/>
      <c r="M572" s="419"/>
      <c r="N572" s="419"/>
      <c r="O572" s="419"/>
      <c r="P572" s="420"/>
      <c r="Q572" s="2"/>
      <c r="R572" s="2"/>
      <c r="S572" s="2"/>
      <c r="T572" s="2"/>
      <c r="U572" s="2"/>
      <c r="V572" s="2"/>
      <c r="W572" s="2"/>
      <c r="X572" s="2"/>
      <c r="Y572" s="2"/>
    </row>
    <row r="573" spans="1:25" x14ac:dyDescent="0.25">
      <c r="A573" s="2"/>
      <c r="B573" s="17">
        <f t="shared" si="34"/>
        <v>15</v>
      </c>
      <c r="C573" s="340" t="str">
        <f>Water_emissions!CW314</f>
        <v>w_Leadtotal_HiB</v>
      </c>
      <c r="D573" s="341"/>
      <c r="E573" s="368">
        <f>HLOOKUP($C574,Water_emissions!$E$16:$CQ$32,7,FALSE)</f>
        <v>3.9710055596757646E-7</v>
      </c>
      <c r="F573" s="368">
        <f>HLOOKUP($C574,Water_emissions!$E$16:$CQ$32,12,FALSE)</f>
        <v>4.0043914430634136E-9</v>
      </c>
      <c r="G573" s="368">
        <f>HLOOKUP($C574,Water_emissions!$E$16:$CQ$32,17,FALSE)</f>
        <v>1.0309098883339483E-6</v>
      </c>
      <c r="H573" s="344" t="s">
        <v>1085</v>
      </c>
      <c r="I573" s="342" t="s">
        <v>2233</v>
      </c>
      <c r="J573" s="418" t="str">
        <f>Water_emissions!CY314</f>
        <v>[kg/bbl] kg of Lead, total (as Pb) emissions to water per bbl of crude throughput - High Complexity Hydro Cracking and Coking</v>
      </c>
      <c r="K573" s="419"/>
      <c r="L573" s="419"/>
      <c r="M573" s="419"/>
      <c r="N573" s="419"/>
      <c r="O573" s="419"/>
      <c r="P573" s="420"/>
      <c r="Q573" s="2"/>
      <c r="R573" s="2"/>
      <c r="S573" s="2"/>
      <c r="T573" s="2"/>
      <c r="U573" s="2"/>
      <c r="V573" s="2"/>
      <c r="W573" s="2"/>
      <c r="X573" s="2"/>
      <c r="Y573" s="2"/>
    </row>
    <row r="574" spans="1:25" ht="26.25" x14ac:dyDescent="0.25">
      <c r="A574" s="2"/>
      <c r="B574" s="17">
        <f t="shared" si="34"/>
        <v>11</v>
      </c>
      <c r="C574" s="340" t="str">
        <f>Water_emissions!CW315</f>
        <v>w_Leadtotal</v>
      </c>
      <c r="D574" s="39" t="str">
        <f>"IF(NC=0;"&amp;C569&amp;";IF(NC=1;"&amp;C570&amp;";IF(NC=2;"&amp;C571&amp;";IF(NC=3;"&amp;C572&amp;";"&amp;C573&amp;"))))/"&amp;$C$27</f>
        <v>IF(NC=0;w_Leadtotal_L;IF(NC=1;w_Leadtotal_M;IF(NC=2;w_Leadtotal_HiH;IF(NC=3;w_Leadtotal_HiC;w_Leadtotal_HiB))))/Density_oil</v>
      </c>
      <c r="E574" s="68">
        <f>IF($E$24=0,E569,IF($E$24=1,E570,IF($E$24=2,E571,IF($E$24=3,E572,E573))))/$E$27</f>
        <v>2.8632499340718151E-9</v>
      </c>
      <c r="F574" s="342"/>
      <c r="G574" s="343"/>
      <c r="H574" s="344" t="s">
        <v>489</v>
      </c>
      <c r="I574" s="342" t="s">
        <v>2233</v>
      </c>
      <c r="J574" s="418" t="str">
        <f>Water_emissions!CY315</f>
        <v>[kg/bbl] kg of Lead, total (as Pb) emissions to water per bbl of crude throughput</v>
      </c>
      <c r="K574" s="419"/>
      <c r="L574" s="419"/>
      <c r="M574" s="419"/>
      <c r="N574" s="419"/>
      <c r="O574" s="419"/>
      <c r="P574" s="420"/>
      <c r="Q574" s="2"/>
      <c r="R574" s="2"/>
      <c r="S574" s="2"/>
      <c r="T574" s="2"/>
      <c r="U574" s="2"/>
      <c r="V574" s="2"/>
      <c r="W574" s="2"/>
      <c r="X574" s="2"/>
      <c r="Y574" s="2"/>
    </row>
    <row r="575" spans="1:25" x14ac:dyDescent="0.25">
      <c r="A575" s="2"/>
      <c r="B575" s="17">
        <f t="shared" si="34"/>
        <v>13</v>
      </c>
      <c r="C575" s="340" t="str">
        <f>Water_emissions!CW316</f>
        <v>w_Magnesium_L</v>
      </c>
      <c r="D575" s="341"/>
      <c r="E575" s="368">
        <f>HLOOKUP($C580,Water_emissions!$E$16:$CQ$32,3,FALSE)</f>
        <v>3.9854524172676782E-4</v>
      </c>
      <c r="F575" s="368">
        <f>HLOOKUP($C580,Water_emissions!$E$16:$CQ$32,8,FALSE)</f>
        <v>3.9854524172676782E-4</v>
      </c>
      <c r="G575" s="368">
        <f>HLOOKUP($C580,Water_emissions!$E$16:$CQ$32,13,FALSE)</f>
        <v>3.9854524172676782E-4</v>
      </c>
      <c r="H575" s="344" t="s">
        <v>1085</v>
      </c>
      <c r="I575" s="342" t="s">
        <v>2233</v>
      </c>
      <c r="J575" s="418" t="str">
        <f>Water_emissions!CY316</f>
        <v>[kg/bbl] kg of Magnesium, total (as Mg) emissions to water per bbl of crude throughput - Low Complexity</v>
      </c>
      <c r="K575" s="419"/>
      <c r="L575" s="419"/>
      <c r="M575" s="419"/>
      <c r="N575" s="419"/>
      <c r="O575" s="419"/>
      <c r="P575" s="420"/>
      <c r="Q575" s="2"/>
      <c r="R575" s="2"/>
      <c r="S575" s="2"/>
      <c r="T575" s="2"/>
      <c r="U575" s="2"/>
      <c r="V575" s="2"/>
      <c r="W575" s="2"/>
      <c r="X575" s="2"/>
      <c r="Y575" s="2"/>
    </row>
    <row r="576" spans="1:25" x14ac:dyDescent="0.25">
      <c r="A576" s="2"/>
      <c r="B576" s="17">
        <f t="shared" si="34"/>
        <v>13</v>
      </c>
      <c r="C576" s="340" t="str">
        <f>Water_emissions!CW317</f>
        <v>w_Magnesium_M</v>
      </c>
      <c r="D576" s="341"/>
      <c r="E576" s="368">
        <f>HLOOKUP($C580,Water_emissions!$E$16:$CQ$32,4,FALSE)</f>
        <v>3.9854524172676782E-4</v>
      </c>
      <c r="F576" s="368">
        <f>HLOOKUP($C580,Water_emissions!$E$16:$CQ$32,9,FALSE)</f>
        <v>3.9854524172676782E-4</v>
      </c>
      <c r="G576" s="368">
        <f>HLOOKUP($C580,Water_emissions!$E$16:$CQ$32,14,FALSE)</f>
        <v>3.9854524172676782E-4</v>
      </c>
      <c r="H576" s="344" t="s">
        <v>1085</v>
      </c>
      <c r="I576" s="342" t="s">
        <v>2233</v>
      </c>
      <c r="J576" s="418" t="str">
        <f>Water_emissions!CY317</f>
        <v>[kg/bbl] kg of Magnesium, total (as Mg) emissions to water per bbl of crude throughput - Med Complexity</v>
      </c>
      <c r="K576" s="419"/>
      <c r="L576" s="419"/>
      <c r="M576" s="419"/>
      <c r="N576" s="419"/>
      <c r="O576" s="419"/>
      <c r="P576" s="420"/>
      <c r="Q576" s="2"/>
      <c r="R576" s="2"/>
      <c r="S576" s="2"/>
      <c r="T576" s="2"/>
      <c r="U576" s="2"/>
      <c r="V576" s="2"/>
      <c r="W576" s="2"/>
      <c r="X576" s="2"/>
      <c r="Y576" s="2"/>
    </row>
    <row r="577" spans="1:25" x14ac:dyDescent="0.25">
      <c r="A577" s="2"/>
      <c r="B577" s="17">
        <f t="shared" si="34"/>
        <v>15</v>
      </c>
      <c r="C577" s="340" t="str">
        <f>Water_emissions!CW318</f>
        <v>w_Magnesium_HiH</v>
      </c>
      <c r="D577" s="341"/>
      <c r="E577" s="368">
        <f>HLOOKUP($C580,Water_emissions!$E$16:$CQ$32,5,FALSE)</f>
        <v>3.9854524172676782E-4</v>
      </c>
      <c r="F577" s="368">
        <f>HLOOKUP($C580,Water_emissions!$E$16:$CQ$32,10,FALSE)</f>
        <v>3.9854524172676782E-4</v>
      </c>
      <c r="G577" s="368">
        <f>HLOOKUP($C580,Water_emissions!$E$16:$CQ$32,15,FALSE)</f>
        <v>3.9854524172676782E-4</v>
      </c>
      <c r="H577" s="344" t="s">
        <v>1085</v>
      </c>
      <c r="I577" s="342" t="s">
        <v>2233</v>
      </c>
      <c r="J577" s="418" t="str">
        <f>Water_emissions!CY318</f>
        <v>[kg/bbl] kg of Magnesium, total (as Mg) emissions to water per bbl of crude throughput - High Complexity Hydro Cracking</v>
      </c>
      <c r="K577" s="419"/>
      <c r="L577" s="419"/>
      <c r="M577" s="419"/>
      <c r="N577" s="419"/>
      <c r="O577" s="419"/>
      <c r="P577" s="420"/>
      <c r="Q577" s="2"/>
      <c r="R577" s="2"/>
      <c r="S577" s="2"/>
      <c r="T577" s="2"/>
      <c r="U577" s="2"/>
      <c r="V577" s="2"/>
      <c r="W577" s="2"/>
      <c r="X577" s="2"/>
      <c r="Y577" s="2"/>
    </row>
    <row r="578" spans="1:25" x14ac:dyDescent="0.25">
      <c r="A578" s="2"/>
      <c r="B578" s="17">
        <f t="shared" si="34"/>
        <v>15</v>
      </c>
      <c r="C578" s="340" t="str">
        <f>Water_emissions!CW319</f>
        <v>w_Magnesium_HiC</v>
      </c>
      <c r="D578" s="341"/>
      <c r="E578" s="368">
        <f>HLOOKUP($C580,Water_emissions!$E$16:$CQ$32,6,FALSE)</f>
        <v>3.9854524172676782E-4</v>
      </c>
      <c r="F578" s="368">
        <f>HLOOKUP($C580,Water_emissions!$E$16:$CQ$32,11,FALSE)</f>
        <v>3.9854524172676782E-4</v>
      </c>
      <c r="G578" s="368">
        <f>HLOOKUP($C580,Water_emissions!$E$16:$CQ$32,16,FALSE)</f>
        <v>3.9854524172676782E-4</v>
      </c>
      <c r="H578" s="344" t="s">
        <v>1085</v>
      </c>
      <c r="I578" s="342" t="s">
        <v>2233</v>
      </c>
      <c r="J578" s="418" t="str">
        <f>Water_emissions!CY319</f>
        <v>[kg/bbl] kg of Magnesium, total (as Mg) emissions to water per bbl of crude throughput - High Complexity Coking</v>
      </c>
      <c r="K578" s="419"/>
      <c r="L578" s="419"/>
      <c r="M578" s="419"/>
      <c r="N578" s="419"/>
      <c r="O578" s="419"/>
      <c r="P578" s="420"/>
      <c r="Q578" s="2"/>
      <c r="R578" s="2"/>
      <c r="S578" s="2"/>
      <c r="T578" s="2"/>
      <c r="U578" s="2"/>
      <c r="V578" s="2"/>
      <c r="W578" s="2"/>
      <c r="X578" s="2"/>
      <c r="Y578" s="2"/>
    </row>
    <row r="579" spans="1:25" x14ac:dyDescent="0.25">
      <c r="A579" s="2"/>
      <c r="B579" s="17">
        <f t="shared" si="34"/>
        <v>15</v>
      </c>
      <c r="C579" s="340" t="str">
        <f>Water_emissions!CW320</f>
        <v>w_Magnesium_HiB</v>
      </c>
      <c r="D579" s="341"/>
      <c r="E579" s="368">
        <f>HLOOKUP($C580,Water_emissions!$E$16:$CQ$32,7,FALSE)</f>
        <v>3.9854524172676782E-4</v>
      </c>
      <c r="F579" s="368">
        <f>HLOOKUP($C580,Water_emissions!$E$16:$CQ$32,12,FALSE)</f>
        <v>3.9854524172676782E-4</v>
      </c>
      <c r="G579" s="368">
        <f>HLOOKUP($C580,Water_emissions!$E$16:$CQ$32,17,FALSE)</f>
        <v>3.9854524172676782E-4</v>
      </c>
      <c r="H579" s="344" t="s">
        <v>1085</v>
      </c>
      <c r="I579" s="342" t="s">
        <v>2233</v>
      </c>
      <c r="J579" s="418" t="str">
        <f>Water_emissions!CY320</f>
        <v>[kg/bbl] kg of Magnesium, total (as Mg) emissions to water per bbl of crude throughput - High Complexity Hydro Cracking and Coking</v>
      </c>
      <c r="K579" s="419"/>
      <c r="L579" s="419"/>
      <c r="M579" s="419"/>
      <c r="N579" s="419"/>
      <c r="O579" s="419"/>
      <c r="P579" s="420"/>
      <c r="Q579" s="2"/>
      <c r="R579" s="2"/>
      <c r="S579" s="2"/>
      <c r="T579" s="2"/>
      <c r="U579" s="2"/>
      <c r="V579" s="2"/>
      <c r="W579" s="2"/>
      <c r="X579" s="2"/>
      <c r="Y579" s="2"/>
    </row>
    <row r="580" spans="1:25" ht="39" x14ac:dyDescent="0.25">
      <c r="A580" s="2"/>
      <c r="B580" s="17">
        <f t="shared" si="34"/>
        <v>11</v>
      </c>
      <c r="C580" s="340" t="str">
        <f>Water_emissions!CW321</f>
        <v>w_Magnesium</v>
      </c>
      <c r="D580" s="39" t="str">
        <f>"IF(NC=0;"&amp;C575&amp;";IF(NC=1;"&amp;C576&amp;";IF(NC=2;"&amp;C577&amp;";IF(NC=3;"&amp;C578&amp;";"&amp;C579&amp;"))))/"&amp;$C$27</f>
        <v>IF(NC=0;w_Magnesium_L;IF(NC=1;w_Magnesium_M;IF(NC=2;w_Magnesium_HiH;IF(NC=3;w_Magnesium_HiC;w_Magnesium_HiB))))/Density_oil</v>
      </c>
      <c r="E580" s="68">
        <f>IF($E$24=0,E575,IF($E$24=1,E576,IF($E$24=2,E577,IF($E$24=3,E578,E579))))/$E$27</f>
        <v>2.8736666820279599E-6</v>
      </c>
      <c r="F580" s="342"/>
      <c r="G580" s="343"/>
      <c r="H580" s="344" t="s">
        <v>489</v>
      </c>
      <c r="I580" s="342" t="s">
        <v>2233</v>
      </c>
      <c r="J580" s="418" t="str">
        <f>Water_emissions!CY321</f>
        <v>[kg/bbl] kg of Magnesium, total (as Mg) emissions to water per bbl of crude throughput</v>
      </c>
      <c r="K580" s="419"/>
      <c r="L580" s="419"/>
      <c r="M580" s="419"/>
      <c r="N580" s="419"/>
      <c r="O580" s="419"/>
      <c r="P580" s="420"/>
      <c r="Q580" s="2"/>
      <c r="R580" s="2"/>
      <c r="S580" s="2"/>
      <c r="T580" s="2"/>
      <c r="U580" s="2"/>
      <c r="V580" s="2"/>
      <c r="W580" s="2"/>
      <c r="X580" s="2"/>
      <c r="Y580" s="2"/>
    </row>
    <row r="581" spans="1:25" x14ac:dyDescent="0.25">
      <c r="A581" s="2"/>
      <c r="B581" s="17">
        <f t="shared" si="34"/>
        <v>13</v>
      </c>
      <c r="C581" s="340" t="str">
        <f>Water_emissions!CW322</f>
        <v>w_Manganese_L</v>
      </c>
      <c r="D581" s="341"/>
      <c r="E581" s="368">
        <f>HLOOKUP($C586,Water_emissions!$E$16:$CQ$32,3,FALSE)</f>
        <v>8.1283746626012671E-5</v>
      </c>
      <c r="F581" s="368">
        <f>HLOOKUP($C586,Water_emissions!$E$16:$CQ$32,8,FALSE)</f>
        <v>8.1283746626012671E-5</v>
      </c>
      <c r="G581" s="368">
        <f>HLOOKUP($C586,Water_emissions!$E$16:$CQ$32,13,FALSE)</f>
        <v>8.1283746626012671E-5</v>
      </c>
      <c r="H581" s="344" t="s">
        <v>1085</v>
      </c>
      <c r="I581" s="342" t="s">
        <v>2233</v>
      </c>
      <c r="J581" s="418" t="str">
        <f>Water_emissions!CY322</f>
        <v>[kg/bbl] kg of Manganese, potentially dissolvd emissions to water per bbl of crude throughput - Low Complexity</v>
      </c>
      <c r="K581" s="419"/>
      <c r="L581" s="419"/>
      <c r="M581" s="419"/>
      <c r="N581" s="419"/>
      <c r="O581" s="419"/>
      <c r="P581" s="420"/>
      <c r="Q581" s="2"/>
      <c r="R581" s="2"/>
      <c r="S581" s="2"/>
      <c r="T581" s="2"/>
      <c r="U581" s="2"/>
      <c r="V581" s="2"/>
      <c r="W581" s="2"/>
      <c r="X581" s="2"/>
      <c r="Y581" s="2"/>
    </row>
    <row r="582" spans="1:25" x14ac:dyDescent="0.25">
      <c r="A582" s="2"/>
      <c r="B582" s="17">
        <f t="shared" si="34"/>
        <v>13</v>
      </c>
      <c r="C582" s="340" t="str">
        <f>Water_emissions!CW323</f>
        <v>w_Manganese_M</v>
      </c>
      <c r="D582" s="341"/>
      <c r="E582" s="368">
        <f>HLOOKUP($C586,Water_emissions!$E$16:$CQ$32,4,FALSE)</f>
        <v>8.1283746626012671E-5</v>
      </c>
      <c r="F582" s="368">
        <f>HLOOKUP($C586,Water_emissions!$E$16:$CQ$32,9,FALSE)</f>
        <v>8.1283746626012671E-5</v>
      </c>
      <c r="G582" s="368">
        <f>HLOOKUP($C586,Water_emissions!$E$16:$CQ$32,14,FALSE)</f>
        <v>8.1283746626012671E-5</v>
      </c>
      <c r="H582" s="344" t="s">
        <v>1085</v>
      </c>
      <c r="I582" s="342" t="s">
        <v>2233</v>
      </c>
      <c r="J582" s="418" t="str">
        <f>Water_emissions!CY323</f>
        <v>[kg/bbl] kg of Manganese, potentially dissolvd emissions to water per bbl of crude throughput - Med Complexity</v>
      </c>
      <c r="K582" s="419"/>
      <c r="L582" s="419"/>
      <c r="M582" s="419"/>
      <c r="N582" s="419"/>
      <c r="O582" s="419"/>
      <c r="P582" s="420"/>
      <c r="Q582" s="2"/>
      <c r="R582" s="2"/>
      <c r="S582" s="2"/>
      <c r="T582" s="2"/>
      <c r="U582" s="2"/>
      <c r="V582" s="2"/>
      <c r="W582" s="2"/>
      <c r="X582" s="2"/>
      <c r="Y582" s="2"/>
    </row>
    <row r="583" spans="1:25" x14ac:dyDescent="0.25">
      <c r="A583" s="2"/>
      <c r="B583" s="17">
        <f t="shared" si="34"/>
        <v>15</v>
      </c>
      <c r="C583" s="340" t="str">
        <f>Water_emissions!CW324</f>
        <v>w_Manganese_HiH</v>
      </c>
      <c r="D583" s="341"/>
      <c r="E583" s="368">
        <f>HLOOKUP($C586,Water_emissions!$E$16:$CQ$32,5,FALSE)</f>
        <v>8.1283746626012671E-5</v>
      </c>
      <c r="F583" s="368">
        <f>HLOOKUP($C586,Water_emissions!$E$16:$CQ$32,10,FALSE)</f>
        <v>8.1283746626012671E-5</v>
      </c>
      <c r="G583" s="368">
        <f>HLOOKUP($C586,Water_emissions!$E$16:$CQ$32,15,FALSE)</f>
        <v>8.1283746626012671E-5</v>
      </c>
      <c r="H583" s="344" t="s">
        <v>1085</v>
      </c>
      <c r="I583" s="342" t="s">
        <v>2233</v>
      </c>
      <c r="J583" s="418" t="str">
        <f>Water_emissions!CY324</f>
        <v>[kg/bbl] kg of Manganese, potentially dissolvd emissions to water per bbl of crude throughput - High Complexity Hydro Cracking</v>
      </c>
      <c r="K583" s="419"/>
      <c r="L583" s="419"/>
      <c r="M583" s="419"/>
      <c r="N583" s="419"/>
      <c r="O583" s="419"/>
      <c r="P583" s="420"/>
      <c r="Q583" s="2"/>
      <c r="R583" s="2"/>
      <c r="S583" s="2"/>
      <c r="T583" s="2"/>
      <c r="U583" s="2"/>
      <c r="V583" s="2"/>
      <c r="W583" s="2"/>
      <c r="X583" s="2"/>
      <c r="Y583" s="2"/>
    </row>
    <row r="584" spans="1:25" x14ac:dyDescent="0.25">
      <c r="A584" s="2"/>
      <c r="B584" s="17">
        <f t="shared" si="34"/>
        <v>15</v>
      </c>
      <c r="C584" s="340" t="str">
        <f>Water_emissions!CW325</f>
        <v>w_Manganese_HiC</v>
      </c>
      <c r="D584" s="341"/>
      <c r="E584" s="368">
        <f>HLOOKUP($C586,Water_emissions!$E$16:$CQ$32,6,FALSE)</f>
        <v>8.1283746626012671E-5</v>
      </c>
      <c r="F584" s="368">
        <f>HLOOKUP($C586,Water_emissions!$E$16:$CQ$32,11,FALSE)</f>
        <v>8.1283746626012671E-5</v>
      </c>
      <c r="G584" s="368">
        <f>HLOOKUP($C586,Water_emissions!$E$16:$CQ$32,16,FALSE)</f>
        <v>8.1283746626012671E-5</v>
      </c>
      <c r="H584" s="344" t="s">
        <v>1085</v>
      </c>
      <c r="I584" s="342" t="s">
        <v>2233</v>
      </c>
      <c r="J584" s="418" t="str">
        <f>Water_emissions!CY325</f>
        <v>[kg/bbl] kg of Manganese, potentially dissolvd emissions to water per bbl of crude throughput - High Complexity Coking</v>
      </c>
      <c r="K584" s="419"/>
      <c r="L584" s="419"/>
      <c r="M584" s="419"/>
      <c r="N584" s="419"/>
      <c r="O584" s="419"/>
      <c r="P584" s="420"/>
      <c r="Q584" s="2"/>
      <c r="R584" s="2"/>
      <c r="S584" s="2"/>
      <c r="T584" s="2"/>
      <c r="U584" s="2"/>
      <c r="V584" s="2"/>
      <c r="W584" s="2"/>
      <c r="X584" s="2"/>
      <c r="Y584" s="2"/>
    </row>
    <row r="585" spans="1:25" x14ac:dyDescent="0.25">
      <c r="A585" s="2"/>
      <c r="B585" s="17">
        <f t="shared" si="34"/>
        <v>15</v>
      </c>
      <c r="C585" s="340" t="str">
        <f>Water_emissions!CW326</f>
        <v>w_Manganese_HiB</v>
      </c>
      <c r="D585" s="341"/>
      <c r="E585" s="368">
        <f>HLOOKUP($C586,Water_emissions!$E$16:$CQ$32,7,FALSE)</f>
        <v>8.1283746626012671E-5</v>
      </c>
      <c r="F585" s="368">
        <f>HLOOKUP($C586,Water_emissions!$E$16:$CQ$32,12,FALSE)</f>
        <v>8.1283746626012671E-5</v>
      </c>
      <c r="G585" s="368">
        <f>HLOOKUP($C586,Water_emissions!$E$16:$CQ$32,17,FALSE)</f>
        <v>8.1283746626012671E-5</v>
      </c>
      <c r="H585" s="344" t="s">
        <v>1085</v>
      </c>
      <c r="I585" s="342" t="s">
        <v>2233</v>
      </c>
      <c r="J585" s="418" t="str">
        <f>Water_emissions!CY326</f>
        <v>[kg/bbl] kg of Manganese, potentially dissolvd emissions to water per bbl of crude throughput - High Complexity Hydro Cracking and Coking</v>
      </c>
      <c r="K585" s="419"/>
      <c r="L585" s="419"/>
      <c r="M585" s="419"/>
      <c r="N585" s="419"/>
      <c r="O585" s="419"/>
      <c r="P585" s="420"/>
      <c r="Q585" s="2"/>
      <c r="R585" s="2"/>
      <c r="S585" s="2"/>
      <c r="T585" s="2"/>
      <c r="U585" s="2"/>
      <c r="V585" s="2"/>
      <c r="W585" s="2"/>
      <c r="X585" s="2"/>
      <c r="Y585" s="2"/>
    </row>
    <row r="586" spans="1:25" ht="39" x14ac:dyDescent="0.25">
      <c r="A586" s="2"/>
      <c r="B586" s="17">
        <f t="shared" si="34"/>
        <v>11</v>
      </c>
      <c r="C586" s="340" t="str">
        <f>Water_emissions!CW327</f>
        <v>w_Manganese</v>
      </c>
      <c r="D586" s="39" t="str">
        <f>"IF(NC=0;"&amp;C581&amp;";IF(NC=1;"&amp;C582&amp;";IF(NC=2;"&amp;C583&amp;";IF(NC=3;"&amp;C584&amp;";"&amp;C585&amp;"))))/"&amp;$C$27</f>
        <v>IF(NC=0;w_Manganese_L;IF(NC=1;w_Manganese_M;IF(NC=2;w_Manganese_HiH;IF(NC=3;w_Manganese_HiC;w_Manganese_HiB))))/Density_oil</v>
      </c>
      <c r="E586" s="68">
        <f>IF($E$24=0,E581,IF($E$24=1,E582,IF($E$24=2,E583,IF($E$24=3,E584,E585))))/$E$27</f>
        <v>5.8608752536484467E-7</v>
      </c>
      <c r="F586" s="342"/>
      <c r="G586" s="343"/>
      <c r="H586" s="344" t="s">
        <v>489</v>
      </c>
      <c r="I586" s="342" t="s">
        <v>2233</v>
      </c>
      <c r="J586" s="418" t="str">
        <f>Water_emissions!CY327</f>
        <v>[kg/bbl] kg of Manganese, potentially dissolvd emissions to water per bbl of crude throughput</v>
      </c>
      <c r="K586" s="419"/>
      <c r="L586" s="419"/>
      <c r="M586" s="419"/>
      <c r="N586" s="419"/>
      <c r="O586" s="419"/>
      <c r="P586" s="420"/>
      <c r="Q586" s="2"/>
      <c r="R586" s="2"/>
      <c r="S586" s="2"/>
      <c r="T586" s="2"/>
      <c r="U586" s="2"/>
      <c r="V586" s="2"/>
      <c r="W586" s="2"/>
      <c r="X586" s="2"/>
      <c r="Y586" s="2"/>
    </row>
    <row r="587" spans="1:25" x14ac:dyDescent="0.25">
      <c r="A587" s="2"/>
      <c r="B587" s="17">
        <f t="shared" si="34"/>
        <v>13</v>
      </c>
      <c r="C587" s="340" t="str">
        <f>Water_emissions!CW328</f>
        <v>w_Mercuryto_L</v>
      </c>
      <c r="D587" s="341"/>
      <c r="E587" s="368">
        <f>HLOOKUP($C592,Water_emissions!$E$16:$CQ$32,3,FALSE)</f>
        <v>1.9484781335743697E-10</v>
      </c>
      <c r="F587" s="368">
        <f>HLOOKUP($C592,Water_emissions!$E$16:$CQ$32,8,FALSE)</f>
        <v>1.9484781335743697E-10</v>
      </c>
      <c r="G587" s="368">
        <f>HLOOKUP($C592,Water_emissions!$E$16:$CQ$32,13,FALSE)</f>
        <v>1.9484781335743697E-10</v>
      </c>
      <c r="H587" s="344" t="s">
        <v>1085</v>
      </c>
      <c r="I587" s="342" t="s">
        <v>2233</v>
      </c>
      <c r="J587" s="418" t="str">
        <f>Water_emissions!CY328</f>
        <v>[kg/bbl] kg of Mercury, total (as Hg) emissions to water per bbl of crude throughput - Low Complexity</v>
      </c>
      <c r="K587" s="419"/>
      <c r="L587" s="419"/>
      <c r="M587" s="419"/>
      <c r="N587" s="419"/>
      <c r="O587" s="419"/>
      <c r="P587" s="420"/>
      <c r="Q587" s="2"/>
      <c r="R587" s="2"/>
      <c r="S587" s="2"/>
      <c r="T587" s="2"/>
      <c r="U587" s="2"/>
      <c r="V587" s="2"/>
      <c r="W587" s="2"/>
      <c r="X587" s="2"/>
      <c r="Y587" s="2"/>
    </row>
    <row r="588" spans="1:25" x14ac:dyDescent="0.25">
      <c r="A588" s="2"/>
      <c r="B588" s="17">
        <f t="shared" si="34"/>
        <v>13</v>
      </c>
      <c r="C588" s="340" t="str">
        <f>Water_emissions!CW329</f>
        <v>w_Mercuryto_M</v>
      </c>
      <c r="D588" s="341"/>
      <c r="E588" s="368">
        <f>HLOOKUP($C592,Water_emissions!$E$16:$CQ$32,4,FALSE)</f>
        <v>3.7984747475661636E-9</v>
      </c>
      <c r="F588" s="368">
        <f>HLOOKUP($C592,Water_emissions!$E$16:$CQ$32,9,FALSE)</f>
        <v>0</v>
      </c>
      <c r="G588" s="368">
        <f>HLOOKUP($C592,Water_emissions!$E$16:$CQ$32,14,FALSE)</f>
        <v>1.8686835690676092E-8</v>
      </c>
      <c r="H588" s="344" t="s">
        <v>1085</v>
      </c>
      <c r="I588" s="342" t="s">
        <v>2233</v>
      </c>
      <c r="J588" s="418" t="str">
        <f>Water_emissions!CY329</f>
        <v>[kg/bbl] kg of Mercury, total (as Hg) emissions to water per bbl of crude throughput - Med Complexity</v>
      </c>
      <c r="K588" s="419"/>
      <c r="L588" s="419"/>
      <c r="M588" s="419"/>
      <c r="N588" s="419"/>
      <c r="O588" s="419"/>
      <c r="P588" s="420"/>
      <c r="Q588" s="2"/>
      <c r="R588" s="2"/>
      <c r="S588" s="2"/>
      <c r="T588" s="2"/>
      <c r="U588" s="2"/>
      <c r="V588" s="2"/>
      <c r="W588" s="2"/>
      <c r="X588" s="2"/>
      <c r="Y588" s="2"/>
    </row>
    <row r="589" spans="1:25" x14ac:dyDescent="0.25">
      <c r="A589" s="2"/>
      <c r="B589" s="17">
        <f t="shared" si="34"/>
        <v>15</v>
      </c>
      <c r="C589" s="340" t="str">
        <f>Water_emissions!CW330</f>
        <v>w_Mercuryto_HiH</v>
      </c>
      <c r="D589" s="341"/>
      <c r="E589" s="368">
        <f>HLOOKUP($C592,Water_emissions!$E$16:$CQ$32,5,FALSE)</f>
        <v>1.8164140211906252E-9</v>
      </c>
      <c r="F589" s="368">
        <f>HLOOKUP($C592,Water_emissions!$E$16:$CQ$32,10,FALSE)</f>
        <v>8.9312002173275189E-11</v>
      </c>
      <c r="G589" s="368">
        <f>HLOOKUP($C592,Water_emissions!$E$16:$CQ$32,15,FALSE)</f>
        <v>3.5435160402079755E-9</v>
      </c>
      <c r="H589" s="344" t="s">
        <v>1085</v>
      </c>
      <c r="I589" s="342" t="s">
        <v>2233</v>
      </c>
      <c r="J589" s="418" t="str">
        <f>Water_emissions!CY330</f>
        <v>[kg/bbl] kg of Mercury, total (as Hg) emissions to water per bbl of crude throughput - High Complexity Hydro Cracking</v>
      </c>
      <c r="K589" s="419"/>
      <c r="L589" s="419"/>
      <c r="M589" s="419"/>
      <c r="N589" s="419"/>
      <c r="O589" s="419"/>
      <c r="P589" s="420"/>
      <c r="Q589" s="2"/>
      <c r="R589" s="2"/>
      <c r="S589" s="2"/>
      <c r="T589" s="2"/>
      <c r="U589" s="2"/>
      <c r="V589" s="2"/>
      <c r="W589" s="2"/>
      <c r="X589" s="2"/>
      <c r="Y589" s="2"/>
    </row>
    <row r="590" spans="1:25" x14ac:dyDescent="0.25">
      <c r="A590" s="2"/>
      <c r="B590" s="17">
        <f t="shared" si="34"/>
        <v>15</v>
      </c>
      <c r="C590" s="340" t="str">
        <f>Water_emissions!CW331</f>
        <v>w_Mercuryto_HiC</v>
      </c>
      <c r="D590" s="341"/>
      <c r="E590" s="368">
        <f>HLOOKUP($C592,Water_emissions!$E$16:$CQ$32,6,FALSE)</f>
        <v>7.6446340416744564E-10</v>
      </c>
      <c r="F590" s="368">
        <f>HLOOKUP($C592,Water_emissions!$E$16:$CQ$32,11,FALSE)</f>
        <v>0</v>
      </c>
      <c r="G590" s="368">
        <f>HLOOKUP($C592,Water_emissions!$E$16:$CQ$32,16,FALSE)</f>
        <v>1.5289268083348913E-9</v>
      </c>
      <c r="H590" s="344" t="s">
        <v>1085</v>
      </c>
      <c r="I590" s="342" t="s">
        <v>2233</v>
      </c>
      <c r="J590" s="418" t="str">
        <f>Water_emissions!CY331</f>
        <v>[kg/bbl] kg of Mercury, total (as Hg) emissions to water per bbl of crude throughput - High Complexity Coking</v>
      </c>
      <c r="K590" s="419"/>
      <c r="L590" s="419"/>
      <c r="M590" s="419"/>
      <c r="N590" s="419"/>
      <c r="O590" s="419"/>
      <c r="P590" s="420"/>
      <c r="Q590" s="2"/>
      <c r="R590" s="2"/>
      <c r="S590" s="2"/>
      <c r="T590" s="2"/>
      <c r="U590" s="2"/>
      <c r="V590" s="2"/>
      <c r="W590" s="2"/>
      <c r="X590" s="2"/>
      <c r="Y590" s="2"/>
    </row>
    <row r="591" spans="1:25" x14ac:dyDescent="0.25">
      <c r="A591" s="2"/>
      <c r="B591" s="17">
        <f t="shared" si="34"/>
        <v>15</v>
      </c>
      <c r="C591" s="340" t="str">
        <f>Water_emissions!CW332</f>
        <v>w_Mercuryto_HiB</v>
      </c>
      <c r="D591" s="341"/>
      <c r="E591" s="368">
        <f>HLOOKUP($C592,Water_emissions!$E$16:$CQ$32,7,FALSE)</f>
        <v>6.0403653143910594E-10</v>
      </c>
      <c r="F591" s="368">
        <f>HLOOKUP($C592,Water_emissions!$E$16:$CQ$32,12,FALSE)</f>
        <v>0</v>
      </c>
      <c r="G591" s="368">
        <f>HLOOKUP($C592,Water_emissions!$E$16:$CQ$32,17,FALSE)</f>
        <v>2.843169294778855E-9</v>
      </c>
      <c r="H591" s="344" t="s">
        <v>1085</v>
      </c>
      <c r="I591" s="342" t="s">
        <v>2233</v>
      </c>
      <c r="J591" s="418" t="str">
        <f>Water_emissions!CY332</f>
        <v>[kg/bbl] kg of Mercury, total (as Hg) emissions to water per bbl of crude throughput - High Complexity Hydro Cracking and Coking</v>
      </c>
      <c r="K591" s="419"/>
      <c r="L591" s="419"/>
      <c r="M591" s="419"/>
      <c r="N591" s="419"/>
      <c r="O591" s="419"/>
      <c r="P591" s="420"/>
      <c r="Q591" s="2"/>
      <c r="R591" s="2"/>
      <c r="S591" s="2"/>
      <c r="T591" s="2"/>
      <c r="U591" s="2"/>
      <c r="V591" s="2"/>
      <c r="W591" s="2"/>
      <c r="X591" s="2"/>
      <c r="Y591" s="2"/>
    </row>
    <row r="592" spans="1:25" ht="26.25" x14ac:dyDescent="0.25">
      <c r="A592" s="2"/>
      <c r="B592" s="17">
        <f t="shared" si="34"/>
        <v>11</v>
      </c>
      <c r="C592" s="340" t="str">
        <f>Water_emissions!CW333</f>
        <v>w_Mercuryto</v>
      </c>
      <c r="D592" s="39" t="str">
        <f>"IF(NC=0;"&amp;C587&amp;";IF(NC=1;"&amp;C588&amp;";IF(NC=2;"&amp;C589&amp;";IF(NC=3;"&amp;C590&amp;";"&amp;C591&amp;"))))/"&amp;$C$27</f>
        <v>IF(NC=0;w_Mercuryto_L;IF(NC=1;w_Mercuryto_M;IF(NC=2;w_Mercuryto_HiH;IF(NC=3;w_Mercuryto_HiC;w_Mercuryto_HiB))))/Density_oil</v>
      </c>
      <c r="E592" s="68">
        <f>IF($E$24=0,E587,IF($E$24=1,E588,IF($E$24=2,E589,IF($E$24=3,E590,E591))))/$E$27</f>
        <v>4.3553390516058695E-12</v>
      </c>
      <c r="F592" s="342"/>
      <c r="G592" s="343"/>
      <c r="H592" s="344" t="s">
        <v>489</v>
      </c>
      <c r="I592" s="342" t="s">
        <v>2233</v>
      </c>
      <c r="J592" s="418" t="str">
        <f>Water_emissions!CY333</f>
        <v>[kg/bbl] kg of Mercury, total (as Hg) emissions to water per bbl of crude throughput</v>
      </c>
      <c r="K592" s="419"/>
      <c r="L592" s="419"/>
      <c r="M592" s="419"/>
      <c r="N592" s="419"/>
      <c r="O592" s="419"/>
      <c r="P592" s="420"/>
      <c r="Q592" s="2"/>
      <c r="R592" s="2"/>
      <c r="S592" s="2"/>
      <c r="T592" s="2"/>
      <c r="U592" s="2"/>
      <c r="V592" s="2"/>
      <c r="W592" s="2"/>
      <c r="X592" s="2"/>
      <c r="Y592" s="2"/>
    </row>
    <row r="593" spans="1:25" x14ac:dyDescent="0.25">
      <c r="A593" s="2"/>
      <c r="B593" s="17">
        <f t="shared" si="34"/>
        <v>12</v>
      </c>
      <c r="C593" s="340" t="str">
        <f>Water_emissions!CW334</f>
        <v>w_METHANOL_L</v>
      </c>
      <c r="D593" s="341"/>
      <c r="E593" s="368">
        <f>HLOOKUP($C598,Water_emissions!$E$16:$CQ$32,3,FALSE)</f>
        <v>0</v>
      </c>
      <c r="F593" s="368">
        <f>HLOOKUP($C598,Water_emissions!$E$16:$CQ$32,8,FALSE)</f>
        <v>0</v>
      </c>
      <c r="G593" s="368">
        <f>HLOOKUP($C598,Water_emissions!$E$16:$CQ$32,13,FALSE)</f>
        <v>0</v>
      </c>
      <c r="H593" s="344" t="s">
        <v>1085</v>
      </c>
      <c r="I593" s="342" t="s">
        <v>2233</v>
      </c>
      <c r="J593" s="418" t="str">
        <f>Water_emissions!CY334</f>
        <v>[kg/bbl] kg of METHANOL emissions to water per bbl of crude throughput - Low Complexity</v>
      </c>
      <c r="K593" s="419"/>
      <c r="L593" s="419"/>
      <c r="M593" s="419"/>
      <c r="N593" s="419"/>
      <c r="O593" s="419"/>
      <c r="P593" s="420"/>
      <c r="Q593" s="2"/>
      <c r="R593" s="2"/>
      <c r="S593" s="2"/>
      <c r="T593" s="2"/>
      <c r="U593" s="2"/>
      <c r="V593" s="2"/>
      <c r="W593" s="2"/>
      <c r="X593" s="2"/>
      <c r="Y593" s="2"/>
    </row>
    <row r="594" spans="1:25" x14ac:dyDescent="0.25">
      <c r="A594" s="2"/>
      <c r="B594" s="17">
        <f t="shared" ref="B594:B657" si="35">LEN(C594)</f>
        <v>12</v>
      </c>
      <c r="C594" s="340" t="str">
        <f>Water_emissions!CW335</f>
        <v>w_METHANOL_M</v>
      </c>
      <c r="D594" s="341"/>
      <c r="E594" s="368">
        <f>HLOOKUP($C598,Water_emissions!$E$16:$CQ$32,4,FALSE)</f>
        <v>0</v>
      </c>
      <c r="F594" s="368">
        <f>HLOOKUP($C598,Water_emissions!$E$16:$CQ$32,9,FALSE)</f>
        <v>0</v>
      </c>
      <c r="G594" s="368">
        <f>HLOOKUP($C598,Water_emissions!$E$16:$CQ$32,14,FALSE)</f>
        <v>0</v>
      </c>
      <c r="H594" s="344" t="s">
        <v>1085</v>
      </c>
      <c r="I594" s="342" t="s">
        <v>2233</v>
      </c>
      <c r="J594" s="418" t="str">
        <f>Water_emissions!CY335</f>
        <v>[kg/bbl] kg of METHANOL emissions to water per bbl of crude throughput - Med Complexity</v>
      </c>
      <c r="K594" s="419"/>
      <c r="L594" s="419"/>
      <c r="M594" s="419"/>
      <c r="N594" s="419"/>
      <c r="O594" s="419"/>
      <c r="P594" s="420"/>
      <c r="Q594" s="2"/>
      <c r="R594" s="2"/>
      <c r="S594" s="2"/>
      <c r="T594" s="2"/>
      <c r="U594" s="2"/>
      <c r="V594" s="2"/>
      <c r="W594" s="2"/>
      <c r="X594" s="2"/>
      <c r="Y594" s="2"/>
    </row>
    <row r="595" spans="1:25" x14ac:dyDescent="0.25">
      <c r="A595" s="2"/>
      <c r="B595" s="17">
        <f t="shared" si="35"/>
        <v>14</v>
      </c>
      <c r="C595" s="340" t="str">
        <f>Water_emissions!CW336</f>
        <v>w_METHANOL_HiH</v>
      </c>
      <c r="D595" s="341"/>
      <c r="E595" s="368">
        <f>HLOOKUP($C598,Water_emissions!$E$16:$CQ$32,5,FALSE)</f>
        <v>5.2155545418481104</v>
      </c>
      <c r="F595" s="368">
        <f>HLOOKUP($C598,Water_emissions!$E$16:$CQ$32,10,FALSE)</f>
        <v>5.2155545418481104</v>
      </c>
      <c r="G595" s="368">
        <f>HLOOKUP($C598,Water_emissions!$E$16:$CQ$32,15,FALSE)</f>
        <v>5.2155545418481104</v>
      </c>
      <c r="H595" s="344" t="s">
        <v>1085</v>
      </c>
      <c r="I595" s="342" t="s">
        <v>2233</v>
      </c>
      <c r="J595" s="418" t="str">
        <f>Water_emissions!CY336</f>
        <v>[kg/bbl] kg of METHANOL emissions to water per bbl of crude throughput - High Complexity Hydro Cracking</v>
      </c>
      <c r="K595" s="419"/>
      <c r="L595" s="419"/>
      <c r="M595" s="419"/>
      <c r="N595" s="419"/>
      <c r="O595" s="419"/>
      <c r="P595" s="420"/>
      <c r="Q595" s="2"/>
      <c r="R595" s="2"/>
      <c r="S595" s="2"/>
      <c r="T595" s="2"/>
      <c r="U595" s="2"/>
      <c r="V595" s="2"/>
      <c r="W595" s="2"/>
      <c r="X595" s="2"/>
      <c r="Y595" s="2"/>
    </row>
    <row r="596" spans="1:25" x14ac:dyDescent="0.25">
      <c r="A596" s="2"/>
      <c r="B596" s="17">
        <f t="shared" si="35"/>
        <v>14</v>
      </c>
      <c r="C596" s="340" t="str">
        <f>Water_emissions!CW337</f>
        <v>w_METHANOL_HiC</v>
      </c>
      <c r="D596" s="341"/>
      <c r="E596" s="368">
        <f>HLOOKUP($C598,Water_emissions!$E$16:$CQ$32,6,FALSE)</f>
        <v>8.5635995824387995E-2</v>
      </c>
      <c r="F596" s="368">
        <f>HLOOKUP($C598,Water_emissions!$E$16:$CQ$32,11,FALSE)</f>
        <v>0</v>
      </c>
      <c r="G596" s="368">
        <f>HLOOKUP($C598,Water_emissions!$E$16:$CQ$32,16,FALSE)</f>
        <v>0.34254395980817537</v>
      </c>
      <c r="H596" s="344" t="s">
        <v>1085</v>
      </c>
      <c r="I596" s="342" t="s">
        <v>2233</v>
      </c>
      <c r="J596" s="418" t="str">
        <f>Water_emissions!CY337</f>
        <v>[kg/bbl] kg of METHANOL emissions to water per bbl of crude throughput - High Complexity Coking</v>
      </c>
      <c r="K596" s="419"/>
      <c r="L596" s="419"/>
      <c r="M596" s="419"/>
      <c r="N596" s="419"/>
      <c r="O596" s="419"/>
      <c r="P596" s="420"/>
      <c r="Q596" s="2"/>
      <c r="R596" s="2"/>
      <c r="S596" s="2"/>
      <c r="T596" s="2"/>
      <c r="U596" s="2"/>
      <c r="V596" s="2"/>
      <c r="W596" s="2"/>
      <c r="X596" s="2"/>
      <c r="Y596" s="2"/>
    </row>
    <row r="597" spans="1:25" x14ac:dyDescent="0.25">
      <c r="A597" s="2"/>
      <c r="B597" s="17">
        <f t="shared" si="35"/>
        <v>14</v>
      </c>
      <c r="C597" s="340" t="str">
        <f>Water_emissions!CW338</f>
        <v>w_METHANOL_HiB</v>
      </c>
      <c r="D597" s="341"/>
      <c r="E597" s="368">
        <f>HLOOKUP($C598,Water_emissions!$E$16:$CQ$32,7,FALSE)</f>
        <v>2.2146629970383285</v>
      </c>
      <c r="F597" s="368">
        <f>HLOOKUP($C598,Water_emissions!$E$16:$CQ$32,12,FALSE)</f>
        <v>0</v>
      </c>
      <c r="G597" s="368">
        <f>HLOOKUP($C598,Water_emissions!$E$16:$CQ$32,17,FALSE)</f>
        <v>23.848363596345965</v>
      </c>
      <c r="H597" s="344" t="s">
        <v>1085</v>
      </c>
      <c r="I597" s="342" t="s">
        <v>2233</v>
      </c>
      <c r="J597" s="418" t="str">
        <f>Water_emissions!CY338</f>
        <v>[kg/bbl] kg of METHANOL emissions to water per bbl of crude throughput - High Complexity Hydro Cracking and Coking</v>
      </c>
      <c r="K597" s="419"/>
      <c r="L597" s="419"/>
      <c r="M597" s="419"/>
      <c r="N597" s="419"/>
      <c r="O597" s="419"/>
      <c r="P597" s="420"/>
      <c r="Q597" s="2"/>
      <c r="R597" s="2"/>
      <c r="S597" s="2"/>
      <c r="T597" s="2"/>
      <c r="U597" s="2"/>
      <c r="V597" s="2"/>
      <c r="W597" s="2"/>
      <c r="X597" s="2"/>
      <c r="Y597" s="2"/>
    </row>
    <row r="598" spans="1:25" ht="39" x14ac:dyDescent="0.25">
      <c r="A598" s="2"/>
      <c r="B598" s="17">
        <f t="shared" si="35"/>
        <v>10</v>
      </c>
      <c r="C598" s="340" t="str">
        <f>Water_emissions!CW339</f>
        <v>w_METHANOL</v>
      </c>
      <c r="D598" s="39" t="str">
        <f>"IF(NC=0;"&amp;C593&amp;";IF(NC=1;"&amp;C594&amp;";IF(NC=2;"&amp;C595&amp;";IF(NC=3;"&amp;C596&amp;";"&amp;C597&amp;"))))/"&amp;$C$27</f>
        <v>IF(NC=0;w_METHANOL_L;IF(NC=1;w_METHANOL_M;IF(NC=2;w_METHANOL_HiH;IF(NC=3;w_METHANOL_HiC;w_METHANOL_HiB))))/Density_oil</v>
      </c>
      <c r="E598" s="68">
        <f>IF($E$24=0,E593,IF($E$24=1,E594,IF($E$24=2,E595,IF($E$24=3,E596,E597))))/$E$27</f>
        <v>1.5968584241365404E-2</v>
      </c>
      <c r="F598" s="342"/>
      <c r="G598" s="343"/>
      <c r="H598" s="344" t="s">
        <v>489</v>
      </c>
      <c r="I598" s="342" t="s">
        <v>2233</v>
      </c>
      <c r="J598" s="418" t="str">
        <f>Water_emissions!CY339</f>
        <v>[kg/bbl] kg of METHANOL emissions to water per bbl of crude throughput</v>
      </c>
      <c r="K598" s="419"/>
      <c r="L598" s="419"/>
      <c r="M598" s="419"/>
      <c r="N598" s="419"/>
      <c r="O598" s="419"/>
      <c r="P598" s="420"/>
      <c r="Q598" s="2"/>
      <c r="R598" s="2"/>
      <c r="S598" s="2"/>
      <c r="T598" s="2"/>
      <c r="U598" s="2"/>
      <c r="V598" s="2"/>
      <c r="W598" s="2"/>
      <c r="X598" s="2"/>
      <c r="Y598" s="2"/>
    </row>
    <row r="599" spans="1:25" x14ac:dyDescent="0.25">
      <c r="A599" s="2"/>
      <c r="B599" s="17">
        <f t="shared" si="35"/>
        <v>13</v>
      </c>
      <c r="C599" s="340" t="str">
        <f>Water_emissions!CW340</f>
        <v>w_METHYLISO_L</v>
      </c>
      <c r="D599" s="341"/>
      <c r="E599" s="368">
        <f>HLOOKUP($C604,Water_emissions!$E$16:$CQ$32,3,FALSE)</f>
        <v>1.1247006550185181E-2</v>
      </c>
      <c r="F599" s="368">
        <f>HLOOKUP($C604,Water_emissions!$E$16:$CQ$32,8,FALSE)</f>
        <v>3.2320666200198202E-4</v>
      </c>
      <c r="G599" s="368">
        <f>HLOOKUP($C604,Water_emissions!$E$16:$CQ$32,13,FALSE)</f>
        <v>2.2170806438368381E-2</v>
      </c>
      <c r="H599" s="344" t="s">
        <v>1085</v>
      </c>
      <c r="I599" s="342" t="s">
        <v>2233</v>
      </c>
      <c r="J599" s="418" t="str">
        <f>Water_emissions!CY340</f>
        <v>[kg/bbl] kg of METHYL ISOBUTYL KETONE emissions to water per bbl of crude throughput - Low Complexity</v>
      </c>
      <c r="K599" s="419"/>
      <c r="L599" s="419"/>
      <c r="M599" s="419"/>
      <c r="N599" s="419"/>
      <c r="O599" s="419"/>
      <c r="P599" s="420"/>
      <c r="Q599" s="2"/>
      <c r="R599" s="2"/>
      <c r="S599" s="2"/>
      <c r="T599" s="2"/>
      <c r="U599" s="2"/>
      <c r="V599" s="2"/>
      <c r="W599" s="2"/>
      <c r="X599" s="2"/>
      <c r="Y599" s="2"/>
    </row>
    <row r="600" spans="1:25" x14ac:dyDescent="0.25">
      <c r="A600" s="2"/>
      <c r="B600" s="17">
        <f t="shared" si="35"/>
        <v>13</v>
      </c>
      <c r="C600" s="340" t="str">
        <f>Water_emissions!CW341</f>
        <v>w_METHYLISO_M</v>
      </c>
      <c r="D600" s="341"/>
      <c r="E600" s="368">
        <f>HLOOKUP($C604,Water_emissions!$E$16:$CQ$32,4,FALSE)</f>
        <v>1.1247006550185181E-2</v>
      </c>
      <c r="F600" s="368">
        <f>HLOOKUP($C604,Water_emissions!$E$16:$CQ$32,9,FALSE)</f>
        <v>3.2320666200198202E-4</v>
      </c>
      <c r="G600" s="368">
        <f>HLOOKUP($C604,Water_emissions!$E$16:$CQ$32,14,FALSE)</f>
        <v>2.2170806438368381E-2</v>
      </c>
      <c r="H600" s="344" t="s">
        <v>1085</v>
      </c>
      <c r="I600" s="342" t="s">
        <v>2233</v>
      </c>
      <c r="J600" s="418" t="str">
        <f>Water_emissions!CY341</f>
        <v>[kg/bbl] kg of METHYL ISOBUTYL KETONE emissions to water per bbl of crude throughput - Med Complexity</v>
      </c>
      <c r="K600" s="419"/>
      <c r="L600" s="419"/>
      <c r="M600" s="419"/>
      <c r="N600" s="419"/>
      <c r="O600" s="419"/>
      <c r="P600" s="420"/>
      <c r="Q600" s="2"/>
      <c r="R600" s="2"/>
      <c r="S600" s="2"/>
      <c r="T600" s="2"/>
      <c r="U600" s="2"/>
      <c r="V600" s="2"/>
      <c r="W600" s="2"/>
      <c r="X600" s="2"/>
      <c r="Y600" s="2"/>
    </row>
    <row r="601" spans="1:25" x14ac:dyDescent="0.25">
      <c r="A601" s="2"/>
      <c r="B601" s="17">
        <f t="shared" si="35"/>
        <v>15</v>
      </c>
      <c r="C601" s="340" t="str">
        <f>Water_emissions!CW342</f>
        <v>w_METHYLISO_HiH</v>
      </c>
      <c r="D601" s="341"/>
      <c r="E601" s="368">
        <f>HLOOKUP($C604,Water_emissions!$E$16:$CQ$32,5,FALSE)</f>
        <v>1.1247006550185181E-2</v>
      </c>
      <c r="F601" s="368">
        <f>HLOOKUP($C604,Water_emissions!$E$16:$CQ$32,10,FALSE)</f>
        <v>3.2320666200198202E-4</v>
      </c>
      <c r="G601" s="368">
        <f>HLOOKUP($C604,Water_emissions!$E$16:$CQ$32,15,FALSE)</f>
        <v>2.2170806438368381E-2</v>
      </c>
      <c r="H601" s="344" t="s">
        <v>1085</v>
      </c>
      <c r="I601" s="342" t="s">
        <v>2233</v>
      </c>
      <c r="J601" s="418" t="str">
        <f>Water_emissions!CY342</f>
        <v>[kg/bbl] kg of METHYL ISOBUTYL KETONE emissions to water per bbl of crude throughput - High Complexity Hydro Cracking</v>
      </c>
      <c r="K601" s="419"/>
      <c r="L601" s="419"/>
      <c r="M601" s="419"/>
      <c r="N601" s="419"/>
      <c r="O601" s="419"/>
      <c r="P601" s="420"/>
      <c r="Q601" s="2"/>
      <c r="R601" s="2"/>
      <c r="S601" s="2"/>
      <c r="T601" s="2"/>
      <c r="U601" s="2"/>
      <c r="V601" s="2"/>
      <c r="W601" s="2"/>
      <c r="X601" s="2"/>
      <c r="Y601" s="2"/>
    </row>
    <row r="602" spans="1:25" x14ac:dyDescent="0.25">
      <c r="A602" s="2"/>
      <c r="B602" s="17">
        <f t="shared" si="35"/>
        <v>15</v>
      </c>
      <c r="C602" s="340" t="str">
        <f>Water_emissions!CW343</f>
        <v>w_METHYLISO_HiC</v>
      </c>
      <c r="D602" s="341"/>
      <c r="E602" s="368">
        <f>HLOOKUP($C604,Water_emissions!$E$16:$CQ$32,6,FALSE)</f>
        <v>1.1247006550185181E-2</v>
      </c>
      <c r="F602" s="368">
        <f>HLOOKUP($C604,Water_emissions!$E$16:$CQ$32,11,FALSE)</f>
        <v>3.2320666200198202E-4</v>
      </c>
      <c r="G602" s="368">
        <f>HLOOKUP($C604,Water_emissions!$E$16:$CQ$32,16,FALSE)</f>
        <v>2.2170806438368381E-2</v>
      </c>
      <c r="H602" s="344" t="s">
        <v>1085</v>
      </c>
      <c r="I602" s="342" t="s">
        <v>2233</v>
      </c>
      <c r="J602" s="418" t="str">
        <f>Water_emissions!CY343</f>
        <v>[kg/bbl] kg of METHYL ISOBUTYL KETONE emissions to water per bbl of crude throughput - High Complexity Coking</v>
      </c>
      <c r="K602" s="419"/>
      <c r="L602" s="419"/>
      <c r="M602" s="419"/>
      <c r="N602" s="419"/>
      <c r="O602" s="419"/>
      <c r="P602" s="420"/>
      <c r="Q602" s="2"/>
      <c r="R602" s="2"/>
      <c r="S602" s="2"/>
      <c r="T602" s="2"/>
      <c r="U602" s="2"/>
      <c r="V602" s="2"/>
      <c r="W602" s="2"/>
      <c r="X602" s="2"/>
      <c r="Y602" s="2"/>
    </row>
    <row r="603" spans="1:25" x14ac:dyDescent="0.25">
      <c r="A603" s="2"/>
      <c r="B603" s="17">
        <f t="shared" si="35"/>
        <v>15</v>
      </c>
      <c r="C603" s="340" t="str">
        <f>Water_emissions!CW344</f>
        <v>w_METHYLISO_HiB</v>
      </c>
      <c r="D603" s="341"/>
      <c r="E603" s="368">
        <f>HLOOKUP($C604,Water_emissions!$E$16:$CQ$32,7,FALSE)</f>
        <v>1.1247006550185181E-2</v>
      </c>
      <c r="F603" s="368">
        <f>HLOOKUP($C604,Water_emissions!$E$16:$CQ$32,12,FALSE)</f>
        <v>3.2320666200198202E-4</v>
      </c>
      <c r="G603" s="368">
        <f>HLOOKUP($C604,Water_emissions!$E$16:$CQ$32,17,FALSE)</f>
        <v>2.2170806438368381E-2</v>
      </c>
      <c r="H603" s="344" t="s">
        <v>1085</v>
      </c>
      <c r="I603" s="342" t="s">
        <v>2233</v>
      </c>
      <c r="J603" s="418" t="str">
        <f>Water_emissions!CY344</f>
        <v>[kg/bbl] kg of METHYL ISOBUTYL KETONE emissions to water per bbl of crude throughput - High Complexity Hydro Cracking and Coking</v>
      </c>
      <c r="K603" s="419"/>
      <c r="L603" s="419"/>
      <c r="M603" s="419"/>
      <c r="N603" s="419"/>
      <c r="O603" s="419"/>
      <c r="P603" s="420"/>
      <c r="Q603" s="2"/>
      <c r="R603" s="2"/>
      <c r="S603" s="2"/>
      <c r="T603" s="2"/>
      <c r="U603" s="2"/>
      <c r="V603" s="2"/>
      <c r="W603" s="2"/>
      <c r="X603" s="2"/>
      <c r="Y603" s="2"/>
    </row>
    <row r="604" spans="1:25" ht="39" x14ac:dyDescent="0.25">
      <c r="A604" s="2"/>
      <c r="B604" s="17">
        <f t="shared" si="35"/>
        <v>11</v>
      </c>
      <c r="C604" s="340" t="str">
        <f>Water_emissions!CW345</f>
        <v>w_METHYLISO</v>
      </c>
      <c r="D604" s="39" t="str">
        <f>"IF(NC=0;"&amp;C599&amp;";IF(NC=1;"&amp;C600&amp;";IF(NC=2;"&amp;C601&amp;";IF(NC=3;"&amp;C602&amp;";"&amp;C603&amp;"))))/"&amp;$C$27</f>
        <v>IF(NC=0;w_METHYLISO_L;IF(NC=1;w_METHYLISO_M;IF(NC=2;w_METHYLISO_HiH;IF(NC=3;w_METHYLISO_HiC;w_METHYLISO_HiB))))/Density_oil</v>
      </c>
      <c r="E604" s="68">
        <f>IF($E$24=0,E599,IF($E$24=1,E600,IF($E$24=2,E601,IF($E$24=3,E602,E603))))/$E$27</f>
        <v>8.109530515477895E-5</v>
      </c>
      <c r="F604" s="342"/>
      <c r="G604" s="343"/>
      <c r="H604" s="344" t="s">
        <v>489</v>
      </c>
      <c r="I604" s="342" t="s">
        <v>2233</v>
      </c>
      <c r="J604" s="418" t="str">
        <f>Water_emissions!CY345</f>
        <v>[kg/bbl] kg of METHYL ISOBUTYL KETONE emissions to water per bbl of crude throughput</v>
      </c>
      <c r="K604" s="419"/>
      <c r="L604" s="419"/>
      <c r="M604" s="419"/>
      <c r="N604" s="419"/>
      <c r="O604" s="419"/>
      <c r="P604" s="420"/>
      <c r="Q604" s="2"/>
      <c r="R604" s="2"/>
      <c r="S604" s="2"/>
      <c r="T604" s="2"/>
      <c r="U604" s="2"/>
      <c r="V604" s="2"/>
      <c r="W604" s="2"/>
      <c r="X604" s="2"/>
      <c r="Y604" s="2"/>
    </row>
    <row r="605" spans="1:25" x14ac:dyDescent="0.25">
      <c r="A605" s="2"/>
      <c r="B605" s="17">
        <f t="shared" si="35"/>
        <v>13</v>
      </c>
      <c r="C605" s="340" t="str">
        <f>Water_emissions!CW346</f>
        <v>w_METHYLTBU_L</v>
      </c>
      <c r="D605" s="341"/>
      <c r="E605" s="368">
        <f>HLOOKUP($C610,Water_emissions!$E$16:$CQ$32,3,FALSE)</f>
        <v>1.6184136507375578E-4</v>
      </c>
      <c r="F605" s="368">
        <f>HLOOKUP($C610,Water_emissions!$E$16:$CQ$32,8,FALSE)</f>
        <v>4.7606814552953302E-7</v>
      </c>
      <c r="G605" s="368">
        <f>HLOOKUP($C610,Water_emissions!$E$16:$CQ$32,13,FALSE)</f>
        <v>3.2320666200198202E-4</v>
      </c>
      <c r="H605" s="344" t="s">
        <v>1085</v>
      </c>
      <c r="I605" s="342" t="s">
        <v>2233</v>
      </c>
      <c r="J605" s="418" t="str">
        <f>Water_emissions!CY346</f>
        <v>[kg/bbl] kg of METHYL T-BUTYL ETHER emissions to water per bbl of crude throughput - Low Complexity</v>
      </c>
      <c r="K605" s="419"/>
      <c r="L605" s="419"/>
      <c r="M605" s="419"/>
      <c r="N605" s="419"/>
      <c r="O605" s="419"/>
      <c r="P605" s="420"/>
      <c r="Q605" s="2"/>
      <c r="R605" s="2"/>
      <c r="S605" s="2"/>
      <c r="T605" s="2"/>
      <c r="U605" s="2"/>
      <c r="V605" s="2"/>
      <c r="W605" s="2"/>
      <c r="X605" s="2"/>
      <c r="Y605" s="2"/>
    </row>
    <row r="606" spans="1:25" x14ac:dyDescent="0.25">
      <c r="A606" s="2"/>
      <c r="B606" s="17">
        <f t="shared" si="35"/>
        <v>13</v>
      </c>
      <c r="C606" s="340" t="str">
        <f>Water_emissions!CW347</f>
        <v>w_METHYLTBU_M</v>
      </c>
      <c r="D606" s="341"/>
      <c r="E606" s="368">
        <f>HLOOKUP($C610,Water_emissions!$E$16:$CQ$32,4,FALSE)</f>
        <v>4.7606814552953302E-7</v>
      </c>
      <c r="F606" s="368">
        <f>HLOOKUP($C610,Water_emissions!$E$16:$CQ$32,9,FALSE)</f>
        <v>4.7606814552953302E-7</v>
      </c>
      <c r="G606" s="368">
        <f>HLOOKUP($C610,Water_emissions!$E$16:$CQ$32,14,FALSE)</f>
        <v>4.7606814552953302E-7</v>
      </c>
      <c r="H606" s="344" t="s">
        <v>1085</v>
      </c>
      <c r="I606" s="342" t="s">
        <v>2233</v>
      </c>
      <c r="J606" s="418" t="str">
        <f>Water_emissions!CY347</f>
        <v>[kg/bbl] kg of METHYL T-BUTYL ETHER emissions to water per bbl of crude throughput - Med Complexity</v>
      </c>
      <c r="K606" s="419"/>
      <c r="L606" s="419"/>
      <c r="M606" s="419"/>
      <c r="N606" s="419"/>
      <c r="O606" s="419"/>
      <c r="P606" s="420"/>
      <c r="Q606" s="2"/>
      <c r="R606" s="2"/>
      <c r="S606" s="2"/>
      <c r="T606" s="2"/>
      <c r="U606" s="2"/>
      <c r="V606" s="2"/>
      <c r="W606" s="2"/>
      <c r="X606" s="2"/>
      <c r="Y606" s="2"/>
    </row>
    <row r="607" spans="1:25" x14ac:dyDescent="0.25">
      <c r="A607" s="2"/>
      <c r="B607" s="17">
        <f t="shared" si="35"/>
        <v>15</v>
      </c>
      <c r="C607" s="340" t="str">
        <f>Water_emissions!CW348</f>
        <v>w_METHYLTBU_HiH</v>
      </c>
      <c r="D607" s="341"/>
      <c r="E607" s="368">
        <f>HLOOKUP($C610,Water_emissions!$E$16:$CQ$32,5,FALSE)</f>
        <v>1.6184136507375578E-4</v>
      </c>
      <c r="F607" s="368">
        <f>HLOOKUP($C610,Water_emissions!$E$16:$CQ$32,10,FALSE)</f>
        <v>4.7606814552953302E-7</v>
      </c>
      <c r="G607" s="368">
        <f>HLOOKUP($C610,Water_emissions!$E$16:$CQ$32,15,FALSE)</f>
        <v>3.2320666200198202E-4</v>
      </c>
      <c r="H607" s="344" t="s">
        <v>1085</v>
      </c>
      <c r="I607" s="342" t="s">
        <v>2233</v>
      </c>
      <c r="J607" s="418" t="str">
        <f>Water_emissions!CY348</f>
        <v>[kg/bbl] kg of METHYL T-BUTYL ETHER emissions to water per bbl of crude throughput - High Complexity Hydro Cracking</v>
      </c>
      <c r="K607" s="419"/>
      <c r="L607" s="419"/>
      <c r="M607" s="419"/>
      <c r="N607" s="419"/>
      <c r="O607" s="419"/>
      <c r="P607" s="420"/>
      <c r="Q607" s="2"/>
      <c r="R607" s="2"/>
      <c r="S607" s="2"/>
      <c r="T607" s="2"/>
      <c r="U607" s="2"/>
      <c r="V607" s="2"/>
      <c r="W607" s="2"/>
      <c r="X607" s="2"/>
      <c r="Y607" s="2"/>
    </row>
    <row r="608" spans="1:25" x14ac:dyDescent="0.25">
      <c r="A608" s="2"/>
      <c r="B608" s="17">
        <f t="shared" si="35"/>
        <v>15</v>
      </c>
      <c r="C608" s="340" t="str">
        <f>Water_emissions!CW349</f>
        <v>w_METHYLTBU_HiC</v>
      </c>
      <c r="D608" s="341"/>
      <c r="E608" s="368">
        <f>HLOOKUP($C610,Water_emissions!$E$16:$CQ$32,6,FALSE)</f>
        <v>1.6184136507375578E-4</v>
      </c>
      <c r="F608" s="368">
        <f>HLOOKUP($C610,Water_emissions!$E$16:$CQ$32,11,FALSE)</f>
        <v>4.7606814552953302E-7</v>
      </c>
      <c r="G608" s="368">
        <f>HLOOKUP($C610,Water_emissions!$E$16:$CQ$32,16,FALSE)</f>
        <v>3.2320666200198202E-4</v>
      </c>
      <c r="H608" s="344" t="s">
        <v>1085</v>
      </c>
      <c r="I608" s="342" t="s">
        <v>2233</v>
      </c>
      <c r="J608" s="418" t="str">
        <f>Water_emissions!CY349</f>
        <v>[kg/bbl] kg of METHYL T-BUTYL ETHER emissions to water per bbl of crude throughput - High Complexity Coking</v>
      </c>
      <c r="K608" s="419"/>
      <c r="L608" s="419"/>
      <c r="M608" s="419"/>
      <c r="N608" s="419"/>
      <c r="O608" s="419"/>
      <c r="P608" s="420"/>
      <c r="Q608" s="2"/>
      <c r="R608" s="2"/>
      <c r="S608" s="2"/>
      <c r="T608" s="2"/>
      <c r="U608" s="2"/>
      <c r="V608" s="2"/>
      <c r="W608" s="2"/>
      <c r="X608" s="2"/>
      <c r="Y608" s="2"/>
    </row>
    <row r="609" spans="1:25" x14ac:dyDescent="0.25">
      <c r="A609" s="2"/>
      <c r="B609" s="17">
        <f t="shared" si="35"/>
        <v>15</v>
      </c>
      <c r="C609" s="340" t="str">
        <f>Water_emissions!CW350</f>
        <v>w_METHYLTBU_HiB</v>
      </c>
      <c r="D609" s="341"/>
      <c r="E609" s="368">
        <f>HLOOKUP($C610,Water_emissions!$E$16:$CQ$32,7,FALSE)</f>
        <v>3.2320666200198202E-4</v>
      </c>
      <c r="F609" s="368">
        <f>HLOOKUP($C610,Water_emissions!$E$16:$CQ$32,12,FALSE)</f>
        <v>3.2320666200198202E-4</v>
      </c>
      <c r="G609" s="368">
        <f>HLOOKUP($C610,Water_emissions!$E$16:$CQ$32,17,FALSE)</f>
        <v>3.2320666200198202E-4</v>
      </c>
      <c r="H609" s="344" t="s">
        <v>1085</v>
      </c>
      <c r="I609" s="342" t="s">
        <v>2233</v>
      </c>
      <c r="J609" s="418" t="str">
        <f>Water_emissions!CY350</f>
        <v>[kg/bbl] kg of METHYL T-BUTYL ETHER emissions to water per bbl of crude throughput - High Complexity Hydro Cracking and Coking</v>
      </c>
      <c r="K609" s="419"/>
      <c r="L609" s="419"/>
      <c r="M609" s="419"/>
      <c r="N609" s="419"/>
      <c r="O609" s="419"/>
      <c r="P609" s="420"/>
      <c r="Q609" s="2"/>
      <c r="R609" s="2"/>
      <c r="S609" s="2"/>
      <c r="T609" s="2"/>
      <c r="U609" s="2"/>
      <c r="V609" s="2"/>
      <c r="W609" s="2"/>
      <c r="X609" s="2"/>
      <c r="Y609" s="2"/>
    </row>
    <row r="610" spans="1:25" ht="39" x14ac:dyDescent="0.25">
      <c r="A610" s="2"/>
      <c r="B610" s="17">
        <f t="shared" si="35"/>
        <v>11</v>
      </c>
      <c r="C610" s="340" t="str">
        <f>Water_emissions!CW351</f>
        <v>w_METHYLTBU</v>
      </c>
      <c r="D610" s="39" t="str">
        <f>"IF(NC=0;"&amp;C605&amp;";IF(NC=1;"&amp;C606&amp;";IF(NC=2;"&amp;C607&amp;";IF(NC=3;"&amp;C608&amp;";"&amp;C609&amp;"))))/"&amp;$C$27</f>
        <v>IF(NC=0;w_METHYLTBU_L;IF(NC=1;w_METHYLTBU_M;IF(NC=2;w_METHYLTBU_HiH;IF(NC=3;w_METHYLTBU_HiC;w_METHYLTBU_HiB))))/Density_oil</v>
      </c>
      <c r="E610" s="68">
        <f>IF($E$24=0,E605,IF($E$24=1,E606,IF($E$24=2,E607,IF($E$24=3,E608,E609))))/$E$27</f>
        <v>2.330446129479375E-6</v>
      </c>
      <c r="F610" s="342"/>
      <c r="G610" s="343"/>
      <c r="H610" s="344" t="s">
        <v>489</v>
      </c>
      <c r="I610" s="342" t="s">
        <v>2233</v>
      </c>
      <c r="J610" s="418" t="str">
        <f>Water_emissions!CY351</f>
        <v>[kg/bbl] kg of METHYL T-BUTYL ETHER emissions to water per bbl of crude throughput</v>
      </c>
      <c r="K610" s="419"/>
      <c r="L610" s="419"/>
      <c r="M610" s="419"/>
      <c r="N610" s="419"/>
      <c r="O610" s="419"/>
      <c r="P610" s="420"/>
      <c r="Q610" s="2"/>
      <c r="R610" s="2"/>
      <c r="S610" s="2"/>
      <c r="T610" s="2"/>
      <c r="U610" s="2"/>
      <c r="V610" s="2"/>
      <c r="W610" s="2"/>
      <c r="X610" s="2"/>
      <c r="Y610" s="2"/>
    </row>
    <row r="611" spans="1:25" x14ac:dyDescent="0.25">
      <c r="A611" s="2"/>
      <c r="B611" s="17">
        <f t="shared" si="35"/>
        <v>11</v>
      </c>
      <c r="C611" s="340" t="str">
        <f>Water_emissions!CW352</f>
        <v>w_METIRAM_L</v>
      </c>
      <c r="D611" s="341"/>
      <c r="E611" s="368">
        <f>HLOOKUP($C616,Water_emissions!$E$16:$CQ$32,3,FALSE)</f>
        <v>1.2038153369694064E-7</v>
      </c>
      <c r="F611" s="368">
        <f>HLOOKUP($C616,Water_emissions!$E$16:$CQ$32,8,FALSE)</f>
        <v>1.2038153369694064E-7</v>
      </c>
      <c r="G611" s="368">
        <f>HLOOKUP($C616,Water_emissions!$E$16:$CQ$32,13,FALSE)</f>
        <v>1.2038153369694064E-7</v>
      </c>
      <c r="H611" s="344" t="s">
        <v>1085</v>
      </c>
      <c r="I611" s="342" t="s">
        <v>2233</v>
      </c>
      <c r="J611" s="418" t="str">
        <f>Water_emissions!CY352</f>
        <v>[kg/bbl] kg of METIRAM emissions to water per bbl of crude throughput - Low Complexity</v>
      </c>
      <c r="K611" s="419"/>
      <c r="L611" s="419"/>
      <c r="M611" s="419"/>
      <c r="N611" s="419"/>
      <c r="O611" s="419"/>
      <c r="P611" s="420"/>
      <c r="Q611" s="2"/>
      <c r="R611" s="2"/>
      <c r="S611" s="2"/>
      <c r="T611" s="2"/>
      <c r="U611" s="2"/>
      <c r="V611" s="2"/>
      <c r="W611" s="2"/>
      <c r="X611" s="2"/>
      <c r="Y611" s="2"/>
    </row>
    <row r="612" spans="1:25" x14ac:dyDescent="0.25">
      <c r="A612" s="2"/>
      <c r="B612" s="17">
        <f t="shared" si="35"/>
        <v>11</v>
      </c>
      <c r="C612" s="340" t="str">
        <f>Water_emissions!CW353</f>
        <v>w_METIRAM_M</v>
      </c>
      <c r="D612" s="341"/>
      <c r="E612" s="368">
        <f>HLOOKUP($C616,Water_emissions!$E$16:$CQ$32,4,FALSE)</f>
        <v>1.2038153369694064E-7</v>
      </c>
      <c r="F612" s="368">
        <f>HLOOKUP($C616,Water_emissions!$E$16:$CQ$32,9,FALSE)</f>
        <v>1.2038153369694064E-7</v>
      </c>
      <c r="G612" s="368">
        <f>HLOOKUP($C616,Water_emissions!$E$16:$CQ$32,14,FALSE)</f>
        <v>1.2038153369694064E-7</v>
      </c>
      <c r="H612" s="344" t="s">
        <v>1085</v>
      </c>
      <c r="I612" s="342" t="s">
        <v>2233</v>
      </c>
      <c r="J612" s="418" t="str">
        <f>Water_emissions!CY353</f>
        <v>[kg/bbl] kg of METIRAM emissions to water per bbl of crude throughput - Med Complexity</v>
      </c>
      <c r="K612" s="419"/>
      <c r="L612" s="419"/>
      <c r="M612" s="419"/>
      <c r="N612" s="419"/>
      <c r="O612" s="419"/>
      <c r="P612" s="420"/>
      <c r="Q612" s="2"/>
      <c r="R612" s="2"/>
      <c r="S612" s="2"/>
      <c r="T612" s="2"/>
      <c r="U612" s="2"/>
      <c r="V612" s="2"/>
      <c r="W612" s="2"/>
      <c r="X612" s="2"/>
      <c r="Y612" s="2"/>
    </row>
    <row r="613" spans="1:25" x14ac:dyDescent="0.25">
      <c r="A613" s="2"/>
      <c r="B613" s="17">
        <f t="shared" si="35"/>
        <v>13</v>
      </c>
      <c r="C613" s="340" t="str">
        <f>Water_emissions!CW354</f>
        <v>w_METIRAM_HiH</v>
      </c>
      <c r="D613" s="341"/>
      <c r="E613" s="368">
        <f>HLOOKUP($C616,Water_emissions!$E$16:$CQ$32,5,FALSE)</f>
        <v>1.2038153369694064E-7</v>
      </c>
      <c r="F613" s="368">
        <f>HLOOKUP($C616,Water_emissions!$E$16:$CQ$32,10,FALSE)</f>
        <v>1.2038153369694064E-7</v>
      </c>
      <c r="G613" s="368">
        <f>HLOOKUP($C616,Water_emissions!$E$16:$CQ$32,15,FALSE)</f>
        <v>1.2038153369694064E-7</v>
      </c>
      <c r="H613" s="344" t="s">
        <v>1085</v>
      </c>
      <c r="I613" s="342" t="s">
        <v>2233</v>
      </c>
      <c r="J613" s="418" t="str">
        <f>Water_emissions!CY354</f>
        <v>[kg/bbl] kg of METIRAM emissions to water per bbl of crude throughput - High Complexity Hydro Cracking</v>
      </c>
      <c r="K613" s="419"/>
      <c r="L613" s="419"/>
      <c r="M613" s="419"/>
      <c r="N613" s="419"/>
      <c r="O613" s="419"/>
      <c r="P613" s="420"/>
      <c r="Q613" s="2"/>
      <c r="R613" s="2"/>
      <c r="S613" s="2"/>
      <c r="T613" s="2"/>
      <c r="U613" s="2"/>
      <c r="V613" s="2"/>
      <c r="W613" s="2"/>
      <c r="X613" s="2"/>
      <c r="Y613" s="2"/>
    </row>
    <row r="614" spans="1:25" x14ac:dyDescent="0.25">
      <c r="A614" s="2"/>
      <c r="B614" s="17">
        <f t="shared" si="35"/>
        <v>13</v>
      </c>
      <c r="C614" s="340" t="str">
        <f>Water_emissions!CW355</f>
        <v>w_METIRAM_HiC</v>
      </c>
      <c r="D614" s="341"/>
      <c r="E614" s="368">
        <f>HLOOKUP($C616,Water_emissions!$E$16:$CQ$32,6,FALSE)</f>
        <v>1.2038153369694064E-7</v>
      </c>
      <c r="F614" s="368">
        <f>HLOOKUP($C616,Water_emissions!$E$16:$CQ$32,11,FALSE)</f>
        <v>1.2038153369694064E-7</v>
      </c>
      <c r="G614" s="368">
        <f>HLOOKUP($C616,Water_emissions!$E$16:$CQ$32,16,FALSE)</f>
        <v>1.2038153369694064E-7</v>
      </c>
      <c r="H614" s="344" t="s">
        <v>1085</v>
      </c>
      <c r="I614" s="342" t="s">
        <v>2233</v>
      </c>
      <c r="J614" s="418" t="str">
        <f>Water_emissions!CY355</f>
        <v>[kg/bbl] kg of METIRAM emissions to water per bbl of crude throughput - High Complexity Coking</v>
      </c>
      <c r="K614" s="419"/>
      <c r="L614" s="419"/>
      <c r="M614" s="419"/>
      <c r="N614" s="419"/>
      <c r="O614" s="419"/>
      <c r="P614" s="420"/>
      <c r="Q614" s="2"/>
      <c r="R614" s="2"/>
      <c r="S614" s="2"/>
      <c r="T614" s="2"/>
      <c r="U614" s="2"/>
      <c r="V614" s="2"/>
      <c r="W614" s="2"/>
      <c r="X614" s="2"/>
      <c r="Y614" s="2"/>
    </row>
    <row r="615" spans="1:25" x14ac:dyDescent="0.25">
      <c r="A615" s="2"/>
      <c r="B615" s="17">
        <f t="shared" si="35"/>
        <v>13</v>
      </c>
      <c r="C615" s="340" t="str">
        <f>Water_emissions!CW356</f>
        <v>w_METIRAM_HiB</v>
      </c>
      <c r="D615" s="341"/>
      <c r="E615" s="368">
        <f>HLOOKUP($C616,Water_emissions!$E$16:$CQ$32,7,FALSE)</f>
        <v>1.2038153369694064E-7</v>
      </c>
      <c r="F615" s="368">
        <f>HLOOKUP($C616,Water_emissions!$E$16:$CQ$32,12,FALSE)</f>
        <v>1.2038153369694064E-7</v>
      </c>
      <c r="G615" s="368">
        <f>HLOOKUP($C616,Water_emissions!$E$16:$CQ$32,17,FALSE)</f>
        <v>1.2038153369694064E-7</v>
      </c>
      <c r="H615" s="344" t="s">
        <v>1085</v>
      </c>
      <c r="I615" s="342" t="s">
        <v>2233</v>
      </c>
      <c r="J615" s="418" t="str">
        <f>Water_emissions!CY356</f>
        <v>[kg/bbl] kg of METIRAM emissions to water per bbl of crude throughput - High Complexity Hydro Cracking and Coking</v>
      </c>
      <c r="K615" s="419"/>
      <c r="L615" s="419"/>
      <c r="M615" s="419"/>
      <c r="N615" s="419"/>
      <c r="O615" s="419"/>
      <c r="P615" s="420"/>
      <c r="Q615" s="2"/>
      <c r="R615" s="2"/>
      <c r="S615" s="2"/>
      <c r="T615" s="2"/>
      <c r="U615" s="2"/>
      <c r="V615" s="2"/>
      <c r="W615" s="2"/>
      <c r="X615" s="2"/>
      <c r="Y615" s="2"/>
    </row>
    <row r="616" spans="1:25" ht="26.25" x14ac:dyDescent="0.25">
      <c r="A616" s="2"/>
      <c r="B616" s="17">
        <f t="shared" si="35"/>
        <v>9</v>
      </c>
      <c r="C616" s="340" t="str">
        <f>Water_emissions!CW357</f>
        <v>w_METIRAM</v>
      </c>
      <c r="D616" s="39" t="str">
        <f>"IF(NC=0;"&amp;C611&amp;";IF(NC=1;"&amp;C612&amp;";IF(NC=2;"&amp;C613&amp;";IF(NC=3;"&amp;C614&amp;";"&amp;C615&amp;"))))/"&amp;$C$27</f>
        <v>IF(NC=0;w_METIRAM_L;IF(NC=1;w_METIRAM_M;IF(NC=2;w_METIRAM_HiH;IF(NC=3;w_METIRAM_HiC;w_METIRAM_HiB))))/Density_oil</v>
      </c>
      <c r="E616" s="68">
        <f>IF($E$24=0,E611,IF($E$24=1,E612,IF($E$24=2,E613,IF($E$24=3,E614,E615))))/$E$27</f>
        <v>8.6799782382921883E-10</v>
      </c>
      <c r="F616" s="342"/>
      <c r="G616" s="343"/>
      <c r="H616" s="344" t="s">
        <v>489</v>
      </c>
      <c r="I616" s="342" t="s">
        <v>2233</v>
      </c>
      <c r="J616" s="418" t="str">
        <f>Water_emissions!CY357</f>
        <v>[kg/bbl] kg of METIRAM emissions to water per bbl of crude throughput</v>
      </c>
      <c r="K616" s="419"/>
      <c r="L616" s="419"/>
      <c r="M616" s="419"/>
      <c r="N616" s="419"/>
      <c r="O616" s="419"/>
      <c r="P616" s="420"/>
      <c r="Q616" s="2"/>
      <c r="R616" s="2"/>
      <c r="S616" s="2"/>
      <c r="T616" s="2"/>
      <c r="U616" s="2"/>
      <c r="V616" s="2"/>
      <c r="W616" s="2"/>
      <c r="X616" s="2"/>
      <c r="Y616" s="2"/>
    </row>
    <row r="617" spans="1:25" x14ac:dyDescent="0.25">
      <c r="A617" s="2"/>
      <c r="B617" s="17">
        <f t="shared" si="35"/>
        <v>13</v>
      </c>
      <c r="C617" s="340" t="str">
        <f>Water_emissions!CW358</f>
        <v>w_MOLYBDENU_L</v>
      </c>
      <c r="D617" s="341"/>
      <c r="E617" s="368">
        <f>HLOOKUP($C622,Water_emissions!$E$16:$CQ$32,3,FALSE)</f>
        <v>0.23315366831973672</v>
      </c>
      <c r="F617" s="368">
        <f>HLOOKUP($C622,Water_emissions!$E$16:$CQ$32,8,FALSE)</f>
        <v>0</v>
      </c>
      <c r="G617" s="368">
        <f>HLOOKUP($C622,Water_emissions!$E$16:$CQ$32,13,FALSE)</f>
        <v>1.2263919548687761</v>
      </c>
      <c r="H617" s="344" t="s">
        <v>1085</v>
      </c>
      <c r="I617" s="342" t="s">
        <v>2233</v>
      </c>
      <c r="J617" s="418" t="str">
        <f>Water_emissions!CY358</f>
        <v>[kg/bbl] kg of MOLYBDENUM TRIOXIDE emissions to water per bbl of crude throughput - Low Complexity</v>
      </c>
      <c r="K617" s="419"/>
      <c r="L617" s="419"/>
      <c r="M617" s="419"/>
      <c r="N617" s="419"/>
      <c r="O617" s="419"/>
      <c r="P617" s="420"/>
      <c r="Q617" s="2"/>
      <c r="R617" s="2"/>
      <c r="S617" s="2"/>
      <c r="T617" s="2"/>
      <c r="U617" s="2"/>
      <c r="V617" s="2"/>
      <c r="W617" s="2"/>
      <c r="X617" s="2"/>
      <c r="Y617" s="2"/>
    </row>
    <row r="618" spans="1:25" x14ac:dyDescent="0.25">
      <c r="A618" s="2"/>
      <c r="B618" s="17">
        <f t="shared" si="35"/>
        <v>13</v>
      </c>
      <c r="C618" s="340" t="str">
        <f>Water_emissions!CW359</f>
        <v>w_MOLYBDENU_M</v>
      </c>
      <c r="D618" s="341"/>
      <c r="E618" s="368">
        <f>HLOOKUP($C622,Water_emissions!$E$16:$CQ$32,4,FALSE)</f>
        <v>0</v>
      </c>
      <c r="F618" s="368">
        <f>HLOOKUP($C622,Water_emissions!$E$16:$CQ$32,9,FALSE)</f>
        <v>0</v>
      </c>
      <c r="G618" s="368">
        <f>HLOOKUP($C622,Water_emissions!$E$16:$CQ$32,14,FALSE)</f>
        <v>0</v>
      </c>
      <c r="H618" s="344" t="s">
        <v>1085</v>
      </c>
      <c r="I618" s="342" t="s">
        <v>2233</v>
      </c>
      <c r="J618" s="418" t="str">
        <f>Water_emissions!CY359</f>
        <v>[kg/bbl] kg of MOLYBDENUM TRIOXIDE emissions to water per bbl of crude throughput - Med Complexity</v>
      </c>
      <c r="K618" s="419"/>
      <c r="L618" s="419"/>
      <c r="M618" s="419"/>
      <c r="N618" s="419"/>
      <c r="O618" s="419"/>
      <c r="P618" s="420"/>
      <c r="Q618" s="2"/>
      <c r="R618" s="2"/>
      <c r="S618" s="2"/>
      <c r="T618" s="2"/>
      <c r="U618" s="2"/>
      <c r="V618" s="2"/>
      <c r="W618" s="2"/>
      <c r="X618" s="2"/>
      <c r="Y618" s="2"/>
    </row>
    <row r="619" spans="1:25" x14ac:dyDescent="0.25">
      <c r="A619" s="2"/>
      <c r="B619" s="17">
        <f t="shared" si="35"/>
        <v>15</v>
      </c>
      <c r="C619" s="340" t="str">
        <f>Water_emissions!CW360</f>
        <v>w_MOLYBDENU_HiH</v>
      </c>
      <c r="D619" s="341"/>
      <c r="E619" s="368">
        <f>HLOOKUP($C622,Water_emissions!$E$16:$CQ$32,5,FALSE)</f>
        <v>0.22096634916803815</v>
      </c>
      <c r="F619" s="368">
        <f>HLOOKUP($C622,Water_emissions!$E$16:$CQ$32,10,FALSE)</f>
        <v>0</v>
      </c>
      <c r="G619" s="368">
        <f>HLOOKUP($C622,Water_emissions!$E$16:$CQ$32,15,FALSE)</f>
        <v>0.44193269833607629</v>
      </c>
      <c r="H619" s="344" t="s">
        <v>1085</v>
      </c>
      <c r="I619" s="342" t="s">
        <v>2233</v>
      </c>
      <c r="J619" s="418" t="str">
        <f>Water_emissions!CY360</f>
        <v>[kg/bbl] kg of MOLYBDENUM TRIOXIDE emissions to water per bbl of crude throughput - High Complexity Hydro Cracking</v>
      </c>
      <c r="K619" s="419"/>
      <c r="L619" s="419"/>
      <c r="M619" s="419"/>
      <c r="N619" s="419"/>
      <c r="O619" s="419"/>
      <c r="P619" s="420"/>
      <c r="Q619" s="2"/>
      <c r="R619" s="2"/>
      <c r="S619" s="2"/>
      <c r="T619" s="2"/>
      <c r="U619" s="2"/>
      <c r="V619" s="2"/>
      <c r="W619" s="2"/>
      <c r="X619" s="2"/>
      <c r="Y619" s="2"/>
    </row>
    <row r="620" spans="1:25" x14ac:dyDescent="0.25">
      <c r="A620" s="2"/>
      <c r="B620" s="17">
        <f t="shared" si="35"/>
        <v>15</v>
      </c>
      <c r="C620" s="340" t="str">
        <f>Water_emissions!CW361</f>
        <v>w_MOLYBDENU_HiC</v>
      </c>
      <c r="D620" s="341"/>
      <c r="E620" s="368">
        <f>HLOOKUP($C622,Water_emissions!$E$16:$CQ$32,6,FALSE)</f>
        <v>0.38883154464498643</v>
      </c>
      <c r="F620" s="368">
        <f>HLOOKUP($C622,Water_emissions!$E$16:$CQ$32,11,FALSE)</f>
        <v>0</v>
      </c>
      <c r="G620" s="368">
        <f>HLOOKUP($C622,Water_emissions!$E$16:$CQ$32,16,FALSE)</f>
        <v>1.2263919548687761</v>
      </c>
      <c r="H620" s="344" t="s">
        <v>1085</v>
      </c>
      <c r="I620" s="342" t="s">
        <v>2233</v>
      </c>
      <c r="J620" s="418" t="str">
        <f>Water_emissions!CY361</f>
        <v>[kg/bbl] kg of MOLYBDENUM TRIOXIDE emissions to water per bbl of crude throughput - High Complexity Coking</v>
      </c>
      <c r="K620" s="419"/>
      <c r="L620" s="419"/>
      <c r="M620" s="419"/>
      <c r="N620" s="419"/>
      <c r="O620" s="419"/>
      <c r="P620" s="420"/>
      <c r="Q620" s="2"/>
      <c r="R620" s="2"/>
      <c r="S620" s="2"/>
      <c r="T620" s="2"/>
      <c r="U620" s="2"/>
      <c r="V620" s="2"/>
      <c r="W620" s="2"/>
      <c r="X620" s="2"/>
      <c r="Y620" s="2"/>
    </row>
    <row r="621" spans="1:25" x14ac:dyDescent="0.25">
      <c r="A621" s="2"/>
      <c r="B621" s="17">
        <f t="shared" si="35"/>
        <v>15</v>
      </c>
      <c r="C621" s="340" t="str">
        <f>Water_emissions!CW362</f>
        <v>w_MOLYBDENU_HiB</v>
      </c>
      <c r="D621" s="341"/>
      <c r="E621" s="368">
        <f>HLOOKUP($C622,Water_emissions!$E$16:$CQ$32,7,FALSE)</f>
        <v>0.14858629940369114</v>
      </c>
      <c r="F621" s="368">
        <f>HLOOKUP($C622,Water_emissions!$E$16:$CQ$32,12,FALSE)</f>
        <v>0</v>
      </c>
      <c r="G621" s="368">
        <f>HLOOKUP($C622,Water_emissions!$E$16:$CQ$32,17,FALSE)</f>
        <v>0.71237862623069392</v>
      </c>
      <c r="H621" s="344" t="s">
        <v>1085</v>
      </c>
      <c r="I621" s="342" t="s">
        <v>2233</v>
      </c>
      <c r="J621" s="418" t="str">
        <f>Water_emissions!CY362</f>
        <v>[kg/bbl] kg of MOLYBDENUM TRIOXIDE emissions to water per bbl of crude throughput - High Complexity Hydro Cracking and Coking</v>
      </c>
      <c r="K621" s="419"/>
      <c r="L621" s="419"/>
      <c r="M621" s="419"/>
      <c r="N621" s="419"/>
      <c r="O621" s="419"/>
      <c r="P621" s="420"/>
      <c r="Q621" s="2"/>
      <c r="R621" s="2"/>
      <c r="S621" s="2"/>
      <c r="T621" s="2"/>
      <c r="U621" s="2"/>
      <c r="V621" s="2"/>
      <c r="W621" s="2"/>
      <c r="X621" s="2"/>
      <c r="Y621" s="2"/>
    </row>
    <row r="622" spans="1:25" ht="39" x14ac:dyDescent="0.25">
      <c r="A622" s="2"/>
      <c r="B622" s="17">
        <f t="shared" si="35"/>
        <v>11</v>
      </c>
      <c r="C622" s="340" t="str">
        <f>Water_emissions!CW363</f>
        <v>w_MOLYBDENU</v>
      </c>
      <c r="D622" s="39" t="str">
        <f>"IF(NC=0;"&amp;C617&amp;";IF(NC=1;"&amp;C618&amp;";IF(NC=2;"&amp;C619&amp;";IF(NC=3;"&amp;C620&amp;";"&amp;C621&amp;"))))/"&amp;$C$27</f>
        <v>IF(NC=0;w_MOLYBDENU_L;IF(NC=1;w_MOLYBDENU_M;IF(NC=2;w_MOLYBDENU_HiH;IF(NC=3;w_MOLYBDENU_HiC;w_MOLYBDENU_HiB))))/Density_oil</v>
      </c>
      <c r="E622" s="68">
        <f>IF($E$24=0,E617,IF($E$24=1,E618,IF($E$24=2,E619,IF($E$24=3,E620,E621))))/$E$27</f>
        <v>1.071365188434365E-3</v>
      </c>
      <c r="F622" s="342"/>
      <c r="G622" s="343"/>
      <c r="H622" s="344" t="s">
        <v>489</v>
      </c>
      <c r="I622" s="342" t="s">
        <v>2233</v>
      </c>
      <c r="J622" s="418" t="str">
        <f>Water_emissions!CY363</f>
        <v>[kg/bbl] kg of MOLYBDENUM TRIOXIDE emissions to water per bbl of crude throughput</v>
      </c>
      <c r="K622" s="419"/>
      <c r="L622" s="419"/>
      <c r="M622" s="419"/>
      <c r="N622" s="419"/>
      <c r="O622" s="419"/>
      <c r="P622" s="420"/>
      <c r="Q622" s="2"/>
      <c r="R622" s="2"/>
      <c r="S622" s="2"/>
      <c r="T622" s="2"/>
      <c r="U622" s="2"/>
      <c r="V622" s="2"/>
      <c r="W622" s="2"/>
      <c r="X622" s="2"/>
      <c r="Y622" s="2"/>
    </row>
    <row r="623" spans="1:25" x14ac:dyDescent="0.25">
      <c r="A623" s="2"/>
      <c r="B623" s="17">
        <f t="shared" si="35"/>
        <v>11</v>
      </c>
      <c r="C623" s="340" t="str">
        <f>Water_emissions!CW364</f>
        <v>w_MXYLENE_L</v>
      </c>
      <c r="D623" s="341"/>
      <c r="E623" s="368">
        <f>HLOOKUP($C628,Water_emissions!$E$16:$CQ$32,3,FALSE)</f>
        <v>8.2781456953642373E-3</v>
      </c>
      <c r="F623" s="368">
        <f>HLOOKUP($C628,Water_emissions!$E$16:$CQ$32,8,FALSE)</f>
        <v>0</v>
      </c>
      <c r="G623" s="368">
        <f>HLOOKUP($C628,Water_emissions!$E$16:$CQ$32,13,FALSE)</f>
        <v>1.6556291390728475E-2</v>
      </c>
      <c r="H623" s="344" t="s">
        <v>1085</v>
      </c>
      <c r="I623" s="342" t="s">
        <v>2233</v>
      </c>
      <c r="J623" s="418" t="str">
        <f>Water_emissions!CY364</f>
        <v>[kg/bbl] kg of M-XYLENE emissions to water per bbl of crude throughput - Low Complexity</v>
      </c>
      <c r="K623" s="419"/>
      <c r="L623" s="419"/>
      <c r="M623" s="419"/>
      <c r="N623" s="419"/>
      <c r="O623" s="419"/>
      <c r="P623" s="420"/>
      <c r="Q623" s="2"/>
      <c r="R623" s="2"/>
      <c r="S623" s="2"/>
      <c r="T623" s="2"/>
      <c r="U623" s="2"/>
      <c r="V623" s="2"/>
      <c r="W623" s="2"/>
      <c r="X623" s="2"/>
      <c r="Y623" s="2"/>
    </row>
    <row r="624" spans="1:25" x14ac:dyDescent="0.25">
      <c r="A624" s="2"/>
      <c r="B624" s="17">
        <f t="shared" si="35"/>
        <v>11</v>
      </c>
      <c r="C624" s="340" t="str">
        <f>Water_emissions!CW365</f>
        <v>w_MXYLENE_M</v>
      </c>
      <c r="D624" s="341"/>
      <c r="E624" s="368">
        <f>HLOOKUP($C628,Water_emissions!$E$16:$CQ$32,4,FALSE)</f>
        <v>8.2781456953642373E-3</v>
      </c>
      <c r="F624" s="368">
        <f>HLOOKUP($C628,Water_emissions!$E$16:$CQ$32,9,FALSE)</f>
        <v>0</v>
      </c>
      <c r="G624" s="368">
        <f>HLOOKUP($C628,Water_emissions!$E$16:$CQ$32,14,FALSE)</f>
        <v>1.6556291390728475E-2</v>
      </c>
      <c r="H624" s="344" t="s">
        <v>1085</v>
      </c>
      <c r="I624" s="342" t="s">
        <v>2233</v>
      </c>
      <c r="J624" s="418" t="str">
        <f>Water_emissions!CY365</f>
        <v>[kg/bbl] kg of M-XYLENE emissions to water per bbl of crude throughput - Med Complexity</v>
      </c>
      <c r="K624" s="419"/>
      <c r="L624" s="419"/>
      <c r="M624" s="419"/>
      <c r="N624" s="419"/>
      <c r="O624" s="419"/>
      <c r="P624" s="420"/>
      <c r="Q624" s="2"/>
      <c r="R624" s="2"/>
      <c r="S624" s="2"/>
      <c r="T624" s="2"/>
      <c r="U624" s="2"/>
      <c r="V624" s="2"/>
      <c r="W624" s="2"/>
      <c r="X624" s="2"/>
      <c r="Y624" s="2"/>
    </row>
    <row r="625" spans="1:25" x14ac:dyDescent="0.25">
      <c r="A625" s="2"/>
      <c r="B625" s="17">
        <f t="shared" si="35"/>
        <v>13</v>
      </c>
      <c r="C625" s="340" t="str">
        <f>Water_emissions!CW366</f>
        <v>w_MXYLENE_HiH</v>
      </c>
      <c r="D625" s="341"/>
      <c r="E625" s="368">
        <f>HLOOKUP($C628,Water_emissions!$E$16:$CQ$32,5,FALSE)</f>
        <v>8.2781456953642373E-3</v>
      </c>
      <c r="F625" s="368">
        <f>HLOOKUP($C628,Water_emissions!$E$16:$CQ$32,10,FALSE)</f>
        <v>0</v>
      </c>
      <c r="G625" s="368">
        <f>HLOOKUP($C628,Water_emissions!$E$16:$CQ$32,15,FALSE)</f>
        <v>1.6556291390728475E-2</v>
      </c>
      <c r="H625" s="344" t="s">
        <v>1085</v>
      </c>
      <c r="I625" s="342" t="s">
        <v>2233</v>
      </c>
      <c r="J625" s="418" t="str">
        <f>Water_emissions!CY366</f>
        <v>[kg/bbl] kg of M-XYLENE emissions to water per bbl of crude throughput - High Complexity Hydro Cracking</v>
      </c>
      <c r="K625" s="419"/>
      <c r="L625" s="419"/>
      <c r="M625" s="419"/>
      <c r="N625" s="419"/>
      <c r="O625" s="419"/>
      <c r="P625" s="420"/>
      <c r="Q625" s="2"/>
      <c r="R625" s="2"/>
      <c r="S625" s="2"/>
      <c r="T625" s="2"/>
      <c r="U625" s="2"/>
      <c r="V625" s="2"/>
      <c r="W625" s="2"/>
      <c r="X625" s="2"/>
      <c r="Y625" s="2"/>
    </row>
    <row r="626" spans="1:25" x14ac:dyDescent="0.25">
      <c r="A626" s="2"/>
      <c r="B626" s="17">
        <f t="shared" si="35"/>
        <v>13</v>
      </c>
      <c r="C626" s="340" t="str">
        <f>Water_emissions!CW367</f>
        <v>w_MXYLENE_HiC</v>
      </c>
      <c r="D626" s="341"/>
      <c r="E626" s="368">
        <f>HLOOKUP($C628,Water_emissions!$E$16:$CQ$32,6,FALSE)</f>
        <v>0</v>
      </c>
      <c r="F626" s="368">
        <f>HLOOKUP($C628,Water_emissions!$E$16:$CQ$32,11,FALSE)</f>
        <v>0</v>
      </c>
      <c r="G626" s="368">
        <f>HLOOKUP($C628,Water_emissions!$E$16:$CQ$32,16,FALSE)</f>
        <v>0</v>
      </c>
      <c r="H626" s="344" t="s">
        <v>1085</v>
      </c>
      <c r="I626" s="342" t="s">
        <v>2233</v>
      </c>
      <c r="J626" s="418" t="str">
        <f>Water_emissions!CY367</f>
        <v>[kg/bbl] kg of M-XYLENE emissions to water per bbl of crude throughput - High Complexity Coking</v>
      </c>
      <c r="K626" s="419"/>
      <c r="L626" s="419"/>
      <c r="M626" s="419"/>
      <c r="N626" s="419"/>
      <c r="O626" s="419"/>
      <c r="P626" s="420"/>
      <c r="Q626" s="2"/>
      <c r="R626" s="2"/>
      <c r="S626" s="2"/>
      <c r="T626" s="2"/>
      <c r="U626" s="2"/>
      <c r="V626" s="2"/>
      <c r="W626" s="2"/>
      <c r="X626" s="2"/>
      <c r="Y626" s="2"/>
    </row>
    <row r="627" spans="1:25" x14ac:dyDescent="0.25">
      <c r="A627" s="2"/>
      <c r="B627" s="17">
        <f t="shared" si="35"/>
        <v>13</v>
      </c>
      <c r="C627" s="340" t="str">
        <f>Water_emissions!CW368</f>
        <v>w_MXYLENE_HiB</v>
      </c>
      <c r="D627" s="341"/>
      <c r="E627" s="368">
        <f>HLOOKUP($C628,Water_emissions!$E$16:$CQ$32,7,FALSE)</f>
        <v>1.6556291390728475E-2</v>
      </c>
      <c r="F627" s="368">
        <f>HLOOKUP($C628,Water_emissions!$E$16:$CQ$32,12,FALSE)</f>
        <v>1.6556291390728475E-2</v>
      </c>
      <c r="G627" s="368">
        <f>HLOOKUP($C628,Water_emissions!$E$16:$CQ$32,17,FALSE)</f>
        <v>1.6556291390728475E-2</v>
      </c>
      <c r="H627" s="344" t="s">
        <v>1085</v>
      </c>
      <c r="I627" s="342" t="s">
        <v>2233</v>
      </c>
      <c r="J627" s="418" t="str">
        <f>Water_emissions!CY368</f>
        <v>[kg/bbl] kg of M-XYLENE emissions to water per bbl of crude throughput - High Complexity Hydro Cracking and Coking</v>
      </c>
      <c r="K627" s="419"/>
      <c r="L627" s="419"/>
      <c r="M627" s="419"/>
      <c r="N627" s="419"/>
      <c r="O627" s="419"/>
      <c r="P627" s="420"/>
      <c r="Q627" s="2"/>
      <c r="R627" s="2"/>
      <c r="S627" s="2"/>
      <c r="T627" s="2"/>
      <c r="U627" s="2"/>
      <c r="V627" s="2"/>
      <c r="W627" s="2"/>
      <c r="X627" s="2"/>
      <c r="Y627" s="2"/>
    </row>
    <row r="628" spans="1:25" ht="39" x14ac:dyDescent="0.25">
      <c r="A628" s="2"/>
      <c r="B628" s="17">
        <f t="shared" si="35"/>
        <v>9</v>
      </c>
      <c r="C628" s="340" t="str">
        <f>Water_emissions!CW369</f>
        <v>w_MXYLENE</v>
      </c>
      <c r="D628" s="39" t="str">
        <f>"IF(NC=0;"&amp;C623&amp;";IF(NC=1;"&amp;C624&amp;";IF(NC=2;"&amp;C625&amp;";IF(NC=3;"&amp;C626&amp;";"&amp;C627&amp;"))))/"&amp;$C$27</f>
        <v>IF(NC=0;w_MXYLENE_L;IF(NC=1;w_MXYLENE_M;IF(NC=2;w_MXYLENE_HiH;IF(NC=3;w_MXYLENE_HiC;w_MXYLENE_HiB))))/Density_oil</v>
      </c>
      <c r="E628" s="68">
        <f>IF($E$24=0,E623,IF($E$24=1,E624,IF($E$24=2,E625,IF($E$24=3,E626,E627))))/$E$27</f>
        <v>1.1937732022930661E-4</v>
      </c>
      <c r="F628" s="342"/>
      <c r="G628" s="343"/>
      <c r="H628" s="344" t="s">
        <v>489</v>
      </c>
      <c r="I628" s="342" t="s">
        <v>2233</v>
      </c>
      <c r="J628" s="418" t="str">
        <f>Water_emissions!CY369</f>
        <v>[kg/bbl] kg of M-XYLENE emissions to water per bbl of crude throughput</v>
      </c>
      <c r="K628" s="419"/>
      <c r="L628" s="419"/>
      <c r="M628" s="419"/>
      <c r="N628" s="419"/>
      <c r="O628" s="419"/>
      <c r="P628" s="420"/>
      <c r="Q628" s="2"/>
      <c r="R628" s="2"/>
      <c r="S628" s="2"/>
      <c r="T628" s="2"/>
      <c r="U628" s="2"/>
      <c r="V628" s="2"/>
      <c r="W628" s="2"/>
      <c r="X628" s="2"/>
      <c r="Y628" s="2"/>
    </row>
    <row r="629" spans="1:25" x14ac:dyDescent="0.25">
      <c r="A629" s="2"/>
      <c r="B629" s="17">
        <f t="shared" si="35"/>
        <v>13</v>
      </c>
      <c r="C629" s="340" t="str">
        <f>Water_emissions!CW370</f>
        <v>w_NNDIMETHY_L</v>
      </c>
      <c r="D629" s="341"/>
      <c r="E629" s="368">
        <f>HLOOKUP($C634,Water_emissions!$E$16:$CQ$32,3,FALSE)</f>
        <v>0</v>
      </c>
      <c r="F629" s="368">
        <f>HLOOKUP($C634,Water_emissions!$E$16:$CQ$32,8,FALSE)</f>
        <v>0</v>
      </c>
      <c r="G629" s="368">
        <f>HLOOKUP($C634,Water_emissions!$E$16:$CQ$32,13,FALSE)</f>
        <v>0</v>
      </c>
      <c r="H629" s="344" t="s">
        <v>1085</v>
      </c>
      <c r="I629" s="342" t="s">
        <v>2233</v>
      </c>
      <c r="J629" s="418" t="str">
        <f>Water_emissions!CY370</f>
        <v>[kg/bbl] kg of N,N'-DIMETHYLFORMAMIDE emissions to water per bbl of crude throughput - Low Complexity</v>
      </c>
      <c r="K629" s="419"/>
      <c r="L629" s="419"/>
      <c r="M629" s="419"/>
      <c r="N629" s="419"/>
      <c r="O629" s="419"/>
      <c r="P629" s="420"/>
      <c r="Q629" s="2"/>
      <c r="R629" s="2"/>
      <c r="S629" s="2"/>
      <c r="T629" s="2"/>
      <c r="U629" s="2"/>
      <c r="V629" s="2"/>
      <c r="W629" s="2"/>
      <c r="X629" s="2"/>
      <c r="Y629" s="2"/>
    </row>
    <row r="630" spans="1:25" x14ac:dyDescent="0.25">
      <c r="A630" s="2"/>
      <c r="B630" s="17">
        <f t="shared" si="35"/>
        <v>13</v>
      </c>
      <c r="C630" s="340" t="str">
        <f>Water_emissions!CW371</f>
        <v>w_NNDIMETHY_M</v>
      </c>
      <c r="D630" s="341"/>
      <c r="E630" s="368">
        <f>HLOOKUP($C634,Water_emissions!$E$16:$CQ$32,4,FALSE)</f>
        <v>0</v>
      </c>
      <c r="F630" s="368">
        <f>HLOOKUP($C634,Water_emissions!$E$16:$CQ$32,9,FALSE)</f>
        <v>0</v>
      </c>
      <c r="G630" s="368">
        <f>HLOOKUP($C634,Water_emissions!$E$16:$CQ$32,14,FALSE)</f>
        <v>0</v>
      </c>
      <c r="H630" s="344" t="s">
        <v>1085</v>
      </c>
      <c r="I630" s="342" t="s">
        <v>2233</v>
      </c>
      <c r="J630" s="418" t="str">
        <f>Water_emissions!CY371</f>
        <v>[kg/bbl] kg of N,N'-DIMETHYLFORMAMIDE emissions to water per bbl of crude throughput - Med Complexity</v>
      </c>
      <c r="K630" s="419"/>
      <c r="L630" s="419"/>
      <c r="M630" s="419"/>
      <c r="N630" s="419"/>
      <c r="O630" s="419"/>
      <c r="P630" s="420"/>
      <c r="Q630" s="2"/>
      <c r="R630" s="2"/>
      <c r="S630" s="2"/>
      <c r="T630" s="2"/>
      <c r="U630" s="2"/>
      <c r="V630" s="2"/>
      <c r="W630" s="2"/>
      <c r="X630" s="2"/>
      <c r="Y630" s="2"/>
    </row>
    <row r="631" spans="1:25" x14ac:dyDescent="0.25">
      <c r="A631" s="2"/>
      <c r="B631" s="17">
        <f t="shared" si="35"/>
        <v>15</v>
      </c>
      <c r="C631" s="340" t="str">
        <f>Water_emissions!CW372</f>
        <v>w_NNDIMETHY_HiH</v>
      </c>
      <c r="D631" s="341"/>
      <c r="E631" s="368">
        <f>HLOOKUP($C634,Water_emissions!$E$16:$CQ$32,5,FALSE)</f>
        <v>0</v>
      </c>
      <c r="F631" s="368">
        <f>HLOOKUP($C634,Water_emissions!$E$16:$CQ$32,10,FALSE)</f>
        <v>0</v>
      </c>
      <c r="G631" s="368">
        <f>HLOOKUP($C634,Water_emissions!$E$16:$CQ$32,15,FALSE)</f>
        <v>0</v>
      </c>
      <c r="H631" s="344" t="s">
        <v>1085</v>
      </c>
      <c r="I631" s="342" t="s">
        <v>2233</v>
      </c>
      <c r="J631" s="418" t="str">
        <f>Water_emissions!CY372</f>
        <v>[kg/bbl] kg of N,N'-DIMETHYLFORMAMIDE emissions to water per bbl of crude throughput - High Complexity Hydro Cracking</v>
      </c>
      <c r="K631" s="419"/>
      <c r="L631" s="419"/>
      <c r="M631" s="419"/>
      <c r="N631" s="419"/>
      <c r="O631" s="419"/>
      <c r="P631" s="420"/>
      <c r="Q631" s="2"/>
      <c r="R631" s="2"/>
      <c r="S631" s="2"/>
      <c r="T631" s="2"/>
      <c r="U631" s="2"/>
      <c r="V631" s="2"/>
      <c r="W631" s="2"/>
      <c r="X631" s="2"/>
      <c r="Y631" s="2"/>
    </row>
    <row r="632" spans="1:25" x14ac:dyDescent="0.25">
      <c r="A632" s="2"/>
      <c r="B632" s="17">
        <f t="shared" si="35"/>
        <v>15</v>
      </c>
      <c r="C632" s="340" t="str">
        <f>Water_emissions!CW373</f>
        <v>w_NNDIMETHY_HiC</v>
      </c>
      <c r="D632" s="341"/>
      <c r="E632" s="368">
        <f>HLOOKUP($C634,Water_emissions!$E$16:$CQ$32,6,FALSE)</f>
        <v>0</v>
      </c>
      <c r="F632" s="368">
        <f>HLOOKUP($C634,Water_emissions!$E$16:$CQ$32,11,FALSE)</f>
        <v>0</v>
      </c>
      <c r="G632" s="368">
        <f>HLOOKUP($C634,Water_emissions!$E$16:$CQ$32,16,FALSE)</f>
        <v>0</v>
      </c>
      <c r="H632" s="344" t="s">
        <v>1085</v>
      </c>
      <c r="I632" s="342" t="s">
        <v>2233</v>
      </c>
      <c r="J632" s="418" t="str">
        <f>Water_emissions!CY373</f>
        <v>[kg/bbl] kg of N,N'-DIMETHYLFORMAMIDE emissions to water per bbl of crude throughput - High Complexity Coking</v>
      </c>
      <c r="K632" s="419"/>
      <c r="L632" s="419"/>
      <c r="M632" s="419"/>
      <c r="N632" s="419"/>
      <c r="O632" s="419"/>
      <c r="P632" s="420"/>
      <c r="Q632" s="2"/>
      <c r="R632" s="2"/>
      <c r="S632" s="2"/>
      <c r="T632" s="2"/>
      <c r="U632" s="2"/>
      <c r="V632" s="2"/>
      <c r="W632" s="2"/>
      <c r="X632" s="2"/>
      <c r="Y632" s="2"/>
    </row>
    <row r="633" spans="1:25" x14ac:dyDescent="0.25">
      <c r="A633" s="2"/>
      <c r="B633" s="17">
        <f t="shared" si="35"/>
        <v>15</v>
      </c>
      <c r="C633" s="340" t="str">
        <f>Water_emissions!CW374</f>
        <v>w_NNDIMETHY_HiB</v>
      </c>
      <c r="D633" s="341"/>
      <c r="E633" s="368">
        <f>HLOOKUP($C634,Water_emissions!$E$16:$CQ$32,7,FALSE)</f>
        <v>0</v>
      </c>
      <c r="F633" s="368">
        <f>HLOOKUP($C634,Water_emissions!$E$16:$CQ$32,12,FALSE)</f>
        <v>0</v>
      </c>
      <c r="G633" s="368">
        <f>HLOOKUP($C634,Water_emissions!$E$16:$CQ$32,17,FALSE)</f>
        <v>0</v>
      </c>
      <c r="H633" s="344" t="s">
        <v>1085</v>
      </c>
      <c r="I633" s="342" t="s">
        <v>2233</v>
      </c>
      <c r="J633" s="418" t="str">
        <f>Water_emissions!CY374</f>
        <v>[kg/bbl] kg of N,N'-DIMETHYLFORMAMIDE emissions to water per bbl of crude throughput - High Complexity Hydro Cracking and Coking</v>
      </c>
      <c r="K633" s="419"/>
      <c r="L633" s="419"/>
      <c r="M633" s="419"/>
      <c r="N633" s="419"/>
      <c r="O633" s="419"/>
      <c r="P633" s="420"/>
      <c r="Q633" s="2"/>
      <c r="R633" s="2"/>
      <c r="S633" s="2"/>
      <c r="T633" s="2"/>
      <c r="U633" s="2"/>
      <c r="V633" s="2"/>
      <c r="W633" s="2"/>
      <c r="X633" s="2"/>
      <c r="Y633" s="2"/>
    </row>
    <row r="634" spans="1:25" ht="39" x14ac:dyDescent="0.25">
      <c r="A634" s="2"/>
      <c r="B634" s="17">
        <f t="shared" si="35"/>
        <v>11</v>
      </c>
      <c r="C634" s="340" t="str">
        <f>Water_emissions!CW375</f>
        <v>w_NNDIMETHY</v>
      </c>
      <c r="D634" s="39" t="str">
        <f>"IF(NC=0;"&amp;C629&amp;";IF(NC=1;"&amp;C630&amp;";IF(NC=2;"&amp;C631&amp;";IF(NC=3;"&amp;C632&amp;";"&amp;C633&amp;"))))/"&amp;$C$27</f>
        <v>IF(NC=0;w_NNDIMETHY_L;IF(NC=1;w_NNDIMETHY_M;IF(NC=2;w_NNDIMETHY_HiH;IF(NC=3;w_NNDIMETHY_HiC;w_NNDIMETHY_HiB))))/Density_oil</v>
      </c>
      <c r="E634" s="68">
        <f>IF($E$24=0,E629,IF($E$24=1,E630,IF($E$24=2,E631,IF($E$24=3,E632,E633))))/$E$27</f>
        <v>0</v>
      </c>
      <c r="F634" s="342"/>
      <c r="G634" s="343"/>
      <c r="H634" s="344" t="s">
        <v>489</v>
      </c>
      <c r="I634" s="342" t="s">
        <v>2233</v>
      </c>
      <c r="J634" s="418" t="str">
        <f>Water_emissions!CY375</f>
        <v>[kg/bbl] kg of N,N'-DIMETHYLFORMAMIDE emissions to water per bbl of crude throughput</v>
      </c>
      <c r="K634" s="419"/>
      <c r="L634" s="419"/>
      <c r="M634" s="419"/>
      <c r="N634" s="419"/>
      <c r="O634" s="419"/>
      <c r="P634" s="420"/>
      <c r="Q634" s="2"/>
      <c r="R634" s="2"/>
      <c r="S634" s="2"/>
      <c r="T634" s="2"/>
      <c r="U634" s="2"/>
      <c r="V634" s="2"/>
      <c r="W634" s="2"/>
      <c r="X634" s="2"/>
      <c r="Y634" s="2"/>
    </row>
    <row r="635" spans="1:25" x14ac:dyDescent="0.25">
      <c r="A635" s="2"/>
      <c r="B635" s="17">
        <f t="shared" si="35"/>
        <v>13</v>
      </c>
      <c r="C635" s="340" t="str">
        <f>Water_emissions!CW376</f>
        <v>w_NAPHTHALE_L</v>
      </c>
      <c r="D635" s="341"/>
      <c r="E635" s="368">
        <f>HLOOKUP($C640,Water_emissions!$E$16:$CQ$32,3,FALSE)</f>
        <v>1.0343645241747903E-2</v>
      </c>
      <c r="F635" s="368">
        <f>HLOOKUP($C640,Water_emissions!$E$16:$CQ$32,8,FALSE)</f>
        <v>0</v>
      </c>
      <c r="G635" s="368">
        <f>HLOOKUP($C640,Water_emissions!$E$16:$CQ$32,13,FALSE)</f>
        <v>5.1634641310410574E-2</v>
      </c>
      <c r="H635" s="344" t="s">
        <v>1085</v>
      </c>
      <c r="I635" s="342" t="s">
        <v>2233</v>
      </c>
      <c r="J635" s="418" t="str">
        <f>Water_emissions!CY376</f>
        <v>[kg/bbl] kg of NAPHTHALENE emissions to water per bbl of crude throughput - Low Complexity</v>
      </c>
      <c r="K635" s="419"/>
      <c r="L635" s="419"/>
      <c r="M635" s="419"/>
      <c r="N635" s="419"/>
      <c r="O635" s="419"/>
      <c r="P635" s="420"/>
      <c r="Q635" s="2"/>
      <c r="R635" s="2"/>
      <c r="S635" s="2"/>
      <c r="T635" s="2"/>
      <c r="U635" s="2"/>
      <c r="V635" s="2"/>
      <c r="W635" s="2"/>
      <c r="X635" s="2"/>
      <c r="Y635" s="2"/>
    </row>
    <row r="636" spans="1:25" x14ac:dyDescent="0.25">
      <c r="A636" s="2"/>
      <c r="B636" s="17">
        <f t="shared" si="35"/>
        <v>13</v>
      </c>
      <c r="C636" s="340" t="str">
        <f>Water_emissions!CW377</f>
        <v>w_NAPHTHALE_M</v>
      </c>
      <c r="D636" s="341"/>
      <c r="E636" s="368">
        <f>HLOOKUP($C640,Water_emissions!$E$16:$CQ$32,4,FALSE)</f>
        <v>3.1756239028124758E-2</v>
      </c>
      <c r="F636" s="368">
        <f>HLOOKUP($C640,Water_emissions!$E$16:$CQ$32,9,FALSE)</f>
        <v>0</v>
      </c>
      <c r="G636" s="368">
        <f>HLOOKUP($C640,Water_emissions!$E$16:$CQ$32,14,FALSE)</f>
        <v>0.15156882107993774</v>
      </c>
      <c r="H636" s="344" t="s">
        <v>1085</v>
      </c>
      <c r="I636" s="342" t="s">
        <v>2233</v>
      </c>
      <c r="J636" s="418" t="str">
        <f>Water_emissions!CY377</f>
        <v>[kg/bbl] kg of NAPHTHALENE emissions to water per bbl of crude throughput - Med Complexity</v>
      </c>
      <c r="K636" s="419"/>
      <c r="L636" s="419"/>
      <c r="M636" s="419"/>
      <c r="N636" s="419"/>
      <c r="O636" s="419"/>
      <c r="P636" s="420"/>
      <c r="Q636" s="2"/>
      <c r="R636" s="2"/>
      <c r="S636" s="2"/>
      <c r="T636" s="2"/>
      <c r="U636" s="2"/>
      <c r="V636" s="2"/>
      <c r="W636" s="2"/>
      <c r="X636" s="2"/>
      <c r="Y636" s="2"/>
    </row>
    <row r="637" spans="1:25" x14ac:dyDescent="0.25">
      <c r="A637" s="2"/>
      <c r="B637" s="17">
        <f t="shared" si="35"/>
        <v>15</v>
      </c>
      <c r="C637" s="340" t="str">
        <f>Water_emissions!CW378</f>
        <v>w_NAPHTHALE_HiH</v>
      </c>
      <c r="D637" s="341"/>
      <c r="E637" s="368">
        <f>HLOOKUP($C640,Water_emissions!$E$16:$CQ$32,5,FALSE)</f>
        <v>5.1360770343088094E-3</v>
      </c>
      <c r="F637" s="368">
        <f>HLOOKUP($C640,Water_emissions!$E$16:$CQ$32,10,FALSE)</f>
        <v>0</v>
      </c>
      <c r="G637" s="368">
        <f>HLOOKUP($C640,Water_emissions!$E$16:$CQ$32,15,FALSE)</f>
        <v>1.2529085376767496E-2</v>
      </c>
      <c r="H637" s="344" t="s">
        <v>1085</v>
      </c>
      <c r="I637" s="342" t="s">
        <v>2233</v>
      </c>
      <c r="J637" s="418" t="str">
        <f>Water_emissions!CY378</f>
        <v>[kg/bbl] kg of NAPHTHALENE emissions to water per bbl of crude throughput - High Complexity Hydro Cracking</v>
      </c>
      <c r="K637" s="419"/>
      <c r="L637" s="419"/>
      <c r="M637" s="419"/>
      <c r="N637" s="419"/>
      <c r="O637" s="419"/>
      <c r="P637" s="420"/>
      <c r="Q637" s="2"/>
      <c r="R637" s="2"/>
      <c r="S637" s="2"/>
      <c r="T637" s="2"/>
      <c r="U637" s="2"/>
      <c r="V637" s="2"/>
      <c r="W637" s="2"/>
      <c r="X637" s="2"/>
      <c r="Y637" s="2"/>
    </row>
    <row r="638" spans="1:25" x14ac:dyDescent="0.25">
      <c r="A638" s="2"/>
      <c r="B638" s="17">
        <f t="shared" si="35"/>
        <v>15</v>
      </c>
      <c r="C638" s="340" t="str">
        <f>Water_emissions!CW379</f>
        <v>w_NAPHTHALE_HiC</v>
      </c>
      <c r="D638" s="341"/>
      <c r="E638" s="368">
        <f>HLOOKUP($C640,Water_emissions!$E$16:$CQ$32,6,FALSE)</f>
        <v>1.3266701934533482E-2</v>
      </c>
      <c r="F638" s="368">
        <f>HLOOKUP($C640,Water_emissions!$E$16:$CQ$32,11,FALSE)</f>
        <v>0</v>
      </c>
      <c r="G638" s="368">
        <f>HLOOKUP($C640,Water_emissions!$E$16:$CQ$32,16,FALSE)</f>
        <v>8.7096087241105832E-2</v>
      </c>
      <c r="H638" s="344" t="s">
        <v>1085</v>
      </c>
      <c r="I638" s="342" t="s">
        <v>2233</v>
      </c>
      <c r="J638" s="418" t="str">
        <f>Water_emissions!CY379</f>
        <v>[kg/bbl] kg of NAPHTHALENE emissions to water per bbl of crude throughput - High Complexity Coking</v>
      </c>
      <c r="K638" s="419"/>
      <c r="L638" s="419"/>
      <c r="M638" s="419"/>
      <c r="N638" s="419"/>
      <c r="O638" s="419"/>
      <c r="P638" s="420"/>
      <c r="Q638" s="2"/>
      <c r="R638" s="2"/>
      <c r="S638" s="2"/>
      <c r="T638" s="2"/>
      <c r="U638" s="2"/>
      <c r="V638" s="2"/>
      <c r="W638" s="2"/>
      <c r="X638" s="2"/>
      <c r="Y638" s="2"/>
    </row>
    <row r="639" spans="1:25" x14ac:dyDescent="0.25">
      <c r="A639" s="2"/>
      <c r="B639" s="17">
        <f t="shared" si="35"/>
        <v>15</v>
      </c>
      <c r="C639" s="340" t="str">
        <f>Water_emissions!CW380</f>
        <v>w_NAPHTHALE_HiB</v>
      </c>
      <c r="D639" s="341"/>
      <c r="E639" s="368">
        <f>HLOOKUP($C640,Water_emissions!$E$16:$CQ$32,7,FALSE)</f>
        <v>5.9247560175539025E-3</v>
      </c>
      <c r="F639" s="368">
        <f>HLOOKUP($C640,Water_emissions!$E$16:$CQ$32,12,FALSE)</f>
        <v>0</v>
      </c>
      <c r="G639" s="368">
        <f>HLOOKUP($C640,Water_emissions!$E$16:$CQ$32,17,FALSE)</f>
        <v>5.5152715061748257E-2</v>
      </c>
      <c r="H639" s="344" t="s">
        <v>1085</v>
      </c>
      <c r="I639" s="342" t="s">
        <v>2233</v>
      </c>
      <c r="J639" s="418" t="str">
        <f>Water_emissions!CY380</f>
        <v>[kg/bbl] kg of NAPHTHALENE emissions to water per bbl of crude throughput - High Complexity Hydro Cracking and Coking</v>
      </c>
      <c r="K639" s="419"/>
      <c r="L639" s="419"/>
      <c r="M639" s="419"/>
      <c r="N639" s="419"/>
      <c r="O639" s="419"/>
      <c r="P639" s="420"/>
      <c r="Q639" s="2"/>
      <c r="R639" s="2"/>
      <c r="S639" s="2"/>
      <c r="T639" s="2"/>
      <c r="U639" s="2"/>
      <c r="V639" s="2"/>
      <c r="W639" s="2"/>
      <c r="X639" s="2"/>
      <c r="Y639" s="2"/>
    </row>
    <row r="640" spans="1:25" ht="39" x14ac:dyDescent="0.25">
      <c r="A640" s="2"/>
      <c r="B640" s="17">
        <f t="shared" si="35"/>
        <v>11</v>
      </c>
      <c r="C640" s="340" t="str">
        <f>Water_emissions!CW381</f>
        <v>w_NAPHTHALE</v>
      </c>
      <c r="D640" s="39" t="str">
        <f>"IF(NC=0;"&amp;C635&amp;";IF(NC=1;"&amp;C636&amp;";IF(NC=2;"&amp;C637&amp;";IF(NC=3;"&amp;C638&amp;";"&amp;C639&amp;"))))/"&amp;$C$27</f>
        <v>IF(NC=0;w_NAPHTHALE_L;IF(NC=1;w_NAPHTHALE_M;IF(NC=2;w_NAPHTHALE_HiH;IF(NC=3;w_NAPHTHALE_HiC;w_NAPHTHALE_HiB))))/Density_oil</v>
      </c>
      <c r="E640" s="68">
        <f>IF($E$24=0,E635,IF($E$24=1,E636,IF($E$24=2,E637,IF($E$24=3,E638,E639))))/$E$27</f>
        <v>4.2719802381837834E-5</v>
      </c>
      <c r="F640" s="342"/>
      <c r="G640" s="343"/>
      <c r="H640" s="344" t="s">
        <v>489</v>
      </c>
      <c r="I640" s="342" t="s">
        <v>2233</v>
      </c>
      <c r="J640" s="418" t="str">
        <f>Water_emissions!CY381</f>
        <v>[kg/bbl] kg of NAPHTHALENE emissions to water per bbl of crude throughput</v>
      </c>
      <c r="K640" s="419"/>
      <c r="L640" s="419"/>
      <c r="M640" s="419"/>
      <c r="N640" s="419"/>
      <c r="O640" s="419"/>
      <c r="P640" s="420"/>
      <c r="Q640" s="2"/>
      <c r="R640" s="2"/>
      <c r="S640" s="2"/>
      <c r="T640" s="2"/>
      <c r="U640" s="2"/>
      <c r="V640" s="2"/>
      <c r="W640" s="2"/>
      <c r="X640" s="2"/>
      <c r="Y640" s="2"/>
    </row>
    <row r="641" spans="1:25" x14ac:dyDescent="0.25">
      <c r="A641" s="2"/>
      <c r="B641" s="17">
        <f t="shared" si="35"/>
        <v>11</v>
      </c>
      <c r="C641" s="340" t="str">
        <f>Water_emissions!CW382</f>
        <v>w_NHEXANE_L</v>
      </c>
      <c r="D641" s="341"/>
      <c r="E641" s="368">
        <f>HLOOKUP($C646,Water_emissions!$E$16:$CQ$32,3,FALSE)</f>
        <v>2.641794712954512E-4</v>
      </c>
      <c r="F641" s="368">
        <f>HLOOKUP($C646,Water_emissions!$E$16:$CQ$32,8,FALSE)</f>
        <v>0</v>
      </c>
      <c r="G641" s="368">
        <f>HLOOKUP($C646,Water_emissions!$E$16:$CQ$32,13,FALSE)</f>
        <v>1.8492562990681583E-3</v>
      </c>
      <c r="H641" s="344" t="s">
        <v>1085</v>
      </c>
      <c r="I641" s="342" t="s">
        <v>2233</v>
      </c>
      <c r="J641" s="418" t="str">
        <f>Water_emissions!CY382</f>
        <v>[kg/bbl] kg of N-HEXANE emissions to water per bbl of crude throughput - Low Complexity</v>
      </c>
      <c r="K641" s="419"/>
      <c r="L641" s="419"/>
      <c r="M641" s="419"/>
      <c r="N641" s="419"/>
      <c r="O641" s="419"/>
      <c r="P641" s="420"/>
      <c r="Q641" s="2"/>
      <c r="R641" s="2"/>
      <c r="S641" s="2"/>
      <c r="T641" s="2"/>
      <c r="U641" s="2"/>
      <c r="V641" s="2"/>
      <c r="W641" s="2"/>
      <c r="X641" s="2"/>
      <c r="Y641" s="2"/>
    </row>
    <row r="642" spans="1:25" x14ac:dyDescent="0.25">
      <c r="A642" s="2"/>
      <c r="B642" s="17">
        <f t="shared" si="35"/>
        <v>11</v>
      </c>
      <c r="C642" s="340" t="str">
        <f>Water_emissions!CW383</f>
        <v>w_NHEXANE_M</v>
      </c>
      <c r="D642" s="341"/>
      <c r="E642" s="368">
        <f>HLOOKUP($C646,Water_emissions!$E$16:$CQ$32,4,FALSE)</f>
        <v>0.12886804676627353</v>
      </c>
      <c r="F642" s="368">
        <f>HLOOKUP($C646,Water_emissions!$E$16:$CQ$32,9,FALSE)</f>
        <v>0</v>
      </c>
      <c r="G642" s="368">
        <f>HLOOKUP($C646,Water_emissions!$E$16:$CQ$32,14,FALSE)</f>
        <v>1.6723479623044926</v>
      </c>
      <c r="H642" s="344" t="s">
        <v>1085</v>
      </c>
      <c r="I642" s="342" t="s">
        <v>2233</v>
      </c>
      <c r="J642" s="418" t="str">
        <f>Water_emissions!CY383</f>
        <v>[kg/bbl] kg of N-HEXANE emissions to water per bbl of crude throughput - Med Complexity</v>
      </c>
      <c r="K642" s="419"/>
      <c r="L642" s="419"/>
      <c r="M642" s="419"/>
      <c r="N642" s="419"/>
      <c r="O642" s="419"/>
      <c r="P642" s="420"/>
      <c r="Q642" s="2"/>
      <c r="R642" s="2"/>
      <c r="S642" s="2"/>
      <c r="T642" s="2"/>
      <c r="U642" s="2"/>
      <c r="V642" s="2"/>
      <c r="W642" s="2"/>
      <c r="X642" s="2"/>
      <c r="Y642" s="2"/>
    </row>
    <row r="643" spans="1:25" x14ac:dyDescent="0.25">
      <c r="A643" s="2"/>
      <c r="B643" s="17">
        <f t="shared" si="35"/>
        <v>13</v>
      </c>
      <c r="C643" s="340" t="str">
        <f>Water_emissions!CW384</f>
        <v>w_NHEXANE_HiH</v>
      </c>
      <c r="D643" s="341"/>
      <c r="E643" s="368">
        <f>HLOOKUP($C646,Water_emissions!$E$16:$CQ$32,5,FALSE)</f>
        <v>8.0158033545361645E-3</v>
      </c>
      <c r="F643" s="368">
        <f>HLOOKUP($C646,Water_emissions!$E$16:$CQ$32,10,FALSE)</f>
        <v>0</v>
      </c>
      <c r="G643" s="368">
        <f>HLOOKUP($C646,Water_emissions!$E$16:$CQ$32,15,FALSE)</f>
        <v>2.3247793473999707E-2</v>
      </c>
      <c r="H643" s="344" t="s">
        <v>1085</v>
      </c>
      <c r="I643" s="342" t="s">
        <v>2233</v>
      </c>
      <c r="J643" s="418" t="str">
        <f>Water_emissions!CY384</f>
        <v>[kg/bbl] kg of N-HEXANE emissions to water per bbl of crude throughput - High Complexity Hydro Cracking</v>
      </c>
      <c r="K643" s="419"/>
      <c r="L643" s="419"/>
      <c r="M643" s="419"/>
      <c r="N643" s="419"/>
      <c r="O643" s="419"/>
      <c r="P643" s="420"/>
      <c r="Q643" s="2"/>
      <c r="R643" s="2"/>
      <c r="S643" s="2"/>
      <c r="T643" s="2"/>
      <c r="U643" s="2"/>
      <c r="V643" s="2"/>
      <c r="W643" s="2"/>
      <c r="X643" s="2"/>
      <c r="Y643" s="2"/>
    </row>
    <row r="644" spans="1:25" x14ac:dyDescent="0.25">
      <c r="A644" s="2"/>
      <c r="B644" s="17">
        <f t="shared" si="35"/>
        <v>13</v>
      </c>
      <c r="C644" s="340" t="str">
        <f>Water_emissions!CW385</f>
        <v>w_NHEXANE_HiC</v>
      </c>
      <c r="D644" s="341"/>
      <c r="E644" s="368">
        <f>HLOOKUP($C646,Water_emissions!$E$16:$CQ$32,6,FALSE)</f>
        <v>1.2925599698799851E-2</v>
      </c>
      <c r="F644" s="368">
        <f>HLOOKUP($C646,Water_emissions!$E$16:$CQ$32,11,FALSE)</f>
        <v>0</v>
      </c>
      <c r="G644" s="368">
        <f>HLOOKUP($C646,Water_emissions!$E$16:$CQ$32,16,FALSE)</f>
        <v>8.7096087241105832E-2</v>
      </c>
      <c r="H644" s="344" t="s">
        <v>1085</v>
      </c>
      <c r="I644" s="342" t="s">
        <v>2233</v>
      </c>
      <c r="J644" s="418" t="str">
        <f>Water_emissions!CY385</f>
        <v>[kg/bbl] kg of N-HEXANE emissions to water per bbl of crude throughput - High Complexity Coking</v>
      </c>
      <c r="K644" s="419"/>
      <c r="L644" s="419"/>
      <c r="M644" s="419"/>
      <c r="N644" s="419"/>
      <c r="O644" s="419"/>
      <c r="P644" s="420"/>
      <c r="Q644" s="2"/>
      <c r="R644" s="2"/>
      <c r="S644" s="2"/>
      <c r="T644" s="2"/>
      <c r="U644" s="2"/>
      <c r="V644" s="2"/>
      <c r="W644" s="2"/>
      <c r="X644" s="2"/>
      <c r="Y644" s="2"/>
    </row>
    <row r="645" spans="1:25" x14ac:dyDescent="0.25">
      <c r="A645" s="2"/>
      <c r="B645" s="17">
        <f t="shared" si="35"/>
        <v>13</v>
      </c>
      <c r="C645" s="340" t="str">
        <f>Water_emissions!CW386</f>
        <v>w_NHEXANE_HiB</v>
      </c>
      <c r="D645" s="341"/>
      <c r="E645" s="368">
        <f>HLOOKUP($C646,Water_emissions!$E$16:$CQ$32,7,FALSE)</f>
        <v>3.8803855031965084E-3</v>
      </c>
      <c r="F645" s="368">
        <f>HLOOKUP($C646,Water_emissions!$E$16:$CQ$32,12,FALSE)</f>
        <v>0</v>
      </c>
      <c r="G645" s="368">
        <f>HLOOKUP($C646,Water_emissions!$E$16:$CQ$32,17,FALSE)</f>
        <v>2.1209318406101099E-2</v>
      </c>
      <c r="H645" s="344" t="s">
        <v>1085</v>
      </c>
      <c r="I645" s="342" t="s">
        <v>2233</v>
      </c>
      <c r="J645" s="418" t="str">
        <f>Water_emissions!CY386</f>
        <v>[kg/bbl] kg of N-HEXANE emissions to water per bbl of crude throughput - High Complexity Hydro Cracking and Coking</v>
      </c>
      <c r="K645" s="419"/>
      <c r="L645" s="419"/>
      <c r="M645" s="419"/>
      <c r="N645" s="419"/>
      <c r="O645" s="419"/>
      <c r="P645" s="420"/>
      <c r="Q645" s="2"/>
      <c r="R645" s="2"/>
      <c r="S645" s="2"/>
      <c r="T645" s="2"/>
      <c r="U645" s="2"/>
      <c r="V645" s="2"/>
      <c r="W645" s="2"/>
      <c r="X645" s="2"/>
      <c r="Y645" s="2"/>
    </row>
    <row r="646" spans="1:25" ht="39" x14ac:dyDescent="0.25">
      <c r="A646" s="2"/>
      <c r="B646" s="17">
        <f t="shared" si="35"/>
        <v>9</v>
      </c>
      <c r="C646" s="340" t="str">
        <f>Water_emissions!CW387</f>
        <v>w_NHEXANE</v>
      </c>
      <c r="D646" s="39" t="str">
        <f>"IF(NC=0;"&amp;C641&amp;";IF(NC=1;"&amp;C642&amp;";IF(NC=2;"&amp;C643&amp;";IF(NC=3;"&amp;C644&amp;";"&amp;C645&amp;"))))/"&amp;$C$27</f>
        <v>IF(NC=0;w_NHEXANE_L;IF(NC=1;w_NHEXANE_M;IF(NC=2;w_NHEXANE_HiH;IF(NC=3;w_NHEXANE_HiC;w_NHEXANE_HiB))))/Density_oil</v>
      </c>
      <c r="E646" s="68">
        <f>IF($E$24=0,E641,IF($E$24=1,E642,IF($E$24=2,E643,IF($E$24=3,E644,E645))))/$E$27</f>
        <v>2.7979093378826221E-5</v>
      </c>
      <c r="F646" s="342"/>
      <c r="G646" s="343"/>
      <c r="H646" s="344" t="s">
        <v>489</v>
      </c>
      <c r="I646" s="342" t="s">
        <v>2233</v>
      </c>
      <c r="J646" s="418" t="str">
        <f>Water_emissions!CY387</f>
        <v>[kg/bbl] kg of N-HEXANE emissions to water per bbl of crude throughput</v>
      </c>
      <c r="K646" s="419"/>
      <c r="L646" s="419"/>
      <c r="M646" s="419"/>
      <c r="N646" s="419"/>
      <c r="O646" s="419"/>
      <c r="P646" s="420"/>
      <c r="Q646" s="2"/>
      <c r="R646" s="2"/>
      <c r="S646" s="2"/>
      <c r="T646" s="2"/>
      <c r="U646" s="2"/>
      <c r="V646" s="2"/>
      <c r="W646" s="2"/>
      <c r="X646" s="2"/>
      <c r="Y646" s="2"/>
    </row>
    <row r="647" spans="1:25" x14ac:dyDescent="0.25">
      <c r="A647" s="2"/>
      <c r="B647" s="17">
        <f t="shared" si="35"/>
        <v>13</v>
      </c>
      <c r="C647" s="340" t="str">
        <f>Water_emissions!CW388</f>
        <v>w_Nickeltot_L</v>
      </c>
      <c r="D647" s="341"/>
      <c r="E647" s="368">
        <f>HLOOKUP($C652,Water_emissions!$E$16:$CQ$32,3,FALSE)</f>
        <v>3.8163750236645661E-6</v>
      </c>
      <c r="F647" s="368">
        <f>HLOOKUP($C652,Water_emissions!$E$16:$CQ$32,8,FALSE)</f>
        <v>1.2296942218560099E-8</v>
      </c>
      <c r="G647" s="368">
        <f>HLOOKUP($C652,Water_emissions!$E$16:$CQ$32,13,FALSE)</f>
        <v>1.2232383180301507E-5</v>
      </c>
      <c r="H647" s="344" t="s">
        <v>1085</v>
      </c>
      <c r="I647" s="342" t="s">
        <v>2233</v>
      </c>
      <c r="J647" s="418" t="str">
        <f>Water_emissions!CY388</f>
        <v>[kg/bbl] kg of Nickel, total (as Ni) emissions to water per bbl of crude throughput - Low Complexity</v>
      </c>
      <c r="K647" s="419"/>
      <c r="L647" s="419"/>
      <c r="M647" s="419"/>
      <c r="N647" s="419"/>
      <c r="O647" s="419"/>
      <c r="P647" s="420"/>
      <c r="Q647" s="2"/>
      <c r="R647" s="2"/>
      <c r="S647" s="2"/>
      <c r="T647" s="2"/>
      <c r="U647" s="2"/>
      <c r="V647" s="2"/>
      <c r="W647" s="2"/>
      <c r="X647" s="2"/>
      <c r="Y647" s="2"/>
    </row>
    <row r="648" spans="1:25" x14ac:dyDescent="0.25">
      <c r="A648" s="2"/>
      <c r="B648" s="17">
        <f t="shared" si="35"/>
        <v>13</v>
      </c>
      <c r="C648" s="340" t="str">
        <f>Water_emissions!CW389</f>
        <v>w_Nickeltot_M</v>
      </c>
      <c r="D648" s="341"/>
      <c r="E648" s="368">
        <f>HLOOKUP($C652,Water_emissions!$E$16:$CQ$32,4,FALSE)</f>
        <v>1.2296942218560099E-8</v>
      </c>
      <c r="F648" s="368">
        <f>HLOOKUP($C652,Water_emissions!$E$16:$CQ$32,9,FALSE)</f>
        <v>1.2296942218560099E-8</v>
      </c>
      <c r="G648" s="368">
        <f>HLOOKUP($C652,Water_emissions!$E$16:$CQ$32,14,FALSE)</f>
        <v>1.2296942218560099E-8</v>
      </c>
      <c r="H648" s="344" t="s">
        <v>1085</v>
      </c>
      <c r="I648" s="342" t="s">
        <v>2233</v>
      </c>
      <c r="J648" s="418" t="str">
        <f>Water_emissions!CY389</f>
        <v>[kg/bbl] kg of Nickel, total (as Ni) emissions to water per bbl of crude throughput - Med Complexity</v>
      </c>
      <c r="K648" s="419"/>
      <c r="L648" s="419"/>
      <c r="M648" s="419"/>
      <c r="N648" s="419"/>
      <c r="O648" s="419"/>
      <c r="P648" s="420"/>
      <c r="Q648" s="2"/>
      <c r="R648" s="2"/>
      <c r="S648" s="2"/>
      <c r="T648" s="2"/>
      <c r="U648" s="2"/>
      <c r="V648" s="2"/>
      <c r="W648" s="2"/>
      <c r="X648" s="2"/>
      <c r="Y648" s="2"/>
    </row>
    <row r="649" spans="1:25" x14ac:dyDescent="0.25">
      <c r="A649" s="2"/>
      <c r="B649" s="17">
        <f t="shared" si="35"/>
        <v>15</v>
      </c>
      <c r="C649" s="340" t="str">
        <f>Water_emissions!CW390</f>
        <v>w_Nickeltot_HiH</v>
      </c>
      <c r="D649" s="341"/>
      <c r="E649" s="368">
        <f>HLOOKUP($C652,Water_emissions!$E$16:$CQ$32,5,FALSE)</f>
        <v>3.5903445179327423E-6</v>
      </c>
      <c r="F649" s="368">
        <f>HLOOKUP($C652,Water_emissions!$E$16:$CQ$32,10,FALSE)</f>
        <v>3.5903445179327423E-6</v>
      </c>
      <c r="G649" s="368">
        <f>HLOOKUP($C652,Water_emissions!$E$16:$CQ$32,15,FALSE)</f>
        <v>3.5903445179327423E-6</v>
      </c>
      <c r="H649" s="344" t="s">
        <v>1085</v>
      </c>
      <c r="I649" s="342" t="s">
        <v>2233</v>
      </c>
      <c r="J649" s="418" t="str">
        <f>Water_emissions!CY390</f>
        <v>[kg/bbl] kg of Nickel, total (as Ni) emissions to water per bbl of crude throughput - High Complexity Hydro Cracking</v>
      </c>
      <c r="K649" s="419"/>
      <c r="L649" s="419"/>
      <c r="M649" s="419"/>
      <c r="N649" s="419"/>
      <c r="O649" s="419"/>
      <c r="P649" s="420"/>
      <c r="Q649" s="2"/>
      <c r="R649" s="2"/>
      <c r="S649" s="2"/>
      <c r="T649" s="2"/>
      <c r="U649" s="2"/>
      <c r="V649" s="2"/>
      <c r="W649" s="2"/>
      <c r="X649" s="2"/>
      <c r="Y649" s="2"/>
    </row>
    <row r="650" spans="1:25" x14ac:dyDescent="0.25">
      <c r="A650" s="2"/>
      <c r="B650" s="17">
        <f t="shared" si="35"/>
        <v>15</v>
      </c>
      <c r="C650" s="340" t="str">
        <f>Water_emissions!CW391</f>
        <v>w_Nickeltot_HiC</v>
      </c>
      <c r="D650" s="341"/>
      <c r="E650" s="368">
        <f>HLOOKUP($C652,Water_emissions!$E$16:$CQ$32,6,FALSE)</f>
        <v>3.8163750236645661E-6</v>
      </c>
      <c r="F650" s="368">
        <f>HLOOKUP($C652,Water_emissions!$E$16:$CQ$32,11,FALSE)</f>
        <v>1.2296942218560099E-8</v>
      </c>
      <c r="G650" s="368">
        <f>HLOOKUP($C652,Water_emissions!$E$16:$CQ$32,16,FALSE)</f>
        <v>1.2232383180301507E-5</v>
      </c>
      <c r="H650" s="344" t="s">
        <v>1085</v>
      </c>
      <c r="I650" s="342" t="s">
        <v>2233</v>
      </c>
      <c r="J650" s="418" t="str">
        <f>Water_emissions!CY391</f>
        <v>[kg/bbl] kg of Nickel, total (as Ni) emissions to water per bbl of crude throughput - High Complexity Coking</v>
      </c>
      <c r="K650" s="419"/>
      <c r="L650" s="419"/>
      <c r="M650" s="419"/>
      <c r="N650" s="419"/>
      <c r="O650" s="419"/>
      <c r="P650" s="420"/>
      <c r="Q650" s="2"/>
      <c r="R650" s="2"/>
      <c r="S650" s="2"/>
      <c r="T650" s="2"/>
      <c r="U650" s="2"/>
      <c r="V650" s="2"/>
      <c r="W650" s="2"/>
      <c r="X650" s="2"/>
      <c r="Y650" s="2"/>
    </row>
    <row r="651" spans="1:25" x14ac:dyDescent="0.25">
      <c r="A651" s="2"/>
      <c r="B651" s="17">
        <f t="shared" si="35"/>
        <v>15</v>
      </c>
      <c r="C651" s="340" t="str">
        <f>Water_emissions!CW392</f>
        <v>w_Nickeltot_HiB</v>
      </c>
      <c r="D651" s="341"/>
      <c r="E651" s="368">
        <f>HLOOKUP($C652,Water_emissions!$E$16:$CQ$32,7,FALSE)</f>
        <v>4.8239021704590238E-6</v>
      </c>
      <c r="F651" s="368">
        <f>HLOOKUP($C652,Water_emissions!$E$16:$CQ$32,12,FALSE)</f>
        <v>4.3868992226774108E-7</v>
      </c>
      <c r="G651" s="368">
        <f>HLOOKUP($C652,Water_emissions!$E$16:$CQ$32,17,FALSE)</f>
        <v>1.2232383180301507E-5</v>
      </c>
      <c r="H651" s="344" t="s">
        <v>1085</v>
      </c>
      <c r="I651" s="342" t="s">
        <v>2233</v>
      </c>
      <c r="J651" s="418" t="str">
        <f>Water_emissions!CY392</f>
        <v>[kg/bbl] kg of Nickel, total (as Ni) emissions to water per bbl of crude throughput - High Complexity Hydro Cracking and Coking</v>
      </c>
      <c r="K651" s="419"/>
      <c r="L651" s="419"/>
      <c r="M651" s="419"/>
      <c r="N651" s="419"/>
      <c r="O651" s="419"/>
      <c r="P651" s="420"/>
      <c r="Q651" s="2"/>
      <c r="R651" s="2"/>
      <c r="S651" s="2"/>
      <c r="T651" s="2"/>
      <c r="U651" s="2"/>
      <c r="V651" s="2"/>
      <c r="W651" s="2"/>
      <c r="X651" s="2"/>
      <c r="Y651" s="2"/>
    </row>
    <row r="652" spans="1:25" ht="26.25" x14ac:dyDescent="0.25">
      <c r="A652" s="2"/>
      <c r="B652" s="17">
        <f t="shared" si="35"/>
        <v>11</v>
      </c>
      <c r="C652" s="340" t="str">
        <f>Water_emissions!CW393</f>
        <v>w_Nickeltot</v>
      </c>
      <c r="D652" s="39" t="str">
        <f>"IF(NC=0;"&amp;C647&amp;";IF(NC=1;"&amp;C648&amp;";IF(NC=2;"&amp;C649&amp;";IF(NC=3;"&amp;C650&amp;";"&amp;C651&amp;"))))/"&amp;$C$27</f>
        <v>IF(NC=0;w_Nickeltot_L;IF(NC=1;w_Nickeltot_M;IF(NC=2;w_Nickeltot_HiH;IF(NC=3;w_Nickeltot_HiC;w_Nickeltot_HiB))))/Density_oil</v>
      </c>
      <c r="E652" s="68">
        <f>IF($E$24=0,E647,IF($E$24=1,E648,IF($E$24=2,E649,IF($E$24=3,E650,E651))))/$E$27</f>
        <v>3.4782216655127141E-8</v>
      </c>
      <c r="F652" s="342"/>
      <c r="G652" s="343"/>
      <c r="H652" s="344" t="s">
        <v>489</v>
      </c>
      <c r="I652" s="342" t="s">
        <v>2233</v>
      </c>
      <c r="J652" s="418" t="str">
        <f>Water_emissions!CY393</f>
        <v>[kg/bbl] kg of Nickel, total (as Ni) emissions to water per bbl of crude throughput</v>
      </c>
      <c r="K652" s="419"/>
      <c r="L652" s="419"/>
      <c r="M652" s="419"/>
      <c r="N652" s="419"/>
      <c r="O652" s="419"/>
      <c r="P652" s="420"/>
      <c r="Q652" s="2"/>
      <c r="R652" s="2"/>
      <c r="S652" s="2"/>
      <c r="T652" s="2"/>
      <c r="U652" s="2"/>
      <c r="V652" s="2"/>
      <c r="W652" s="2"/>
      <c r="X652" s="2"/>
      <c r="Y652" s="2"/>
    </row>
    <row r="653" spans="1:25" x14ac:dyDescent="0.25">
      <c r="A653" s="2"/>
      <c r="B653" s="17">
        <f t="shared" si="35"/>
        <v>11</v>
      </c>
      <c r="C653" s="340" t="str">
        <f>Water_emissions!CW394</f>
        <v>w_NITRATE_L</v>
      </c>
      <c r="D653" s="341"/>
      <c r="E653" s="368">
        <f>HLOOKUP($C658,Water_emissions!$E$16:$CQ$32,3,FALSE)</f>
        <v>51.453263350432913</v>
      </c>
      <c r="F653" s="368">
        <f>HLOOKUP($C658,Water_emissions!$E$16:$CQ$32,8,FALSE)</f>
        <v>1.0878261689738378E-3</v>
      </c>
      <c r="G653" s="368">
        <f>HLOOKUP($C658,Water_emissions!$E$16:$CQ$32,13,FALSE)</f>
        <v>91.558976260297612</v>
      </c>
      <c r="H653" s="344" t="s">
        <v>1085</v>
      </c>
      <c r="I653" s="342" t="s">
        <v>2233</v>
      </c>
      <c r="J653" s="418" t="str">
        <f>Water_emissions!CY394</f>
        <v>[kg/bbl] kg of NITRATE emissions to water per bbl of crude throughput - Low Complexity</v>
      </c>
      <c r="K653" s="419"/>
      <c r="L653" s="419"/>
      <c r="M653" s="419"/>
      <c r="N653" s="419"/>
      <c r="O653" s="419"/>
      <c r="P653" s="420"/>
      <c r="Q653" s="2"/>
      <c r="R653" s="2"/>
      <c r="S653" s="2"/>
      <c r="T653" s="2"/>
      <c r="U653" s="2"/>
      <c r="V653" s="2"/>
      <c r="W653" s="2"/>
      <c r="X653" s="2"/>
      <c r="Y653" s="2"/>
    </row>
    <row r="654" spans="1:25" x14ac:dyDescent="0.25">
      <c r="A654" s="2"/>
      <c r="B654" s="17">
        <f t="shared" si="35"/>
        <v>11</v>
      </c>
      <c r="C654" s="340" t="str">
        <f>Water_emissions!CW395</f>
        <v>w_NITRATE_M</v>
      </c>
      <c r="D654" s="341"/>
      <c r="E654" s="368">
        <f>HLOOKUP($C658,Water_emissions!$E$16:$CQ$32,4,FALSE)</f>
        <v>238.59947182539281</v>
      </c>
      <c r="F654" s="368">
        <f>HLOOKUP($C658,Water_emissions!$E$16:$CQ$32,9,FALSE)</f>
        <v>9.6372615696460642</v>
      </c>
      <c r="G654" s="368">
        <f>HLOOKUP($C658,Water_emissions!$E$16:$CQ$32,14,FALSE)</f>
        <v>1313.5964493594604</v>
      </c>
      <c r="H654" s="344" t="s">
        <v>1085</v>
      </c>
      <c r="I654" s="342" t="s">
        <v>2233</v>
      </c>
      <c r="J654" s="418" t="str">
        <f>Water_emissions!CY395</f>
        <v>[kg/bbl] kg of NITRATE emissions to water per bbl of crude throughput - Med Complexity</v>
      </c>
      <c r="K654" s="419"/>
      <c r="L654" s="419"/>
      <c r="M654" s="419"/>
      <c r="N654" s="419"/>
      <c r="O654" s="419"/>
      <c r="P654" s="420"/>
      <c r="Q654" s="2"/>
      <c r="R654" s="2"/>
      <c r="S654" s="2"/>
      <c r="T654" s="2"/>
      <c r="U654" s="2"/>
      <c r="V654" s="2"/>
      <c r="W654" s="2"/>
      <c r="X654" s="2"/>
      <c r="Y654" s="2"/>
    </row>
    <row r="655" spans="1:25" x14ac:dyDescent="0.25">
      <c r="A655" s="2"/>
      <c r="B655" s="17">
        <f t="shared" si="35"/>
        <v>13</v>
      </c>
      <c r="C655" s="340" t="str">
        <f>Water_emissions!CW396</f>
        <v>w_NITRATE_HiH</v>
      </c>
      <c r="D655" s="341"/>
      <c r="E655" s="368">
        <f>HLOOKUP($C658,Water_emissions!$E$16:$CQ$32,5,FALSE)</f>
        <v>172.53719697713487</v>
      </c>
      <c r="F655" s="368">
        <f>HLOOKUP($C658,Water_emissions!$E$16:$CQ$32,10,FALSE)</f>
        <v>2.3106766798714853</v>
      </c>
      <c r="G655" s="368">
        <f>HLOOKUP($C658,Water_emissions!$E$16:$CQ$32,15,FALSE)</f>
        <v>473.18798064362363</v>
      </c>
      <c r="H655" s="344" t="s">
        <v>1085</v>
      </c>
      <c r="I655" s="342" t="s">
        <v>2233</v>
      </c>
      <c r="J655" s="418" t="str">
        <f>Water_emissions!CY396</f>
        <v>[kg/bbl] kg of NITRATE emissions to water per bbl of crude throughput - High Complexity Hydro Cracking</v>
      </c>
      <c r="K655" s="419"/>
      <c r="L655" s="419"/>
      <c r="M655" s="419"/>
      <c r="N655" s="419"/>
      <c r="O655" s="419"/>
      <c r="P655" s="420"/>
      <c r="Q655" s="2"/>
      <c r="R655" s="2"/>
      <c r="S655" s="2"/>
      <c r="T655" s="2"/>
      <c r="U655" s="2"/>
      <c r="V655" s="2"/>
      <c r="W655" s="2"/>
      <c r="X655" s="2"/>
      <c r="Y655" s="2"/>
    </row>
    <row r="656" spans="1:25" x14ac:dyDescent="0.25">
      <c r="A656" s="2"/>
      <c r="B656" s="17">
        <f t="shared" si="35"/>
        <v>13</v>
      </c>
      <c r="C656" s="340" t="str">
        <f>Water_emissions!CW397</f>
        <v>w_NITRATE_HiC</v>
      </c>
      <c r="D656" s="341"/>
      <c r="E656" s="368">
        <f>HLOOKUP($C658,Water_emissions!$E$16:$CQ$32,6,FALSE)</f>
        <v>199.20689431331888</v>
      </c>
      <c r="F656" s="368">
        <f>HLOOKUP($C658,Water_emissions!$E$16:$CQ$32,11,FALSE)</f>
        <v>1.3471579733881278E-3</v>
      </c>
      <c r="G656" s="368">
        <f>HLOOKUP($C658,Water_emissions!$E$16:$CQ$32,16,FALSE)</f>
        <v>515.815527181844</v>
      </c>
      <c r="H656" s="344" t="s">
        <v>1085</v>
      </c>
      <c r="I656" s="342" t="s">
        <v>2233</v>
      </c>
      <c r="J656" s="418" t="str">
        <f>Water_emissions!CY397</f>
        <v>[kg/bbl] kg of NITRATE emissions to water per bbl of crude throughput - High Complexity Coking</v>
      </c>
      <c r="K656" s="419"/>
      <c r="L656" s="419"/>
      <c r="M656" s="419"/>
      <c r="N656" s="419"/>
      <c r="O656" s="419"/>
      <c r="P656" s="420"/>
      <c r="Q656" s="2"/>
      <c r="R656" s="2"/>
      <c r="S656" s="2"/>
      <c r="T656" s="2"/>
      <c r="U656" s="2"/>
      <c r="V656" s="2"/>
      <c r="W656" s="2"/>
      <c r="X656" s="2"/>
      <c r="Y656" s="2"/>
    </row>
    <row r="657" spans="1:25" x14ac:dyDescent="0.25">
      <c r="A657" s="2"/>
      <c r="B657" s="17">
        <f t="shared" si="35"/>
        <v>13</v>
      </c>
      <c r="C657" s="340" t="str">
        <f>Water_emissions!CW398</f>
        <v>w_NITRATE_HiB</v>
      </c>
      <c r="D657" s="341"/>
      <c r="E657" s="368">
        <f>HLOOKUP($C658,Water_emissions!$E$16:$CQ$32,7,FALSE)</f>
        <v>308.12912790559653</v>
      </c>
      <c r="F657" s="368">
        <f>HLOOKUP($C658,Water_emissions!$E$16:$CQ$32,12,FALSE)</f>
        <v>0</v>
      </c>
      <c r="G657" s="368">
        <f>HLOOKUP($C658,Water_emissions!$E$16:$CQ$32,17,FALSE)</f>
        <v>883.39666844964495</v>
      </c>
      <c r="H657" s="344" t="s">
        <v>1085</v>
      </c>
      <c r="I657" s="342" t="s">
        <v>2233</v>
      </c>
      <c r="J657" s="418" t="str">
        <f>Water_emissions!CY398</f>
        <v>[kg/bbl] kg of NITRATE emissions to water per bbl of crude throughput - High Complexity Hydro Cracking and Coking</v>
      </c>
      <c r="K657" s="419"/>
      <c r="L657" s="419"/>
      <c r="M657" s="419"/>
      <c r="N657" s="419"/>
      <c r="O657" s="419"/>
      <c r="P657" s="420"/>
      <c r="Q657" s="2"/>
      <c r="R657" s="2"/>
      <c r="S657" s="2"/>
      <c r="T657" s="2"/>
      <c r="U657" s="2"/>
      <c r="V657" s="2"/>
      <c r="W657" s="2"/>
      <c r="X657" s="2"/>
      <c r="Y657" s="2"/>
    </row>
    <row r="658" spans="1:25" ht="26.25" x14ac:dyDescent="0.25">
      <c r="A658" s="2"/>
      <c r="B658" s="17">
        <f t="shared" ref="B658:B697" si="36">LEN(C658)</f>
        <v>9</v>
      </c>
      <c r="C658" s="340" t="str">
        <f>Water_emissions!CW399</f>
        <v>w_NITRATE</v>
      </c>
      <c r="D658" s="39" t="str">
        <f>"IF(NC=0;"&amp;C653&amp;";IF(NC=1;"&amp;C654&amp;";IF(NC=2;"&amp;C655&amp;";IF(NC=3;"&amp;C656&amp;";"&amp;C657&amp;"))))/"&amp;$C$27</f>
        <v>IF(NC=0;w_NITRATE_L;IF(NC=1;w_NITRATE_M;IF(NC=2;w_NITRATE_HiH;IF(NC=3;w_NITRATE_HiC;w_NITRATE_HiB))))/Density_oil</v>
      </c>
      <c r="E658" s="68">
        <f>IF($E$24=0,E653,IF($E$24=1,E654,IF($E$24=2,E655,IF($E$24=3,E656,E657))))/$E$27</f>
        <v>2.2217312262673881</v>
      </c>
      <c r="F658" s="342"/>
      <c r="G658" s="343"/>
      <c r="H658" s="344" t="s">
        <v>489</v>
      </c>
      <c r="I658" s="342" t="s">
        <v>2233</v>
      </c>
      <c r="J658" s="418" t="str">
        <f>Water_emissions!CY399</f>
        <v>[kg/bbl] kg of NITRATE emissions to water per bbl of crude throughput</v>
      </c>
      <c r="K658" s="419"/>
      <c r="L658" s="419"/>
      <c r="M658" s="419"/>
      <c r="N658" s="419"/>
      <c r="O658" s="419"/>
      <c r="P658" s="420"/>
      <c r="Q658" s="2"/>
      <c r="R658" s="2"/>
      <c r="S658" s="2"/>
      <c r="T658" s="2"/>
      <c r="U658" s="2"/>
      <c r="V658" s="2"/>
      <c r="W658" s="2"/>
      <c r="X658" s="2"/>
      <c r="Y658" s="2"/>
    </row>
    <row r="659" spans="1:25" x14ac:dyDescent="0.25">
      <c r="A659" s="2"/>
      <c r="B659" s="17">
        <f t="shared" si="36"/>
        <v>12</v>
      </c>
      <c r="C659" s="340" t="str">
        <f>Water_emissions!CW400</f>
        <v>w_NITROGEN_L</v>
      </c>
      <c r="D659" s="341"/>
      <c r="E659" s="368">
        <f>HLOOKUP($C664,Water_emissions!$E$16:$CQ$32,3,FALSE)</f>
        <v>1.0926106924045399E-6</v>
      </c>
      <c r="F659" s="368">
        <f>HLOOKUP($C664,Water_emissions!$E$16:$CQ$32,8,FALSE)</f>
        <v>1.0926106924045399E-6</v>
      </c>
      <c r="G659" s="368">
        <f>HLOOKUP($C664,Water_emissions!$E$16:$CQ$32,13,FALSE)</f>
        <v>1.0926106924045399E-6</v>
      </c>
      <c r="H659" s="344" t="s">
        <v>1085</v>
      </c>
      <c r="I659" s="342" t="s">
        <v>2233</v>
      </c>
      <c r="J659" s="418" t="str">
        <f>Water_emissions!CY400</f>
        <v>[kg/bbl] kg of NITROGEN emissions to water per bbl of crude throughput - Low Complexity</v>
      </c>
      <c r="K659" s="419"/>
      <c r="L659" s="419"/>
      <c r="M659" s="419"/>
      <c r="N659" s="419"/>
      <c r="O659" s="419"/>
      <c r="P659" s="420"/>
      <c r="Q659" s="2"/>
      <c r="R659" s="2"/>
      <c r="S659" s="2"/>
      <c r="T659" s="2"/>
      <c r="U659" s="2"/>
      <c r="V659" s="2"/>
      <c r="W659" s="2"/>
      <c r="X659" s="2"/>
      <c r="Y659" s="2"/>
    </row>
    <row r="660" spans="1:25" x14ac:dyDescent="0.25">
      <c r="A660" s="2"/>
      <c r="B660" s="17">
        <f t="shared" si="36"/>
        <v>12</v>
      </c>
      <c r="C660" s="340" t="str">
        <f>Water_emissions!CW401</f>
        <v>w_NITROGEN_M</v>
      </c>
      <c r="D660" s="341"/>
      <c r="E660" s="368">
        <f>HLOOKUP($C664,Water_emissions!$E$16:$CQ$32,4,FALSE)</f>
        <v>2.0000725980053083E-3</v>
      </c>
      <c r="F660" s="368">
        <f>HLOOKUP($C664,Water_emissions!$E$16:$CQ$32,9,FALSE)</f>
        <v>8.0043094044393698E-5</v>
      </c>
      <c r="G660" s="368">
        <f>HLOOKUP($C664,Water_emissions!$E$16:$CQ$32,14,FALSE)</f>
        <v>6.6022128471490442E-3</v>
      </c>
      <c r="H660" s="344" t="s">
        <v>1085</v>
      </c>
      <c r="I660" s="342" t="s">
        <v>2233</v>
      </c>
      <c r="J660" s="418" t="str">
        <f>Water_emissions!CY401</f>
        <v>[kg/bbl] kg of NITROGEN emissions to water per bbl of crude throughput - Med Complexity</v>
      </c>
      <c r="K660" s="419"/>
      <c r="L660" s="419"/>
      <c r="M660" s="419"/>
      <c r="N660" s="419"/>
      <c r="O660" s="419"/>
      <c r="P660" s="420"/>
      <c r="Q660" s="2"/>
      <c r="R660" s="2"/>
      <c r="S660" s="2"/>
      <c r="T660" s="2"/>
      <c r="U660" s="2"/>
      <c r="V660" s="2"/>
      <c r="W660" s="2"/>
      <c r="X660" s="2"/>
      <c r="Y660" s="2"/>
    </row>
    <row r="661" spans="1:25" x14ac:dyDescent="0.25">
      <c r="A661" s="2"/>
      <c r="B661" s="17">
        <f t="shared" si="36"/>
        <v>14</v>
      </c>
      <c r="C661" s="340" t="str">
        <f>Water_emissions!CW402</f>
        <v>w_NITROGEN_HiH</v>
      </c>
      <c r="D661" s="341"/>
      <c r="E661" s="368">
        <f>HLOOKUP($C664,Water_emissions!$E$16:$CQ$32,5,FALSE)</f>
        <v>8.4984302101103512E-4</v>
      </c>
      <c r="F661" s="368">
        <f>HLOOKUP($C664,Water_emissions!$E$16:$CQ$32,10,FALSE)</f>
        <v>-5.2001945086924035E-6</v>
      </c>
      <c r="G661" s="368">
        <f>HLOOKUP($C664,Water_emissions!$E$16:$CQ$32,15,FALSE)</f>
        <v>6.6022128471490442E-3</v>
      </c>
      <c r="H661" s="344" t="s">
        <v>1085</v>
      </c>
      <c r="I661" s="342" t="s">
        <v>2233</v>
      </c>
      <c r="J661" s="418" t="str">
        <f>Water_emissions!CY402</f>
        <v>[kg/bbl] kg of NITROGEN emissions to water per bbl of crude throughput - High Complexity Hydro Cracking</v>
      </c>
      <c r="K661" s="419"/>
      <c r="L661" s="419"/>
      <c r="M661" s="419"/>
      <c r="N661" s="419"/>
      <c r="O661" s="419"/>
      <c r="P661" s="420"/>
      <c r="Q661" s="2"/>
      <c r="R661" s="2"/>
      <c r="S661" s="2"/>
      <c r="T661" s="2"/>
      <c r="U661" s="2"/>
      <c r="V661" s="2"/>
      <c r="W661" s="2"/>
      <c r="X661" s="2"/>
      <c r="Y661" s="2"/>
    </row>
    <row r="662" spans="1:25" x14ac:dyDescent="0.25">
      <c r="A662" s="2"/>
      <c r="B662" s="17">
        <f t="shared" si="36"/>
        <v>14</v>
      </c>
      <c r="C662" s="340" t="str">
        <f>Water_emissions!CW403</f>
        <v>w_NITROGEN_HiC</v>
      </c>
      <c r="D662" s="341"/>
      <c r="E662" s="368">
        <f>HLOOKUP($C664,Water_emissions!$E$16:$CQ$32,6,FALSE)</f>
        <v>1.3563855793684971E-4</v>
      </c>
      <c r="F662" s="368">
        <f>HLOOKUP($C664,Water_emissions!$E$16:$CQ$32,11,FALSE)</f>
        <v>-5.2001945086924035E-6</v>
      </c>
      <c r="G662" s="368">
        <f>HLOOKUP($C664,Water_emissions!$E$16:$CQ$32,16,FALSE)</f>
        <v>2.8476290028244661E-4</v>
      </c>
      <c r="H662" s="344" t="s">
        <v>1085</v>
      </c>
      <c r="I662" s="342" t="s">
        <v>2233</v>
      </c>
      <c r="J662" s="418" t="str">
        <f>Water_emissions!CY403</f>
        <v>[kg/bbl] kg of NITROGEN emissions to water per bbl of crude throughput - High Complexity Coking</v>
      </c>
      <c r="K662" s="419"/>
      <c r="L662" s="419"/>
      <c r="M662" s="419"/>
      <c r="N662" s="419"/>
      <c r="O662" s="419"/>
      <c r="P662" s="420"/>
      <c r="Q662" s="2"/>
      <c r="R662" s="2"/>
      <c r="S662" s="2"/>
      <c r="T662" s="2"/>
      <c r="U662" s="2"/>
      <c r="V662" s="2"/>
      <c r="W662" s="2"/>
      <c r="X662" s="2"/>
      <c r="Y662" s="2"/>
    </row>
    <row r="663" spans="1:25" x14ac:dyDescent="0.25">
      <c r="A663" s="2"/>
      <c r="B663" s="17">
        <f t="shared" si="36"/>
        <v>14</v>
      </c>
      <c r="C663" s="340" t="str">
        <f>Water_emissions!CW404</f>
        <v>w_NITROGEN_HiB</v>
      </c>
      <c r="D663" s="341"/>
      <c r="E663" s="368">
        <f>HLOOKUP($C664,Water_emissions!$E$16:$CQ$32,7,FALSE)</f>
        <v>4.0216799833017497E-4</v>
      </c>
      <c r="F663" s="368">
        <f>HLOOKUP($C664,Water_emissions!$E$16:$CQ$32,12,FALSE)</f>
        <v>3.0365328550509881E-4</v>
      </c>
      <c r="G663" s="368">
        <f>HLOOKUP($C664,Water_emissions!$E$16:$CQ$32,17,FALSE)</f>
        <v>5.0068271115525113E-4</v>
      </c>
      <c r="H663" s="344" t="s">
        <v>1085</v>
      </c>
      <c r="I663" s="342" t="s">
        <v>2233</v>
      </c>
      <c r="J663" s="418" t="str">
        <f>Water_emissions!CY404</f>
        <v>[kg/bbl] kg of NITROGEN emissions to water per bbl of crude throughput - High Complexity Hydro Cracking and Coking</v>
      </c>
      <c r="K663" s="419"/>
      <c r="L663" s="419"/>
      <c r="M663" s="419"/>
      <c r="N663" s="419"/>
      <c r="O663" s="419"/>
      <c r="P663" s="420"/>
      <c r="Q663" s="2"/>
      <c r="R663" s="2"/>
      <c r="S663" s="2"/>
      <c r="T663" s="2"/>
      <c r="U663" s="2"/>
      <c r="V663" s="2"/>
      <c r="W663" s="2"/>
      <c r="X663" s="2"/>
      <c r="Y663" s="2"/>
    </row>
    <row r="664" spans="1:25" ht="39" x14ac:dyDescent="0.25">
      <c r="A664" s="2"/>
      <c r="B664" s="17">
        <f t="shared" si="36"/>
        <v>10</v>
      </c>
      <c r="C664" s="340" t="str">
        <f>Water_emissions!CW405</f>
        <v>w_NITROGEN</v>
      </c>
      <c r="D664" s="39" t="str">
        <f>"IF(NC=0;"&amp;C659&amp;";IF(NC=1;"&amp;C660&amp;";IF(NC=2;"&amp;C661&amp;";IF(NC=3;"&amp;C662&amp;";"&amp;C663&amp;"))))/"&amp;$C$27</f>
        <v>IF(NC=0;w_NITROGEN_L;IF(NC=1;w_NITROGEN_M;IF(NC=2;w_NITROGEN_HiH;IF(NC=3;w_NITROGEN_HiC;w_NITROGEN_HiB))))/Density_oil</v>
      </c>
      <c r="E664" s="68">
        <f>IF($E$24=0,E659,IF($E$24=1,E660,IF($E$24=2,E661,IF($E$24=3,E662,E663))))/$E$27</f>
        <v>2.8997881705274892E-6</v>
      </c>
      <c r="F664" s="342"/>
      <c r="G664" s="343"/>
      <c r="H664" s="344" t="s">
        <v>489</v>
      </c>
      <c r="I664" s="342" t="s">
        <v>2233</v>
      </c>
      <c r="J664" s="418" t="str">
        <f>Water_emissions!CY405</f>
        <v>[kg/bbl] kg of NITROGEN emissions to water per bbl of crude throughput</v>
      </c>
      <c r="K664" s="419"/>
      <c r="L664" s="419"/>
      <c r="M664" s="419"/>
      <c r="N664" s="419"/>
      <c r="O664" s="419"/>
      <c r="P664" s="420"/>
      <c r="Q664" s="2"/>
      <c r="R664" s="2"/>
      <c r="S664" s="2"/>
      <c r="T664" s="2"/>
      <c r="U664" s="2"/>
      <c r="V664" s="2"/>
      <c r="W664" s="2"/>
      <c r="X664" s="2"/>
      <c r="Y664" s="2"/>
    </row>
    <row r="665" spans="1:25" x14ac:dyDescent="0.25">
      <c r="A665" s="2"/>
      <c r="B665" s="17">
        <f t="shared" si="36"/>
        <v>13</v>
      </c>
      <c r="C665" s="340" t="str">
        <f>Water_emissions!CW406</f>
        <v>w_NMETHYLPY_L</v>
      </c>
      <c r="D665" s="341"/>
      <c r="E665" s="368">
        <f>HLOOKUP($C670,Water_emissions!$E$16:$CQ$32,3,FALSE)</f>
        <v>7.4668874172185429E-2</v>
      </c>
      <c r="F665" s="368">
        <f>HLOOKUP($C670,Water_emissions!$E$16:$CQ$32,8,FALSE)</f>
        <v>7.4668874172185429E-2</v>
      </c>
      <c r="G665" s="368">
        <f>HLOOKUP($C670,Water_emissions!$E$16:$CQ$32,13,FALSE)</f>
        <v>7.4668874172185429E-2</v>
      </c>
      <c r="H665" s="344" t="s">
        <v>1085</v>
      </c>
      <c r="I665" s="342" t="s">
        <v>2233</v>
      </c>
      <c r="J665" s="418" t="str">
        <f>Water_emissions!CY406</f>
        <v>[kg/bbl] kg of N-METHYLPYRROLIDONE emissions to water per bbl of crude throughput - Low Complexity</v>
      </c>
      <c r="K665" s="419"/>
      <c r="L665" s="419"/>
      <c r="M665" s="419"/>
      <c r="N665" s="419"/>
      <c r="O665" s="419"/>
      <c r="P665" s="420"/>
      <c r="Q665" s="2"/>
      <c r="R665" s="2"/>
      <c r="S665" s="2"/>
      <c r="T665" s="2"/>
      <c r="U665" s="2"/>
      <c r="V665" s="2"/>
      <c r="W665" s="2"/>
      <c r="X665" s="2"/>
      <c r="Y665" s="2"/>
    </row>
    <row r="666" spans="1:25" x14ac:dyDescent="0.25">
      <c r="A666" s="2"/>
      <c r="B666" s="17">
        <f t="shared" si="36"/>
        <v>13</v>
      </c>
      <c r="C666" s="340" t="str">
        <f>Water_emissions!CW407</f>
        <v>w_NMETHYLPY_M</v>
      </c>
      <c r="D666" s="341"/>
      <c r="E666" s="368">
        <f>HLOOKUP($C670,Water_emissions!$E$16:$CQ$32,4,FALSE)</f>
        <v>3.7334437086092714E-2</v>
      </c>
      <c r="F666" s="368">
        <f>HLOOKUP($C670,Water_emissions!$E$16:$CQ$32,9,FALSE)</f>
        <v>0</v>
      </c>
      <c r="G666" s="368">
        <f>HLOOKUP($C670,Water_emissions!$E$16:$CQ$32,14,FALSE)</f>
        <v>7.4668874172185429E-2</v>
      </c>
      <c r="H666" s="344" t="s">
        <v>1085</v>
      </c>
      <c r="I666" s="342" t="s">
        <v>2233</v>
      </c>
      <c r="J666" s="418" t="str">
        <f>Water_emissions!CY407</f>
        <v>[kg/bbl] kg of N-METHYLPYRROLIDONE emissions to water per bbl of crude throughput - Med Complexity</v>
      </c>
      <c r="K666" s="419"/>
      <c r="L666" s="419"/>
      <c r="M666" s="419"/>
      <c r="N666" s="419"/>
      <c r="O666" s="419"/>
      <c r="P666" s="420"/>
      <c r="Q666" s="2"/>
      <c r="R666" s="2"/>
      <c r="S666" s="2"/>
      <c r="T666" s="2"/>
      <c r="U666" s="2"/>
      <c r="V666" s="2"/>
      <c r="W666" s="2"/>
      <c r="X666" s="2"/>
      <c r="Y666" s="2"/>
    </row>
    <row r="667" spans="1:25" x14ac:dyDescent="0.25">
      <c r="A667" s="2"/>
      <c r="B667" s="17">
        <f t="shared" si="36"/>
        <v>15</v>
      </c>
      <c r="C667" s="340" t="str">
        <f>Water_emissions!CW408</f>
        <v>w_NMETHYLPY_HiH</v>
      </c>
      <c r="D667" s="341"/>
      <c r="E667" s="368">
        <f>HLOOKUP($C670,Water_emissions!$E$16:$CQ$32,5,FALSE)</f>
        <v>3.7334437086092714E-2</v>
      </c>
      <c r="F667" s="368">
        <f>HLOOKUP($C670,Water_emissions!$E$16:$CQ$32,10,FALSE)</f>
        <v>0</v>
      </c>
      <c r="G667" s="368">
        <f>HLOOKUP($C670,Water_emissions!$E$16:$CQ$32,15,FALSE)</f>
        <v>7.4668874172185429E-2</v>
      </c>
      <c r="H667" s="344" t="s">
        <v>1085</v>
      </c>
      <c r="I667" s="342" t="s">
        <v>2233</v>
      </c>
      <c r="J667" s="418" t="str">
        <f>Water_emissions!CY408</f>
        <v>[kg/bbl] kg of N-METHYLPYRROLIDONE emissions to water per bbl of crude throughput - High Complexity Hydro Cracking</v>
      </c>
      <c r="K667" s="419"/>
      <c r="L667" s="419"/>
      <c r="M667" s="419"/>
      <c r="N667" s="419"/>
      <c r="O667" s="419"/>
      <c r="P667" s="420"/>
      <c r="Q667" s="2"/>
      <c r="R667" s="2"/>
      <c r="S667" s="2"/>
      <c r="T667" s="2"/>
      <c r="U667" s="2"/>
      <c r="V667" s="2"/>
      <c r="W667" s="2"/>
      <c r="X667" s="2"/>
      <c r="Y667" s="2"/>
    </row>
    <row r="668" spans="1:25" x14ac:dyDescent="0.25">
      <c r="A668" s="2"/>
      <c r="B668" s="17">
        <f t="shared" si="36"/>
        <v>15</v>
      </c>
      <c r="C668" s="340" t="str">
        <f>Water_emissions!CW409</f>
        <v>w_NMETHYLPY_HiC</v>
      </c>
      <c r="D668" s="341"/>
      <c r="E668" s="368">
        <f>HLOOKUP($C670,Water_emissions!$E$16:$CQ$32,6,FALSE)</f>
        <v>3.7334437086092714E-2</v>
      </c>
      <c r="F668" s="368">
        <f>HLOOKUP($C670,Water_emissions!$E$16:$CQ$32,11,FALSE)</f>
        <v>0</v>
      </c>
      <c r="G668" s="368">
        <f>HLOOKUP($C670,Water_emissions!$E$16:$CQ$32,16,FALSE)</f>
        <v>7.4668874172185429E-2</v>
      </c>
      <c r="H668" s="344" t="s">
        <v>1085</v>
      </c>
      <c r="I668" s="342" t="s">
        <v>2233</v>
      </c>
      <c r="J668" s="418" t="str">
        <f>Water_emissions!CY409</f>
        <v>[kg/bbl] kg of N-METHYLPYRROLIDONE emissions to water per bbl of crude throughput - High Complexity Coking</v>
      </c>
      <c r="K668" s="419"/>
      <c r="L668" s="419"/>
      <c r="M668" s="419"/>
      <c r="N668" s="419"/>
      <c r="O668" s="419"/>
      <c r="P668" s="420"/>
      <c r="Q668" s="2"/>
      <c r="R668" s="2"/>
      <c r="S668" s="2"/>
      <c r="T668" s="2"/>
      <c r="U668" s="2"/>
      <c r="V668" s="2"/>
      <c r="W668" s="2"/>
      <c r="X668" s="2"/>
      <c r="Y668" s="2"/>
    </row>
    <row r="669" spans="1:25" x14ac:dyDescent="0.25">
      <c r="A669" s="2"/>
      <c r="B669" s="17">
        <f t="shared" si="36"/>
        <v>15</v>
      </c>
      <c r="C669" s="340" t="str">
        <f>Water_emissions!CW410</f>
        <v>w_NMETHYLPY_HiB</v>
      </c>
      <c r="D669" s="341"/>
      <c r="E669" s="368">
        <f>HLOOKUP($C670,Water_emissions!$E$16:$CQ$32,7,FALSE)</f>
        <v>0</v>
      </c>
      <c r="F669" s="368">
        <f>HLOOKUP($C670,Water_emissions!$E$16:$CQ$32,12,FALSE)</f>
        <v>0</v>
      </c>
      <c r="G669" s="368">
        <f>HLOOKUP($C670,Water_emissions!$E$16:$CQ$32,17,FALSE)</f>
        <v>0</v>
      </c>
      <c r="H669" s="344" t="s">
        <v>1085</v>
      </c>
      <c r="I669" s="342" t="s">
        <v>2233</v>
      </c>
      <c r="J669" s="418" t="str">
        <f>Water_emissions!CY410</f>
        <v>[kg/bbl] kg of N-METHYLPYRROLIDONE emissions to water per bbl of crude throughput - High Complexity Hydro Cracking and Coking</v>
      </c>
      <c r="K669" s="419"/>
      <c r="L669" s="419"/>
      <c r="M669" s="419"/>
      <c r="N669" s="419"/>
      <c r="O669" s="419"/>
      <c r="P669" s="420"/>
      <c r="Q669" s="2"/>
      <c r="R669" s="2"/>
      <c r="S669" s="2"/>
      <c r="T669" s="2"/>
      <c r="U669" s="2"/>
      <c r="V669" s="2"/>
      <c r="W669" s="2"/>
      <c r="X669" s="2"/>
      <c r="Y669" s="2"/>
    </row>
    <row r="670" spans="1:25" ht="39" x14ac:dyDescent="0.25">
      <c r="A670" s="2"/>
      <c r="B670" s="17">
        <f t="shared" si="36"/>
        <v>11</v>
      </c>
      <c r="C670" s="340" t="str">
        <f>Water_emissions!CW411</f>
        <v>w_NMETHYLPY</v>
      </c>
      <c r="D670" s="39" t="str">
        <f>"IF(NC=0;"&amp;C665&amp;";IF(NC=1;"&amp;C666&amp;";IF(NC=2;"&amp;C667&amp;";IF(NC=3;"&amp;C668&amp;";"&amp;C669&amp;"))))/"&amp;$C$27</f>
        <v>IF(NC=0;w_NMETHYLPY_L;IF(NC=1;w_NMETHYLPY_M;IF(NC=2;w_NMETHYLPY_HiH;IF(NC=3;w_NMETHYLPY_HiC;w_NMETHYLPY_HiB))))/Density_oil</v>
      </c>
      <c r="E670" s="68">
        <f>IF($E$24=0,E665,IF($E$24=1,E666,IF($E$24=2,E667,IF($E$24=3,E668,E669))))/$E$27</f>
        <v>0</v>
      </c>
      <c r="F670" s="342"/>
      <c r="G670" s="343"/>
      <c r="H670" s="344" t="s">
        <v>489</v>
      </c>
      <c r="I670" s="342" t="s">
        <v>2233</v>
      </c>
      <c r="J670" s="418" t="str">
        <f>Water_emissions!CY411</f>
        <v>[kg/bbl] kg of N-METHYLPYRROLIDONE emissions to water per bbl of crude throughput</v>
      </c>
      <c r="K670" s="419"/>
      <c r="L670" s="419"/>
      <c r="M670" s="419"/>
      <c r="N670" s="419"/>
      <c r="O670" s="419"/>
      <c r="P670" s="420"/>
      <c r="Q670" s="2"/>
      <c r="R670" s="2"/>
      <c r="S670" s="2"/>
      <c r="T670" s="2"/>
      <c r="U670" s="2"/>
      <c r="V670" s="2"/>
      <c r="W670" s="2"/>
      <c r="X670" s="2"/>
      <c r="Y670" s="2"/>
    </row>
    <row r="671" spans="1:25" x14ac:dyDescent="0.25">
      <c r="A671" s="2"/>
      <c r="B671" s="17">
        <f t="shared" si="36"/>
        <v>11</v>
      </c>
      <c r="C671" s="340" t="str">
        <f>Water_emissions!CW412</f>
        <v>w_OXYLENE_L</v>
      </c>
      <c r="D671" s="341"/>
      <c r="E671" s="368">
        <f>HLOOKUP($C676,Water_emissions!$E$16:$CQ$32,3,FALSE)</f>
        <v>1.6054585591009432E-2</v>
      </c>
      <c r="F671" s="368">
        <f>HLOOKUP($C676,Water_emissions!$E$16:$CQ$32,8,FALSE)</f>
        <v>0</v>
      </c>
      <c r="G671" s="368">
        <f>HLOOKUP($C676,Water_emissions!$E$16:$CQ$32,13,FALSE)</f>
        <v>3.2109171182018864E-2</v>
      </c>
      <c r="H671" s="344" t="s">
        <v>1085</v>
      </c>
      <c r="I671" s="342" t="s">
        <v>2233</v>
      </c>
      <c r="J671" s="418" t="str">
        <f>Water_emissions!CY412</f>
        <v>[kg/bbl] kg of O-XYLENE emissions to water per bbl of crude throughput - Low Complexity</v>
      </c>
      <c r="K671" s="419"/>
      <c r="L671" s="419"/>
      <c r="M671" s="419"/>
      <c r="N671" s="419"/>
      <c r="O671" s="419"/>
      <c r="P671" s="420"/>
      <c r="Q671" s="2"/>
      <c r="R671" s="2"/>
      <c r="S671" s="2"/>
      <c r="T671" s="2"/>
      <c r="U671" s="2"/>
      <c r="V671" s="2"/>
      <c r="W671" s="2"/>
      <c r="X671" s="2"/>
      <c r="Y671" s="2"/>
    </row>
    <row r="672" spans="1:25" x14ac:dyDescent="0.25">
      <c r="A672" s="2"/>
      <c r="B672" s="17">
        <f t="shared" si="36"/>
        <v>11</v>
      </c>
      <c r="C672" s="340" t="str">
        <f>Water_emissions!CW413</f>
        <v>w_OXYLENE_M</v>
      </c>
      <c r="D672" s="341"/>
      <c r="E672" s="368">
        <f>HLOOKUP($C676,Water_emissions!$E$16:$CQ$32,4,FALSE)</f>
        <v>1.6054585591009432E-2</v>
      </c>
      <c r="F672" s="368">
        <f>HLOOKUP($C676,Water_emissions!$E$16:$CQ$32,9,FALSE)</f>
        <v>0</v>
      </c>
      <c r="G672" s="368">
        <f>HLOOKUP($C676,Water_emissions!$E$16:$CQ$32,14,FALSE)</f>
        <v>3.2109171182018864E-2</v>
      </c>
      <c r="H672" s="344" t="s">
        <v>1085</v>
      </c>
      <c r="I672" s="342" t="s">
        <v>2233</v>
      </c>
      <c r="J672" s="418" t="str">
        <f>Water_emissions!CY413</f>
        <v>[kg/bbl] kg of O-XYLENE emissions to water per bbl of crude throughput - Med Complexity</v>
      </c>
      <c r="K672" s="419"/>
      <c r="L672" s="419"/>
      <c r="M672" s="419"/>
      <c r="N672" s="419"/>
      <c r="O672" s="419"/>
      <c r="P672" s="420"/>
      <c r="Q672" s="2"/>
      <c r="R672" s="2"/>
      <c r="S672" s="2"/>
      <c r="T672" s="2"/>
      <c r="U672" s="2"/>
      <c r="V672" s="2"/>
      <c r="W672" s="2"/>
      <c r="X672" s="2"/>
      <c r="Y672" s="2"/>
    </row>
    <row r="673" spans="1:25" x14ac:dyDescent="0.25">
      <c r="A673" s="2"/>
      <c r="B673" s="17">
        <f t="shared" si="36"/>
        <v>13</v>
      </c>
      <c r="C673" s="340" t="str">
        <f>Water_emissions!CW414</f>
        <v>w_OXYLENE_HiH</v>
      </c>
      <c r="D673" s="341"/>
      <c r="E673" s="368">
        <f>HLOOKUP($C676,Water_emissions!$E$16:$CQ$32,5,FALSE)</f>
        <v>1.6054585591009432E-2</v>
      </c>
      <c r="F673" s="368">
        <f>HLOOKUP($C676,Water_emissions!$E$16:$CQ$32,10,FALSE)</f>
        <v>0</v>
      </c>
      <c r="G673" s="368">
        <f>HLOOKUP($C676,Water_emissions!$E$16:$CQ$32,15,FALSE)</f>
        <v>3.2109171182018864E-2</v>
      </c>
      <c r="H673" s="344" t="s">
        <v>1085</v>
      </c>
      <c r="I673" s="342" t="s">
        <v>2233</v>
      </c>
      <c r="J673" s="418" t="str">
        <f>Water_emissions!CY414</f>
        <v>[kg/bbl] kg of O-XYLENE emissions to water per bbl of crude throughput - High Complexity Hydro Cracking</v>
      </c>
      <c r="K673" s="419"/>
      <c r="L673" s="419"/>
      <c r="M673" s="419"/>
      <c r="N673" s="419"/>
      <c r="O673" s="419"/>
      <c r="P673" s="420"/>
      <c r="Q673" s="2"/>
      <c r="R673" s="2"/>
      <c r="S673" s="2"/>
      <c r="T673" s="2"/>
      <c r="U673" s="2"/>
      <c r="V673" s="2"/>
      <c r="W673" s="2"/>
      <c r="X673" s="2"/>
      <c r="Y673" s="2"/>
    </row>
    <row r="674" spans="1:25" x14ac:dyDescent="0.25">
      <c r="A674" s="2"/>
      <c r="B674" s="17">
        <f t="shared" si="36"/>
        <v>13</v>
      </c>
      <c r="C674" s="340" t="str">
        <f>Water_emissions!CW415</f>
        <v>w_OXYLENE_HiC</v>
      </c>
      <c r="D674" s="341"/>
      <c r="E674" s="368">
        <f>HLOOKUP($C676,Water_emissions!$E$16:$CQ$32,6,FALSE)</f>
        <v>0</v>
      </c>
      <c r="F674" s="368">
        <f>HLOOKUP($C676,Water_emissions!$E$16:$CQ$32,11,FALSE)</f>
        <v>0</v>
      </c>
      <c r="G674" s="368">
        <f>HLOOKUP($C676,Water_emissions!$E$16:$CQ$32,16,FALSE)</f>
        <v>0</v>
      </c>
      <c r="H674" s="344" t="s">
        <v>1085</v>
      </c>
      <c r="I674" s="342" t="s">
        <v>2233</v>
      </c>
      <c r="J674" s="418" t="str">
        <f>Water_emissions!CY415</f>
        <v>[kg/bbl] kg of O-XYLENE emissions to water per bbl of crude throughput - High Complexity Coking</v>
      </c>
      <c r="K674" s="419"/>
      <c r="L674" s="419"/>
      <c r="M674" s="419"/>
      <c r="N674" s="419"/>
      <c r="O674" s="419"/>
      <c r="P674" s="420"/>
      <c r="Q674" s="2"/>
      <c r="R674" s="2"/>
      <c r="S674" s="2"/>
      <c r="T674" s="2"/>
      <c r="U674" s="2"/>
      <c r="V674" s="2"/>
      <c r="W674" s="2"/>
      <c r="X674" s="2"/>
      <c r="Y674" s="2"/>
    </row>
    <row r="675" spans="1:25" x14ac:dyDescent="0.25">
      <c r="A675" s="2"/>
      <c r="B675" s="17">
        <f t="shared" si="36"/>
        <v>13</v>
      </c>
      <c r="C675" s="340" t="str">
        <f>Water_emissions!CW416</f>
        <v>w_OXYLENE_HiB</v>
      </c>
      <c r="D675" s="341"/>
      <c r="E675" s="368">
        <f>HLOOKUP($C676,Water_emissions!$E$16:$CQ$32,7,FALSE)</f>
        <v>3.2109171182018864E-2</v>
      </c>
      <c r="F675" s="368">
        <f>HLOOKUP($C676,Water_emissions!$E$16:$CQ$32,12,FALSE)</f>
        <v>3.2109171182018864E-2</v>
      </c>
      <c r="G675" s="368">
        <f>HLOOKUP($C676,Water_emissions!$E$16:$CQ$32,17,FALSE)</f>
        <v>3.2109171182018864E-2</v>
      </c>
      <c r="H675" s="344" t="s">
        <v>1085</v>
      </c>
      <c r="I675" s="342" t="s">
        <v>2233</v>
      </c>
      <c r="J675" s="418" t="str">
        <f>Water_emissions!CY416</f>
        <v>[kg/bbl] kg of O-XYLENE emissions to water per bbl of crude throughput - High Complexity Hydro Cracking and Coking</v>
      </c>
      <c r="K675" s="419"/>
      <c r="L675" s="419"/>
      <c r="M675" s="419"/>
      <c r="N675" s="419"/>
      <c r="O675" s="419"/>
      <c r="P675" s="420"/>
      <c r="Q675" s="2"/>
      <c r="R675" s="2"/>
      <c r="S675" s="2"/>
      <c r="T675" s="2"/>
      <c r="U675" s="2"/>
      <c r="V675" s="2"/>
      <c r="W675" s="2"/>
      <c r="X675" s="2"/>
      <c r="Y675" s="2"/>
    </row>
    <row r="676" spans="1:25" ht="39" x14ac:dyDescent="0.25">
      <c r="A676" s="2"/>
      <c r="B676" s="17">
        <f t="shared" si="36"/>
        <v>9</v>
      </c>
      <c r="C676" s="340" t="str">
        <f>Water_emissions!CW417</f>
        <v>w_OXYLENE</v>
      </c>
      <c r="D676" s="39" t="str">
        <f>"IF(NC=0;"&amp;C671&amp;";IF(NC=1;"&amp;C672&amp;";IF(NC=2;"&amp;C673&amp;";IF(NC=3;"&amp;C674&amp;";"&amp;C675&amp;"))))/"&amp;$C$27</f>
        <v>IF(NC=0;w_OXYLENE_L;IF(NC=1;w_OXYLENE_M;IF(NC=2;w_OXYLENE_HiH;IF(NC=3;w_OXYLENE_HiC;w_OXYLENE_HiB))))/Density_oil</v>
      </c>
      <c r="E676" s="68">
        <f>IF($E$24=0,E671,IF($E$24=1,E672,IF($E$24=2,E673,IF($E$24=3,E674,E675))))/$E$27</f>
        <v>2.3151965135380676E-4</v>
      </c>
      <c r="F676" s="342"/>
      <c r="G676" s="343"/>
      <c r="H676" s="344" t="s">
        <v>489</v>
      </c>
      <c r="I676" s="342" t="s">
        <v>2233</v>
      </c>
      <c r="J676" s="418" t="str">
        <f>Water_emissions!CY417</f>
        <v>[kg/bbl] kg of O-XYLENE emissions to water per bbl of crude throughput</v>
      </c>
      <c r="K676" s="419"/>
      <c r="L676" s="419"/>
      <c r="M676" s="419"/>
      <c r="N676" s="419"/>
      <c r="O676" s="419"/>
      <c r="P676" s="420"/>
      <c r="Q676" s="2"/>
      <c r="R676" s="2"/>
      <c r="S676" s="2"/>
      <c r="T676" s="2"/>
      <c r="U676" s="2"/>
      <c r="V676" s="2"/>
      <c r="W676" s="2"/>
      <c r="X676" s="2"/>
      <c r="Y676" s="2"/>
    </row>
    <row r="677" spans="1:25" x14ac:dyDescent="0.25">
      <c r="A677" s="2"/>
      <c r="B677" s="17">
        <f t="shared" si="36"/>
        <v>13</v>
      </c>
      <c r="C677" s="340" t="str">
        <f>Water_emissions!CW418</f>
        <v>w_PERCHLORO_L</v>
      </c>
      <c r="D677" s="341"/>
      <c r="E677" s="368">
        <f>HLOOKUP($C682,Water_emissions!$E$16:$CQ$32,3,FALSE)</f>
        <v>0</v>
      </c>
      <c r="F677" s="368">
        <f>HLOOKUP($C682,Water_emissions!$E$16:$CQ$32,8,FALSE)</f>
        <v>0</v>
      </c>
      <c r="G677" s="368">
        <f>HLOOKUP($C682,Water_emissions!$E$16:$CQ$32,13,FALSE)</f>
        <v>0</v>
      </c>
      <c r="H677" s="344" t="s">
        <v>1085</v>
      </c>
      <c r="I677" s="342" t="s">
        <v>2233</v>
      </c>
      <c r="J677" s="418" t="str">
        <f>Water_emissions!CY418</f>
        <v>[kg/bbl] kg of PERCHLOROETHYLENE emissions to water per bbl of crude throughput - Low Complexity</v>
      </c>
      <c r="K677" s="419"/>
      <c r="L677" s="419"/>
      <c r="M677" s="419"/>
      <c r="N677" s="419"/>
      <c r="O677" s="419"/>
      <c r="P677" s="420"/>
      <c r="Q677" s="2"/>
      <c r="R677" s="2"/>
      <c r="S677" s="2"/>
      <c r="T677" s="2"/>
      <c r="U677" s="2"/>
      <c r="V677" s="2"/>
      <c r="W677" s="2"/>
      <c r="X677" s="2"/>
      <c r="Y677" s="2"/>
    </row>
    <row r="678" spans="1:25" x14ac:dyDescent="0.25">
      <c r="A678" s="2"/>
      <c r="B678" s="17">
        <f t="shared" si="36"/>
        <v>13</v>
      </c>
      <c r="C678" s="340" t="str">
        <f>Water_emissions!CW419</f>
        <v>w_PERCHLORO_M</v>
      </c>
      <c r="D678" s="341"/>
      <c r="E678" s="368">
        <f>HLOOKUP($C682,Water_emissions!$E$16:$CQ$32,4,FALSE)</f>
        <v>1.1706468660111044E-3</v>
      </c>
      <c r="F678" s="368">
        <f>HLOOKUP($C682,Water_emissions!$E$16:$CQ$32,9,FALSE)</f>
        <v>0</v>
      </c>
      <c r="G678" s="368">
        <f>HLOOKUP($C682,Water_emissions!$E$16:$CQ$32,14,FALSE)</f>
        <v>3.5119405980333133E-3</v>
      </c>
      <c r="H678" s="344" t="s">
        <v>1085</v>
      </c>
      <c r="I678" s="342" t="s">
        <v>2233</v>
      </c>
      <c r="J678" s="418" t="str">
        <f>Water_emissions!CY419</f>
        <v>[kg/bbl] kg of PERCHLOROETHYLENE emissions to water per bbl of crude throughput - Med Complexity</v>
      </c>
      <c r="K678" s="419"/>
      <c r="L678" s="419"/>
      <c r="M678" s="419"/>
      <c r="N678" s="419"/>
      <c r="O678" s="419"/>
      <c r="P678" s="420"/>
      <c r="Q678" s="2"/>
      <c r="R678" s="2"/>
      <c r="S678" s="2"/>
      <c r="T678" s="2"/>
      <c r="U678" s="2"/>
      <c r="V678" s="2"/>
      <c r="W678" s="2"/>
      <c r="X678" s="2"/>
      <c r="Y678" s="2"/>
    </row>
    <row r="679" spans="1:25" x14ac:dyDescent="0.25">
      <c r="A679" s="2"/>
      <c r="B679" s="17">
        <f t="shared" si="36"/>
        <v>15</v>
      </c>
      <c r="C679" s="340" t="str">
        <f>Water_emissions!CW420</f>
        <v>w_PERCHLORO_HiH</v>
      </c>
      <c r="D679" s="341"/>
      <c r="E679" s="368">
        <f>HLOOKUP($C682,Water_emissions!$E$16:$CQ$32,5,FALSE)</f>
        <v>6.5194431773101381E-4</v>
      </c>
      <c r="F679" s="368">
        <f>HLOOKUP($C682,Water_emissions!$E$16:$CQ$32,10,FALSE)</f>
        <v>6.5194431773101381E-4</v>
      </c>
      <c r="G679" s="368">
        <f>HLOOKUP($C682,Water_emissions!$E$16:$CQ$32,15,FALSE)</f>
        <v>6.5194431773101381E-4</v>
      </c>
      <c r="H679" s="344" t="s">
        <v>1085</v>
      </c>
      <c r="I679" s="342" t="s">
        <v>2233</v>
      </c>
      <c r="J679" s="418" t="str">
        <f>Water_emissions!CY420</f>
        <v>[kg/bbl] kg of PERCHLOROETHYLENE emissions to water per bbl of crude throughput - High Complexity Hydro Cracking</v>
      </c>
      <c r="K679" s="419"/>
      <c r="L679" s="419"/>
      <c r="M679" s="419"/>
      <c r="N679" s="419"/>
      <c r="O679" s="419"/>
      <c r="P679" s="420"/>
      <c r="Q679" s="2"/>
      <c r="R679" s="2"/>
      <c r="S679" s="2"/>
      <c r="T679" s="2"/>
      <c r="U679" s="2"/>
      <c r="V679" s="2"/>
      <c r="W679" s="2"/>
      <c r="X679" s="2"/>
      <c r="Y679" s="2"/>
    </row>
    <row r="680" spans="1:25" x14ac:dyDescent="0.25">
      <c r="A680" s="2"/>
      <c r="B680" s="17">
        <f t="shared" si="36"/>
        <v>15</v>
      </c>
      <c r="C680" s="340" t="str">
        <f>Water_emissions!CW421</f>
        <v>w_PERCHLORO_HiC</v>
      </c>
      <c r="D680" s="341"/>
      <c r="E680" s="368">
        <f>HLOOKUP($C682,Water_emissions!$E$16:$CQ$32,6,FALSE)</f>
        <v>3.902117349011378E-3</v>
      </c>
      <c r="F680" s="368">
        <f>HLOOKUP($C682,Water_emissions!$E$16:$CQ$32,11,FALSE)</f>
        <v>0</v>
      </c>
      <c r="G680" s="368">
        <f>HLOOKUP($C682,Water_emissions!$E$16:$CQ$32,16,FALSE)</f>
        <v>1.8395879323031643E-2</v>
      </c>
      <c r="H680" s="344" t="s">
        <v>1085</v>
      </c>
      <c r="I680" s="342" t="s">
        <v>2233</v>
      </c>
      <c r="J680" s="418" t="str">
        <f>Water_emissions!CY421</f>
        <v>[kg/bbl] kg of PERCHLOROETHYLENE emissions to water per bbl of crude throughput - High Complexity Coking</v>
      </c>
      <c r="K680" s="419"/>
      <c r="L680" s="419"/>
      <c r="M680" s="419"/>
      <c r="N680" s="419"/>
      <c r="O680" s="419"/>
      <c r="P680" s="420"/>
      <c r="Q680" s="2"/>
      <c r="R680" s="2"/>
      <c r="S680" s="2"/>
      <c r="T680" s="2"/>
      <c r="U680" s="2"/>
      <c r="V680" s="2"/>
      <c r="W680" s="2"/>
      <c r="X680" s="2"/>
      <c r="Y680" s="2"/>
    </row>
    <row r="681" spans="1:25" x14ac:dyDescent="0.25">
      <c r="A681" s="2"/>
      <c r="B681" s="17">
        <f t="shared" si="36"/>
        <v>15</v>
      </c>
      <c r="C681" s="340" t="str">
        <f>Water_emissions!CW422</f>
        <v>w_PERCHLORO_HiB</v>
      </c>
      <c r="D681" s="341"/>
      <c r="E681" s="368">
        <f>HLOOKUP($C682,Water_emissions!$E$16:$CQ$32,7,FALSE)</f>
        <v>6.8364152457422635E-3</v>
      </c>
      <c r="F681" s="368">
        <f>HLOOKUP($C682,Water_emissions!$E$16:$CQ$32,12,FALSE)</f>
        <v>0</v>
      </c>
      <c r="G681" s="368">
        <f>HLOOKUP($C682,Water_emissions!$E$16:$CQ$32,17,FALSE)</f>
        <v>5.5152715061748257E-2</v>
      </c>
      <c r="H681" s="344" t="s">
        <v>1085</v>
      </c>
      <c r="I681" s="342" t="s">
        <v>2233</v>
      </c>
      <c r="J681" s="418" t="str">
        <f>Water_emissions!CY422</f>
        <v>[kg/bbl] kg of PERCHLOROETHYLENE emissions to water per bbl of crude throughput - High Complexity Hydro Cracking and Coking</v>
      </c>
      <c r="K681" s="419"/>
      <c r="L681" s="419"/>
      <c r="M681" s="419"/>
      <c r="N681" s="419"/>
      <c r="O681" s="419"/>
      <c r="P681" s="420"/>
      <c r="Q681" s="2"/>
      <c r="R681" s="2"/>
      <c r="S681" s="2"/>
      <c r="T681" s="2"/>
      <c r="U681" s="2"/>
      <c r="V681" s="2"/>
      <c r="W681" s="2"/>
      <c r="X681" s="2"/>
      <c r="Y681" s="2"/>
    </row>
    <row r="682" spans="1:25" ht="39" x14ac:dyDescent="0.25">
      <c r="A682" s="2"/>
      <c r="B682" s="17">
        <f t="shared" si="36"/>
        <v>11</v>
      </c>
      <c r="C682" s="340" t="str">
        <f>Water_emissions!CW423</f>
        <v>w_PERCHLORO</v>
      </c>
      <c r="D682" s="39" t="str">
        <f>"IF(NC=0;"&amp;C677&amp;";IF(NC=1;"&amp;C678&amp;";IF(NC=2;"&amp;C679&amp;";IF(NC=3;"&amp;C680&amp;";"&amp;C681&amp;"))))/"&amp;$C$27</f>
        <v>IF(NC=0;w_PERCHLORO_L;IF(NC=1;w_PERCHLORO_M;IF(NC=2;w_PERCHLORO_HiH;IF(NC=3;w_PERCHLORO_HiC;w_PERCHLORO_HiB))))/Density_oil</v>
      </c>
      <c r="E682" s="68">
        <f>IF($E$24=0,E677,IF($E$24=1,E678,IF($E$24=2,E679,IF($E$24=3,E680,E681))))/$E$27</f>
        <v>4.9293221093493879E-5</v>
      </c>
      <c r="F682" s="342"/>
      <c r="G682" s="343"/>
      <c r="H682" s="344" t="s">
        <v>489</v>
      </c>
      <c r="I682" s="342" t="s">
        <v>2233</v>
      </c>
      <c r="J682" s="418" t="str">
        <f>Water_emissions!CY423</f>
        <v>[kg/bbl] kg of PERCHLOROETHYLENE emissions to water per bbl of crude throughput</v>
      </c>
      <c r="K682" s="419"/>
      <c r="L682" s="419"/>
      <c r="M682" s="419"/>
      <c r="N682" s="419"/>
      <c r="O682" s="419"/>
      <c r="P682" s="420"/>
      <c r="Q682" s="2"/>
      <c r="R682" s="2"/>
      <c r="S682" s="2"/>
      <c r="T682" s="2"/>
      <c r="U682" s="2"/>
      <c r="V682" s="2"/>
      <c r="W682" s="2"/>
      <c r="X682" s="2"/>
      <c r="Y682" s="2"/>
    </row>
    <row r="683" spans="1:25" x14ac:dyDescent="0.25">
      <c r="A683" s="2"/>
      <c r="B683" s="17">
        <f t="shared" si="36"/>
        <v>13</v>
      </c>
      <c r="C683" s="340" t="str">
        <f>Water_emissions!CW424</f>
        <v>w_PHENANTHR_L</v>
      </c>
      <c r="D683" s="341"/>
      <c r="E683" s="368">
        <f>HLOOKUP($C688,Water_emissions!$E$16:$CQ$32,3,FALSE)</f>
        <v>2.8548179052552401E-3</v>
      </c>
      <c r="F683" s="368">
        <f>HLOOKUP($C688,Water_emissions!$E$16:$CQ$32,8,FALSE)</f>
        <v>0</v>
      </c>
      <c r="G683" s="368">
        <f>HLOOKUP($C688,Water_emissions!$E$16:$CQ$32,13,FALSE)</f>
        <v>8.5635989952043846E-3</v>
      </c>
      <c r="H683" s="344" t="s">
        <v>1085</v>
      </c>
      <c r="I683" s="342" t="s">
        <v>2233</v>
      </c>
      <c r="J683" s="418" t="str">
        <f>Water_emissions!CY424</f>
        <v>[kg/bbl] kg of PHENANTHRENE emissions to water per bbl of crude throughput - Low Complexity</v>
      </c>
      <c r="K683" s="419"/>
      <c r="L683" s="419"/>
      <c r="M683" s="419"/>
      <c r="N683" s="419"/>
      <c r="O683" s="419"/>
      <c r="P683" s="420"/>
      <c r="Q683" s="2"/>
      <c r="R683" s="2"/>
      <c r="S683" s="2"/>
      <c r="T683" s="2"/>
      <c r="U683" s="2"/>
      <c r="V683" s="2"/>
      <c r="W683" s="2"/>
      <c r="X683" s="2"/>
      <c r="Y683" s="2"/>
    </row>
    <row r="684" spans="1:25" x14ac:dyDescent="0.25">
      <c r="A684" s="2"/>
      <c r="B684" s="17">
        <f t="shared" si="36"/>
        <v>13</v>
      </c>
      <c r="C684" s="340" t="str">
        <f>Water_emissions!CW425</f>
        <v>w_PHENANTHR_M</v>
      </c>
      <c r="D684" s="341"/>
      <c r="E684" s="368">
        <f>HLOOKUP($C688,Water_emissions!$E$16:$CQ$32,4,FALSE)</f>
        <v>4.4018711237254282E-3</v>
      </c>
      <c r="F684" s="368">
        <f>HLOOKUP($C688,Water_emissions!$E$16:$CQ$32,9,FALSE)</f>
        <v>0</v>
      </c>
      <c r="G684" s="368">
        <f>HLOOKUP($C688,Water_emissions!$E$16:$CQ$32,14,FALSE)</f>
        <v>1.1825922421948911E-2</v>
      </c>
      <c r="H684" s="344" t="s">
        <v>1085</v>
      </c>
      <c r="I684" s="342" t="s">
        <v>2233</v>
      </c>
      <c r="J684" s="418" t="str">
        <f>Water_emissions!CY425</f>
        <v>[kg/bbl] kg of PHENANTHRENE emissions to water per bbl of crude throughput - Med Complexity</v>
      </c>
      <c r="K684" s="419"/>
      <c r="L684" s="419"/>
      <c r="M684" s="419"/>
      <c r="N684" s="419"/>
      <c r="O684" s="419"/>
      <c r="P684" s="420"/>
      <c r="Q684" s="2"/>
      <c r="R684" s="2"/>
      <c r="S684" s="2"/>
      <c r="T684" s="2"/>
      <c r="U684" s="2"/>
      <c r="V684" s="2"/>
      <c r="W684" s="2"/>
      <c r="X684" s="2"/>
      <c r="Y684" s="2"/>
    </row>
    <row r="685" spans="1:25" x14ac:dyDescent="0.25">
      <c r="A685" s="2"/>
      <c r="B685" s="17">
        <f t="shared" si="36"/>
        <v>15</v>
      </c>
      <c r="C685" s="340" t="str">
        <f>Water_emissions!CW426</f>
        <v>w_PHENANTHR_HiH</v>
      </c>
      <c r="D685" s="341"/>
      <c r="E685" s="368">
        <f>HLOOKUP($C688,Water_emissions!$E$16:$CQ$32,5,FALSE)</f>
        <v>4.4193269833607629E-3</v>
      </c>
      <c r="F685" s="368">
        <f>HLOOKUP($C688,Water_emissions!$E$16:$CQ$32,10,FALSE)</f>
        <v>0</v>
      </c>
      <c r="G685" s="368">
        <f>HLOOKUP($C688,Water_emissions!$E$16:$CQ$32,15,FALSE)</f>
        <v>8.8386539667215259E-3</v>
      </c>
      <c r="H685" s="344" t="s">
        <v>1085</v>
      </c>
      <c r="I685" s="342" t="s">
        <v>2233</v>
      </c>
      <c r="J685" s="418" t="str">
        <f>Water_emissions!CY426</f>
        <v>[kg/bbl] kg of PHENANTHRENE emissions to water per bbl of crude throughput - High Complexity Hydro Cracking</v>
      </c>
      <c r="K685" s="419"/>
      <c r="L685" s="419"/>
      <c r="M685" s="419"/>
      <c r="N685" s="419"/>
      <c r="O685" s="419"/>
      <c r="P685" s="420"/>
      <c r="Q685" s="2"/>
      <c r="R685" s="2"/>
      <c r="S685" s="2"/>
      <c r="T685" s="2"/>
      <c r="U685" s="2"/>
      <c r="V685" s="2"/>
      <c r="W685" s="2"/>
      <c r="X685" s="2"/>
      <c r="Y685" s="2"/>
    </row>
    <row r="686" spans="1:25" x14ac:dyDescent="0.25">
      <c r="A686" s="2"/>
      <c r="B686" s="17">
        <f t="shared" si="36"/>
        <v>15</v>
      </c>
      <c r="C686" s="340" t="str">
        <f>Water_emissions!CW427</f>
        <v>w_PHENANTHR_HiC</v>
      </c>
      <c r="D686" s="341"/>
      <c r="E686" s="368">
        <f>HLOOKUP($C688,Water_emissions!$E$16:$CQ$32,6,FALSE)</f>
        <v>0</v>
      </c>
      <c r="F686" s="368">
        <f>HLOOKUP($C688,Water_emissions!$E$16:$CQ$32,11,FALSE)</f>
        <v>0</v>
      </c>
      <c r="G686" s="368">
        <f>HLOOKUP($C688,Water_emissions!$E$16:$CQ$32,16,FALSE)</f>
        <v>0</v>
      </c>
      <c r="H686" s="344" t="s">
        <v>1085</v>
      </c>
      <c r="I686" s="342" t="s">
        <v>2233</v>
      </c>
      <c r="J686" s="418" t="str">
        <f>Water_emissions!CY427</f>
        <v>[kg/bbl] kg of PHENANTHRENE emissions to water per bbl of crude throughput - High Complexity Coking</v>
      </c>
      <c r="K686" s="419"/>
      <c r="L686" s="419"/>
      <c r="M686" s="419"/>
      <c r="N686" s="419"/>
      <c r="O686" s="419"/>
      <c r="P686" s="420"/>
      <c r="Q686" s="2"/>
      <c r="R686" s="2"/>
      <c r="S686" s="2"/>
      <c r="T686" s="2"/>
      <c r="U686" s="2"/>
      <c r="V686" s="2"/>
      <c r="W686" s="2"/>
      <c r="X686" s="2"/>
      <c r="Y686" s="2"/>
    </row>
    <row r="687" spans="1:25" x14ac:dyDescent="0.25">
      <c r="A687" s="2"/>
      <c r="B687" s="17">
        <f t="shared" si="36"/>
        <v>15</v>
      </c>
      <c r="C687" s="340" t="str">
        <f>Water_emissions!CW428</f>
        <v>w_PHENANTHR_HiB</v>
      </c>
      <c r="D687" s="341"/>
      <c r="E687" s="368">
        <f>HLOOKUP($C688,Water_emissions!$E$16:$CQ$32,7,FALSE)</f>
        <v>4.6858882971654364E-3</v>
      </c>
      <c r="F687" s="368">
        <f>HLOOKUP($C688,Water_emissions!$E$16:$CQ$32,12,FALSE)</f>
        <v>0</v>
      </c>
      <c r="G687" s="368">
        <f>HLOOKUP($C688,Water_emissions!$E$16:$CQ$32,17,FALSE)</f>
        <v>3.6921544592927992E-2</v>
      </c>
      <c r="H687" s="344" t="s">
        <v>1085</v>
      </c>
      <c r="I687" s="342" t="s">
        <v>2233</v>
      </c>
      <c r="J687" s="418" t="str">
        <f>Water_emissions!CY428</f>
        <v>[kg/bbl] kg of PHENANTHRENE emissions to water per bbl of crude throughput - High Complexity Hydro Cracking and Coking</v>
      </c>
      <c r="K687" s="419"/>
      <c r="L687" s="419"/>
      <c r="M687" s="419"/>
      <c r="N687" s="419"/>
      <c r="O687" s="419"/>
      <c r="P687" s="420"/>
      <c r="Q687" s="2"/>
      <c r="R687" s="2"/>
      <c r="S687" s="2"/>
      <c r="T687" s="2"/>
      <c r="U687" s="2"/>
      <c r="V687" s="2"/>
      <c r="W687" s="2"/>
      <c r="X687" s="2"/>
      <c r="Y687" s="2"/>
    </row>
    <row r="688" spans="1:25" ht="39" x14ac:dyDescent="0.25">
      <c r="A688" s="2"/>
      <c r="B688" s="17">
        <f t="shared" si="36"/>
        <v>11</v>
      </c>
      <c r="C688" s="340" t="str">
        <f>Water_emissions!CW429</f>
        <v>w_PHENANTHR</v>
      </c>
      <c r="D688" s="39" t="str">
        <f>"IF(NC=0;"&amp;C683&amp;";IF(NC=1;"&amp;C684&amp;";IF(NC=2;"&amp;C685&amp;";IF(NC=3;"&amp;C686&amp;";"&amp;C687&amp;"))))/"&amp;$C$27</f>
        <v>IF(NC=0;w_PHENANTHR_L;IF(NC=1;w_PHENANTHR_M;IF(NC=2;w_PHENANTHR_HiH;IF(NC=3;w_PHENANTHR_HiC;w_PHENANTHR_HiB))))/Density_oil</v>
      </c>
      <c r="E688" s="68">
        <f>IF($E$24=0,E683,IF($E$24=1,E684,IF($E$24=2,E685,IF($E$24=3,E686,E687))))/$E$27</f>
        <v>3.3787082783692506E-5</v>
      </c>
      <c r="F688" s="342"/>
      <c r="G688" s="343"/>
      <c r="H688" s="344" t="s">
        <v>489</v>
      </c>
      <c r="I688" s="342" t="s">
        <v>2233</v>
      </c>
      <c r="J688" s="418" t="str">
        <f>Water_emissions!CY429</f>
        <v>[kg/bbl] kg of PHENANTHRENE emissions to water per bbl of crude throughput</v>
      </c>
      <c r="K688" s="419"/>
      <c r="L688" s="419"/>
      <c r="M688" s="419"/>
      <c r="N688" s="419"/>
      <c r="O688" s="419"/>
      <c r="P688" s="420"/>
      <c r="Q688" s="2"/>
      <c r="R688" s="2"/>
      <c r="S688" s="2"/>
      <c r="T688" s="2"/>
      <c r="U688" s="2"/>
      <c r="V688" s="2"/>
      <c r="W688" s="2"/>
      <c r="X688" s="2"/>
      <c r="Y688" s="2"/>
    </row>
    <row r="689" spans="1:25" x14ac:dyDescent="0.25">
      <c r="A689" s="2"/>
      <c r="B689" s="17">
        <f t="shared" si="36"/>
        <v>10</v>
      </c>
      <c r="C689" s="340" t="str">
        <f>Water_emissions!CW430</f>
        <v>w_PHENOL_L</v>
      </c>
      <c r="D689" s="341"/>
      <c r="E689" s="368">
        <f>HLOOKUP($C694,Water_emissions!$E$16:$CQ$32,3,FALSE)</f>
        <v>2.3430312345170345E-2</v>
      </c>
      <c r="F689" s="368">
        <f>HLOOKUP($C694,Water_emissions!$E$16:$CQ$32,8,FALSE)</f>
        <v>3.8908904338435684E-8</v>
      </c>
      <c r="G689" s="368">
        <f>HLOOKUP($C694,Water_emissions!$E$16:$CQ$32,13,FALSE)</f>
        <v>6.5654258963233611E-2</v>
      </c>
      <c r="H689" s="344" t="s">
        <v>1085</v>
      </c>
      <c r="I689" s="342" t="s">
        <v>2233</v>
      </c>
      <c r="J689" s="418" t="str">
        <f>Water_emissions!CY430</f>
        <v>[kg/bbl] kg of PHENOL emissions to water per bbl of crude throughput - Low Complexity</v>
      </c>
      <c r="K689" s="419"/>
      <c r="L689" s="419"/>
      <c r="M689" s="419"/>
      <c r="N689" s="419"/>
      <c r="O689" s="419"/>
      <c r="P689" s="420"/>
      <c r="Q689" s="2"/>
      <c r="R689" s="2"/>
      <c r="S689" s="2"/>
      <c r="T689" s="2"/>
      <c r="U689" s="2"/>
      <c r="V689" s="2"/>
      <c r="W689" s="2"/>
      <c r="X689" s="2"/>
      <c r="Y689" s="2"/>
    </row>
    <row r="690" spans="1:25" x14ac:dyDescent="0.25">
      <c r="A690" s="2"/>
      <c r="B690" s="17">
        <f t="shared" si="36"/>
        <v>10</v>
      </c>
      <c r="C690" s="340" t="str">
        <f>Water_emissions!CW431</f>
        <v>w_PHENOL_M</v>
      </c>
      <c r="D690" s="341"/>
      <c r="E690" s="368">
        <f>HLOOKUP($C694,Water_emissions!$E$16:$CQ$32,4,FALSE)</f>
        <v>9.7022000539797232E-2</v>
      </c>
      <c r="F690" s="368">
        <f>HLOOKUP($C694,Water_emissions!$E$16:$CQ$32,9,FALSE)</f>
        <v>0</v>
      </c>
      <c r="G690" s="368">
        <f>HLOOKUP($C694,Water_emissions!$E$16:$CQ$32,14,FALSE)</f>
        <v>0.45583095500313425</v>
      </c>
      <c r="H690" s="344" t="s">
        <v>1085</v>
      </c>
      <c r="I690" s="342" t="s">
        <v>2233</v>
      </c>
      <c r="J690" s="418" t="str">
        <f>Water_emissions!CY431</f>
        <v>[kg/bbl] kg of PHENOL emissions to water per bbl of crude throughput - Med Complexity</v>
      </c>
      <c r="K690" s="419"/>
      <c r="L690" s="419"/>
      <c r="M690" s="419"/>
      <c r="N690" s="419"/>
      <c r="O690" s="419"/>
      <c r="P690" s="420"/>
      <c r="Q690" s="2"/>
      <c r="R690" s="2"/>
      <c r="S690" s="2"/>
      <c r="T690" s="2"/>
      <c r="U690" s="2"/>
      <c r="V690" s="2"/>
      <c r="W690" s="2"/>
      <c r="X690" s="2"/>
      <c r="Y690" s="2"/>
    </row>
    <row r="691" spans="1:25" x14ac:dyDescent="0.25">
      <c r="A691" s="2"/>
      <c r="B691" s="17">
        <f t="shared" si="36"/>
        <v>12</v>
      </c>
      <c r="C691" s="340" t="str">
        <f>Water_emissions!CW432</f>
        <v>w_PHENOL_HiH</v>
      </c>
      <c r="D691" s="341"/>
      <c r="E691" s="368">
        <f>HLOOKUP($C694,Water_emissions!$E$16:$CQ$32,5,FALSE)</f>
        <v>0.7582154708829697</v>
      </c>
      <c r="F691" s="368">
        <f>HLOOKUP($C694,Water_emissions!$E$16:$CQ$32,10,FALSE)</f>
        <v>6.2645426883837477E-4</v>
      </c>
      <c r="G691" s="368">
        <f>HLOOKUP($C694,Water_emissions!$E$16:$CQ$32,15,FALSE)</f>
        <v>3.9156657959687444</v>
      </c>
      <c r="H691" s="344" t="s">
        <v>1085</v>
      </c>
      <c r="I691" s="342" t="s">
        <v>2233</v>
      </c>
      <c r="J691" s="418" t="str">
        <f>Water_emissions!CY432</f>
        <v>[kg/bbl] kg of PHENOL emissions to water per bbl of crude throughput - High Complexity Hydro Cracking</v>
      </c>
      <c r="K691" s="419"/>
      <c r="L691" s="419"/>
      <c r="M691" s="419"/>
      <c r="N691" s="419"/>
      <c r="O691" s="419"/>
      <c r="P691" s="420"/>
      <c r="Q691" s="2"/>
      <c r="R691" s="2"/>
      <c r="S691" s="2"/>
      <c r="T691" s="2"/>
      <c r="U691" s="2"/>
      <c r="V691" s="2"/>
      <c r="W691" s="2"/>
      <c r="X691" s="2"/>
      <c r="Y691" s="2"/>
    </row>
    <row r="692" spans="1:25" x14ac:dyDescent="0.25">
      <c r="A692" s="2"/>
      <c r="B692" s="17">
        <f t="shared" si="36"/>
        <v>12</v>
      </c>
      <c r="C692" s="340" t="str">
        <f>Water_emissions!CW433</f>
        <v>w_PHENOL_HiC</v>
      </c>
      <c r="D692" s="341"/>
      <c r="E692" s="368">
        <f>HLOOKUP($C694,Water_emissions!$E$16:$CQ$32,6,FALSE)</f>
        <v>0.11109031352951186</v>
      </c>
      <c r="F692" s="368">
        <f>HLOOKUP($C694,Water_emissions!$E$16:$CQ$32,11,FALSE)</f>
        <v>0</v>
      </c>
      <c r="G692" s="368">
        <f>HLOOKUP($C694,Water_emissions!$E$16:$CQ$32,16,FALSE)</f>
        <v>0.36544169422334727</v>
      </c>
      <c r="H692" s="344" t="s">
        <v>1085</v>
      </c>
      <c r="I692" s="342" t="s">
        <v>2233</v>
      </c>
      <c r="J692" s="418" t="str">
        <f>Water_emissions!CY433</f>
        <v>[kg/bbl] kg of PHENOL emissions to water per bbl of crude throughput - High Complexity Coking</v>
      </c>
      <c r="K692" s="419"/>
      <c r="L692" s="419"/>
      <c r="M692" s="419"/>
      <c r="N692" s="419"/>
      <c r="O692" s="419"/>
      <c r="P692" s="420"/>
      <c r="Q692" s="2"/>
      <c r="R692" s="2"/>
      <c r="S692" s="2"/>
      <c r="T692" s="2"/>
      <c r="U692" s="2"/>
      <c r="V692" s="2"/>
      <c r="W692" s="2"/>
      <c r="X692" s="2"/>
      <c r="Y692" s="2"/>
    </row>
    <row r="693" spans="1:25" x14ac:dyDescent="0.25">
      <c r="A693" s="2"/>
      <c r="B693" s="17">
        <f t="shared" si="36"/>
        <v>12</v>
      </c>
      <c r="C693" s="340" t="str">
        <f>Water_emissions!CW434</f>
        <v>w_PHENOL_HiB</v>
      </c>
      <c r="D693" s="341"/>
      <c r="E693" s="368">
        <f>HLOOKUP($C694,Water_emissions!$E$16:$CQ$32,7,FALSE)</f>
        <v>6.9409619420425381E-2</v>
      </c>
      <c r="F693" s="368">
        <f>HLOOKUP($C694,Water_emissions!$E$16:$CQ$32,12,FALSE)</f>
        <v>3.13410777314112E-8</v>
      </c>
      <c r="G693" s="368">
        <f>HLOOKUP($C694,Water_emissions!$E$16:$CQ$32,17,FALSE)</f>
        <v>0.29939852177565668</v>
      </c>
      <c r="H693" s="344" t="s">
        <v>1085</v>
      </c>
      <c r="I693" s="342" t="s">
        <v>2233</v>
      </c>
      <c r="J693" s="418" t="str">
        <f>Water_emissions!CY434</f>
        <v>[kg/bbl] kg of PHENOL emissions to water per bbl of crude throughput - High Complexity Hydro Cracking and Coking</v>
      </c>
      <c r="K693" s="419"/>
      <c r="L693" s="419"/>
      <c r="M693" s="419"/>
      <c r="N693" s="419"/>
      <c r="O693" s="419"/>
      <c r="P693" s="420"/>
      <c r="Q693" s="2"/>
      <c r="R693" s="2"/>
      <c r="S693" s="2"/>
      <c r="T693" s="2"/>
      <c r="U693" s="2"/>
      <c r="V693" s="2"/>
      <c r="W693" s="2"/>
      <c r="X693" s="2"/>
      <c r="Y693" s="2"/>
    </row>
    <row r="694" spans="1:25" ht="26.25" x14ac:dyDescent="0.25">
      <c r="A694" s="2"/>
      <c r="B694" s="17">
        <f t="shared" si="36"/>
        <v>8</v>
      </c>
      <c r="C694" s="340" t="str">
        <f>Water_emissions!CW435</f>
        <v>w_PHENOL</v>
      </c>
      <c r="D694" s="39" t="str">
        <f>"IF(NC=0;"&amp;C689&amp;";IF(NC=1;"&amp;C690&amp;";IF(NC=2;"&amp;C691&amp;";IF(NC=3;"&amp;C692&amp;";"&amp;C693&amp;"))))/"&amp;$C$27</f>
        <v>IF(NC=0;w_PHENOL_L;IF(NC=1;w_PHENOL_M;IF(NC=2;w_PHENOL_HiH;IF(NC=3;w_PHENOL_HiC;w_PHENOL_HiB))))/Density_oil</v>
      </c>
      <c r="E694" s="68">
        <f>IF($E$24=0,E689,IF($E$24=1,E690,IF($E$24=2,E691,IF($E$24=3,E692,E693))))/$E$27</f>
        <v>5.0047043561860384E-4</v>
      </c>
      <c r="F694" s="342"/>
      <c r="G694" s="343"/>
      <c r="H694" s="344" t="s">
        <v>489</v>
      </c>
      <c r="I694" s="342" t="s">
        <v>2233</v>
      </c>
      <c r="J694" s="418" t="str">
        <f>Water_emissions!CY435</f>
        <v>[kg/bbl] kg of PHENOL emissions to water per bbl of crude throughput</v>
      </c>
      <c r="K694" s="419"/>
      <c r="L694" s="419"/>
      <c r="M694" s="419"/>
      <c r="N694" s="419"/>
      <c r="O694" s="419"/>
      <c r="P694" s="420"/>
      <c r="Q694" s="2"/>
      <c r="R694" s="2"/>
      <c r="S694" s="2"/>
      <c r="T694" s="2"/>
      <c r="U694" s="2"/>
      <c r="V694" s="2"/>
      <c r="W694" s="2"/>
      <c r="X694" s="2"/>
      <c r="Y694" s="2"/>
    </row>
    <row r="695" spans="1:25" x14ac:dyDescent="0.25">
      <c r="A695" s="2"/>
      <c r="B695" s="17">
        <f t="shared" si="36"/>
        <v>13</v>
      </c>
      <c r="C695" s="340" t="str">
        <f>Water_emissions!CW460</f>
        <v>w_PHOSPHORU_L</v>
      </c>
      <c r="D695" s="341"/>
      <c r="E695" s="368">
        <f>HLOOKUP($C700,Water_emissions!$E$16:$CQ$32,3,FALSE)</f>
        <v>2.9738070492026965E-5</v>
      </c>
      <c r="F695" s="368">
        <f>HLOOKUP($C700,Water_emissions!$E$16:$CQ$32,8,FALSE)</f>
        <v>5.7455881547234903E-6</v>
      </c>
      <c r="G695" s="368">
        <f>HLOOKUP($C700,Water_emissions!$E$16:$CQ$32,13,FALSE)</f>
        <v>6.2389404302812964E-5</v>
      </c>
      <c r="H695" s="344" t="s">
        <v>1085</v>
      </c>
      <c r="I695" s="342" t="s">
        <v>2233</v>
      </c>
      <c r="J695" s="418" t="str">
        <f>Water_emissions!CY460</f>
        <v>[kg/bbl] kg of PHOSPHORUS emissions to water per bbl of crude throughput - Low Complexity</v>
      </c>
      <c r="K695" s="419"/>
      <c r="L695" s="419"/>
      <c r="M695" s="419"/>
      <c r="N695" s="419"/>
      <c r="O695" s="419"/>
      <c r="P695" s="420"/>
      <c r="Q695" s="2"/>
      <c r="R695" s="2"/>
      <c r="S695" s="2"/>
      <c r="T695" s="2"/>
      <c r="U695" s="2"/>
      <c r="V695" s="2"/>
      <c r="W695" s="2"/>
      <c r="X695" s="2"/>
      <c r="Y695" s="2"/>
    </row>
    <row r="696" spans="1:25" x14ac:dyDescent="0.25">
      <c r="A696" s="2"/>
      <c r="B696" s="17">
        <f t="shared" si="36"/>
        <v>13</v>
      </c>
      <c r="C696" s="340" t="str">
        <f>Water_emissions!CW461</f>
        <v>w_PHOSPHORU_M</v>
      </c>
      <c r="D696" s="341"/>
      <c r="E696" s="368">
        <f>HLOOKUP($C700,Water_emissions!$E$16:$CQ$32,4,FALSE)</f>
        <v>1.5208684107655089E-5</v>
      </c>
      <c r="F696" s="368">
        <f>HLOOKUP($C700,Water_emissions!$E$16:$CQ$32,9,FALSE)</f>
        <v>5.7455881547234903E-6</v>
      </c>
      <c r="G696" s="368">
        <f>HLOOKUP($C700,Water_emissions!$E$16:$CQ$32,14,FALSE)</f>
        <v>3.0446071954831544E-5</v>
      </c>
      <c r="H696" s="344" t="s">
        <v>1085</v>
      </c>
      <c r="I696" s="342" t="s">
        <v>2233</v>
      </c>
      <c r="J696" s="418" t="str">
        <f>Water_emissions!CY461</f>
        <v>[kg/bbl] kg of PHOSPHORUS emissions to water per bbl of crude throughput - Med Complexity</v>
      </c>
      <c r="K696" s="419"/>
      <c r="L696" s="419"/>
      <c r="M696" s="419"/>
      <c r="N696" s="419"/>
      <c r="O696" s="419"/>
      <c r="P696" s="420"/>
      <c r="Q696" s="2"/>
      <c r="R696" s="2"/>
      <c r="S696" s="2"/>
      <c r="T696" s="2"/>
      <c r="U696" s="2"/>
      <c r="V696" s="2"/>
      <c r="W696" s="2"/>
      <c r="X696" s="2"/>
      <c r="Y696" s="2"/>
    </row>
    <row r="697" spans="1:25" x14ac:dyDescent="0.25">
      <c r="A697" s="2"/>
      <c r="B697" s="17">
        <f t="shared" si="36"/>
        <v>15</v>
      </c>
      <c r="C697" s="340" t="str">
        <f>Water_emissions!CW462</f>
        <v>w_PHOSPHORU_HiH</v>
      </c>
      <c r="D697" s="341"/>
      <c r="E697" s="368">
        <f>HLOOKUP($C700,Water_emissions!$E$16:$CQ$32,5,FALSE)</f>
        <v>2.9738070492026965E-5</v>
      </c>
      <c r="F697" s="368">
        <f>HLOOKUP($C700,Water_emissions!$E$16:$CQ$32,10,FALSE)</f>
        <v>5.7455881547234903E-6</v>
      </c>
      <c r="G697" s="368">
        <f>HLOOKUP($C700,Water_emissions!$E$16:$CQ$32,15,FALSE)</f>
        <v>6.2389404302812964E-5</v>
      </c>
      <c r="H697" s="344" t="s">
        <v>1085</v>
      </c>
      <c r="I697" s="342" t="s">
        <v>2233</v>
      </c>
      <c r="J697" s="418" t="str">
        <f>Water_emissions!CY462</f>
        <v>[kg/bbl] kg of PHOSPHORUS emissions to water per bbl of crude throughput - High Complexity Hydro Cracking</v>
      </c>
      <c r="K697" s="419"/>
      <c r="L697" s="419"/>
      <c r="M697" s="419"/>
      <c r="N697" s="419"/>
      <c r="O697" s="419"/>
      <c r="P697" s="420"/>
      <c r="Q697" s="2"/>
      <c r="R697" s="2"/>
      <c r="S697" s="2"/>
      <c r="T697" s="2"/>
      <c r="U697" s="2"/>
      <c r="V697" s="2"/>
      <c r="W697" s="2"/>
      <c r="X697" s="2"/>
      <c r="Y697" s="2"/>
    </row>
    <row r="698" spans="1:25" x14ac:dyDescent="0.25">
      <c r="A698" s="2"/>
      <c r="B698" s="17">
        <f t="shared" ref="B698:B755" si="37">LEN(C698)</f>
        <v>15</v>
      </c>
      <c r="C698" s="340" t="str">
        <f>Water_emissions!CW463</f>
        <v>w_PHOSPHORU_HiC</v>
      </c>
      <c r="D698" s="341"/>
      <c r="E698" s="368">
        <f>HLOOKUP($C700,Water_emissions!$E$16:$CQ$32,6,FALSE)</f>
        <v>3.6285141608981488E-5</v>
      </c>
      <c r="F698" s="368">
        <f>HLOOKUP($C700,Water_emissions!$E$16:$CQ$32,11,FALSE)</f>
        <v>1.7299578055707764E-5</v>
      </c>
      <c r="G698" s="368">
        <f>HLOOKUP($C700,Water_emissions!$E$16:$CQ$32,16,FALSE)</f>
        <v>6.2389404302812964E-5</v>
      </c>
      <c r="H698" s="344" t="s">
        <v>1085</v>
      </c>
      <c r="I698" s="342" t="s">
        <v>2233</v>
      </c>
      <c r="J698" s="418" t="str">
        <f>Water_emissions!CY463</f>
        <v>[kg/bbl] kg of PHOSPHORUS emissions to water per bbl of crude throughput - High Complexity Coking</v>
      </c>
      <c r="K698" s="419"/>
      <c r="L698" s="419"/>
      <c r="M698" s="419"/>
      <c r="N698" s="419"/>
      <c r="O698" s="419"/>
      <c r="P698" s="420"/>
      <c r="Q698" s="2"/>
      <c r="R698" s="2"/>
      <c r="S698" s="2"/>
      <c r="T698" s="2"/>
      <c r="U698" s="2"/>
      <c r="V698" s="2"/>
      <c r="W698" s="2"/>
      <c r="X698" s="2"/>
      <c r="Y698" s="2"/>
    </row>
    <row r="699" spans="1:25" x14ac:dyDescent="0.25">
      <c r="A699" s="2"/>
      <c r="B699" s="17">
        <f t="shared" si="37"/>
        <v>15</v>
      </c>
      <c r="C699" s="340" t="str">
        <f>Water_emissions!CW464</f>
        <v>w_PHOSPHORU_HiB</v>
      </c>
      <c r="D699" s="341"/>
      <c r="E699" s="368">
        <f>HLOOKUP($C700,Water_emissions!$E$16:$CQ$32,7,FALSE)</f>
        <v>4.1711543393152985E-5</v>
      </c>
      <c r="F699" s="368">
        <f>HLOOKUP($C700,Water_emissions!$E$16:$CQ$32,12,FALSE)</f>
        <v>2.9861444572760544E-5</v>
      </c>
      <c r="G699" s="368">
        <f>HLOOKUP($C700,Water_emissions!$E$16:$CQ$32,17,FALSE)</f>
        <v>5.3561642213545423E-5</v>
      </c>
      <c r="H699" s="344" t="s">
        <v>1085</v>
      </c>
      <c r="I699" s="342" t="s">
        <v>2233</v>
      </c>
      <c r="J699" s="418" t="str">
        <f>Water_emissions!CY464</f>
        <v>[kg/bbl] kg of PHOSPHORUS emissions to water per bbl of crude throughput - High Complexity Hydro Cracking and Coking</v>
      </c>
      <c r="K699" s="419"/>
      <c r="L699" s="419"/>
      <c r="M699" s="419"/>
      <c r="N699" s="419"/>
      <c r="O699" s="419"/>
      <c r="P699" s="420"/>
      <c r="Q699" s="2"/>
      <c r="R699" s="2"/>
      <c r="S699" s="2"/>
      <c r="T699" s="2"/>
      <c r="U699" s="2"/>
      <c r="V699" s="2"/>
      <c r="W699" s="2"/>
      <c r="X699" s="2"/>
      <c r="Y699" s="2"/>
    </row>
    <row r="700" spans="1:25" ht="39" x14ac:dyDescent="0.25">
      <c r="A700" s="2"/>
      <c r="B700" s="17">
        <f t="shared" si="37"/>
        <v>11</v>
      </c>
      <c r="C700" s="340" t="str">
        <f>Water_emissions!CW465</f>
        <v>w_PHOSPHORU</v>
      </c>
      <c r="D700" s="39" t="str">
        <f>"IF(NC=0;"&amp;C695&amp;";IF(NC=1;"&amp;C696&amp;";IF(NC=2;"&amp;C697&amp;";IF(NC=3;"&amp;C698&amp;";"&amp;C699&amp;"))))/"&amp;$C$27</f>
        <v>IF(NC=0;w_PHOSPHORU_L;IF(NC=1;w_PHOSPHORU_M;IF(NC=2;w_PHOSPHORU_HiH;IF(NC=3;w_PHOSPHORU_HiC;w_PHOSPHORU_HiB))))/Density_oil</v>
      </c>
      <c r="E700" s="68">
        <f>IF($E$24=0,E695,IF($E$24=1,E696,IF($E$24=2,E697,IF($E$24=3,E698,E699))))/$E$27</f>
        <v>3.0075650128334376E-7</v>
      </c>
      <c r="F700" s="342"/>
      <c r="G700" s="343"/>
      <c r="H700" s="344" t="s">
        <v>489</v>
      </c>
      <c r="I700" s="342" t="s">
        <v>2233</v>
      </c>
      <c r="J700" s="418" t="str">
        <f>Water_emissions!CY465</f>
        <v>[kg/bbl] kg of PHOSPHORUS emissions to water per bbl of crude throughput</v>
      </c>
      <c r="K700" s="419"/>
      <c r="L700" s="419"/>
      <c r="M700" s="419"/>
      <c r="N700" s="419"/>
      <c r="O700" s="419"/>
      <c r="P700" s="420"/>
      <c r="Q700" s="2"/>
      <c r="R700" s="2"/>
      <c r="S700" s="2"/>
      <c r="T700" s="2"/>
      <c r="U700" s="2"/>
      <c r="V700" s="2"/>
      <c r="W700" s="2"/>
      <c r="X700" s="2"/>
      <c r="Y700" s="2"/>
    </row>
    <row r="701" spans="1:25" x14ac:dyDescent="0.25">
      <c r="A701" s="2"/>
      <c r="B701" s="17">
        <f t="shared" si="37"/>
        <v>13</v>
      </c>
      <c r="C701" s="340" t="str">
        <f>Water_emissions!CW466</f>
        <v>w_POLYCYCLI_L</v>
      </c>
      <c r="D701" s="341"/>
      <c r="E701" s="368">
        <f>HLOOKUP($C706,Water_emissions!$E$16:$CQ$32,3,FALSE)</f>
        <v>1.2908660327602642E-2</v>
      </c>
      <c r="F701" s="368">
        <f>HLOOKUP($C706,Water_emissions!$E$16:$CQ$32,8,FALSE)</f>
        <v>0</v>
      </c>
      <c r="G701" s="368">
        <f>HLOOKUP($C706,Water_emissions!$E$16:$CQ$32,13,FALSE)</f>
        <v>7.7451961965615851E-2</v>
      </c>
      <c r="H701" s="344" t="s">
        <v>1085</v>
      </c>
      <c r="I701" s="342" t="s">
        <v>2233</v>
      </c>
      <c r="J701" s="418" t="str">
        <f>Water_emissions!CY466</f>
        <v>[kg/bbl] kg of POLYCYCLIC AROMATIC COMPOUNDS emissions to water per bbl of crude throughput - Low Complexity</v>
      </c>
      <c r="K701" s="419"/>
      <c r="L701" s="419"/>
      <c r="M701" s="419"/>
      <c r="N701" s="419"/>
      <c r="O701" s="419"/>
      <c r="P701" s="420"/>
      <c r="Q701" s="2"/>
      <c r="R701" s="2"/>
      <c r="S701" s="2"/>
      <c r="T701" s="2"/>
      <c r="U701" s="2"/>
      <c r="V701" s="2"/>
      <c r="W701" s="2"/>
      <c r="X701" s="2"/>
      <c r="Y701" s="2"/>
    </row>
    <row r="702" spans="1:25" x14ac:dyDescent="0.25">
      <c r="A702" s="2"/>
      <c r="B702" s="17">
        <f t="shared" si="37"/>
        <v>13</v>
      </c>
      <c r="C702" s="340" t="str">
        <f>Water_emissions!CW467</f>
        <v>w_POLYCYCLI_M</v>
      </c>
      <c r="D702" s="341"/>
      <c r="E702" s="368">
        <f>HLOOKUP($C706,Water_emissions!$E$16:$CQ$32,4,FALSE)</f>
        <v>0.15759025886021125</v>
      </c>
      <c r="F702" s="368">
        <f>HLOOKUP($C706,Water_emissions!$E$16:$CQ$32,9,FALSE)</f>
        <v>0</v>
      </c>
      <c r="G702" s="368">
        <f>HLOOKUP($C706,Water_emissions!$E$16:$CQ$32,14,FALSE)</f>
        <v>1.4167893058621537</v>
      </c>
      <c r="H702" s="344" t="s">
        <v>1085</v>
      </c>
      <c r="I702" s="342" t="s">
        <v>2233</v>
      </c>
      <c r="J702" s="418" t="str">
        <f>Water_emissions!CY467</f>
        <v>[kg/bbl] kg of POLYCYCLIC AROMATIC COMPOUNDS emissions to water per bbl of crude throughput - Med Complexity</v>
      </c>
      <c r="K702" s="419"/>
      <c r="L702" s="419"/>
      <c r="M702" s="419"/>
      <c r="N702" s="419"/>
      <c r="O702" s="419"/>
      <c r="P702" s="420"/>
      <c r="Q702" s="2"/>
      <c r="R702" s="2"/>
      <c r="S702" s="2"/>
      <c r="T702" s="2"/>
      <c r="U702" s="2"/>
      <c r="V702" s="2"/>
      <c r="W702" s="2"/>
      <c r="X702" s="2"/>
      <c r="Y702" s="2"/>
    </row>
    <row r="703" spans="1:25" x14ac:dyDescent="0.25">
      <c r="A703" s="2"/>
      <c r="B703" s="17">
        <f t="shared" si="37"/>
        <v>15</v>
      </c>
      <c r="C703" s="340" t="str">
        <f>Water_emissions!CW468</f>
        <v>w_POLYCYCLI_HiH</v>
      </c>
      <c r="D703" s="341"/>
      <c r="E703" s="368">
        <f>HLOOKUP($C706,Water_emissions!$E$16:$CQ$32,5,FALSE)</f>
        <v>9.6160096228360709E-3</v>
      </c>
      <c r="F703" s="368">
        <f>HLOOKUP($C706,Water_emissions!$E$16:$CQ$32,10,FALSE)</f>
        <v>0</v>
      </c>
      <c r="G703" s="368">
        <f>HLOOKUP($C706,Water_emissions!$E$16:$CQ$32,15,FALSE)</f>
        <v>3.6970826877943765E-2</v>
      </c>
      <c r="H703" s="344" t="s">
        <v>1085</v>
      </c>
      <c r="I703" s="342" t="s">
        <v>2233</v>
      </c>
      <c r="J703" s="418" t="str">
        <f>Water_emissions!CY468</f>
        <v>[kg/bbl] kg of POLYCYCLIC AROMATIC COMPOUNDS emissions to water per bbl of crude throughput - High Complexity Hydro Cracking</v>
      </c>
      <c r="K703" s="419"/>
      <c r="L703" s="419"/>
      <c r="M703" s="419"/>
      <c r="N703" s="419"/>
      <c r="O703" s="419"/>
      <c r="P703" s="420"/>
      <c r="Q703" s="2"/>
      <c r="R703" s="2"/>
      <c r="S703" s="2"/>
      <c r="T703" s="2"/>
      <c r="U703" s="2"/>
      <c r="V703" s="2"/>
      <c r="W703" s="2"/>
      <c r="X703" s="2"/>
      <c r="Y703" s="2"/>
    </row>
    <row r="704" spans="1:25" x14ac:dyDescent="0.25">
      <c r="A704" s="2"/>
      <c r="B704" s="17">
        <f t="shared" si="37"/>
        <v>15</v>
      </c>
      <c r="C704" s="340" t="str">
        <f>Water_emissions!CW469</f>
        <v>w_POLYCYCLI_HiC</v>
      </c>
      <c r="D704" s="341"/>
      <c r="E704" s="368">
        <f>HLOOKUP($C706,Water_emissions!$E$16:$CQ$32,6,FALSE)</f>
        <v>2.0266983619620888E-2</v>
      </c>
      <c r="F704" s="368">
        <f>HLOOKUP($C706,Water_emissions!$E$16:$CQ$32,11,FALSE)</f>
        <v>0</v>
      </c>
      <c r="G704" s="368">
        <f>HLOOKUP($C706,Water_emissions!$E$16:$CQ$32,16,FALSE)</f>
        <v>0.22422552526210004</v>
      </c>
      <c r="H704" s="344" t="s">
        <v>1085</v>
      </c>
      <c r="I704" s="342" t="s">
        <v>2233</v>
      </c>
      <c r="J704" s="418" t="str">
        <f>Water_emissions!CY469</f>
        <v>[kg/bbl] kg of POLYCYCLIC AROMATIC COMPOUNDS emissions to water per bbl of crude throughput - High Complexity Coking</v>
      </c>
      <c r="K704" s="419"/>
      <c r="L704" s="419"/>
      <c r="M704" s="419"/>
      <c r="N704" s="419"/>
      <c r="O704" s="419"/>
      <c r="P704" s="420"/>
      <c r="Q704" s="2"/>
      <c r="R704" s="2"/>
      <c r="S704" s="2"/>
      <c r="T704" s="2"/>
      <c r="U704" s="2"/>
      <c r="V704" s="2"/>
      <c r="W704" s="2"/>
      <c r="X704" s="2"/>
      <c r="Y704" s="2"/>
    </row>
    <row r="705" spans="1:25" x14ac:dyDescent="0.25">
      <c r="A705" s="2"/>
      <c r="B705" s="17">
        <f t="shared" si="37"/>
        <v>15</v>
      </c>
      <c r="C705" s="340" t="str">
        <f>Water_emissions!CW470</f>
        <v>w_POLYCYCLI_HiB</v>
      </c>
      <c r="D705" s="341"/>
      <c r="E705" s="368">
        <f>HLOOKUP($C706,Water_emissions!$E$16:$CQ$32,7,FALSE)</f>
        <v>7.2552143156756985E-3</v>
      </c>
      <c r="F705" s="368">
        <f>HLOOKUP($C706,Water_emissions!$E$16:$CQ$32,12,FALSE)</f>
        <v>0</v>
      </c>
      <c r="G705" s="368">
        <f>HLOOKUP($C706,Water_emissions!$E$16:$CQ$32,17,FALSE)</f>
        <v>4.470198675496688E-2</v>
      </c>
      <c r="H705" s="344" t="s">
        <v>1085</v>
      </c>
      <c r="I705" s="342" t="s">
        <v>2233</v>
      </c>
      <c r="J705" s="418" t="str">
        <f>Water_emissions!CY470</f>
        <v>[kg/bbl] kg of POLYCYCLIC AROMATIC COMPOUNDS emissions to water per bbl of crude throughput - High Complexity Hydro Cracking and Coking</v>
      </c>
      <c r="K705" s="419"/>
      <c r="L705" s="419"/>
      <c r="M705" s="419"/>
      <c r="N705" s="419"/>
      <c r="O705" s="419"/>
      <c r="P705" s="420"/>
      <c r="Q705" s="2"/>
      <c r="R705" s="2"/>
      <c r="S705" s="2"/>
      <c r="T705" s="2"/>
      <c r="U705" s="2"/>
      <c r="V705" s="2"/>
      <c r="W705" s="2"/>
      <c r="X705" s="2"/>
      <c r="Y705" s="2"/>
    </row>
    <row r="706" spans="1:25" ht="39" x14ac:dyDescent="0.25">
      <c r="A706" s="2"/>
      <c r="B706" s="17">
        <f t="shared" si="37"/>
        <v>11</v>
      </c>
      <c r="C706" s="340" t="str">
        <f>Water_emissions!CW471</f>
        <v>w_POLYCYCLI</v>
      </c>
      <c r="D706" s="39" t="str">
        <f>"IF(NC=0;"&amp;C701&amp;";IF(NC=1;"&amp;C702&amp;";IF(NC=2;"&amp;C703&amp;";IF(NC=3;"&amp;C704&amp;";"&amp;C705&amp;"))))/"&amp;$C$27</f>
        <v>IF(NC=0;w_POLYCYCLI_L;IF(NC=1;w_POLYCYCLI_M;IF(NC=2;w_POLYCYCLI_HiH;IF(NC=3;w_POLYCYCLI_HiC;w_POLYCYCLI_HiB))))/Density_oil</v>
      </c>
      <c r="E706" s="68">
        <f>IF($E$24=0,E701,IF($E$24=1,E702,IF($E$24=2,E703,IF($E$24=3,E704,E705))))/$E$27</f>
        <v>5.2312925778757918E-5</v>
      </c>
      <c r="F706" s="342"/>
      <c r="G706" s="343"/>
      <c r="H706" s="344" t="s">
        <v>489</v>
      </c>
      <c r="I706" s="342" t="s">
        <v>2233</v>
      </c>
      <c r="J706" s="418" t="str">
        <f>Water_emissions!CY471</f>
        <v>[kg/bbl] kg of POLYCYCLIC AROMATIC COMPOUNDS emissions to water per bbl of crude throughput</v>
      </c>
      <c r="K706" s="419"/>
      <c r="L706" s="419"/>
      <c r="M706" s="419"/>
      <c r="N706" s="419"/>
      <c r="O706" s="419"/>
      <c r="P706" s="420"/>
      <c r="Q706" s="2"/>
      <c r="R706" s="2"/>
      <c r="S706" s="2"/>
      <c r="T706" s="2"/>
      <c r="U706" s="2"/>
      <c r="V706" s="2"/>
      <c r="W706" s="2"/>
      <c r="X706" s="2"/>
      <c r="Y706" s="2"/>
    </row>
    <row r="707" spans="1:25" x14ac:dyDescent="0.25">
      <c r="A707" s="2"/>
      <c r="B707" s="17">
        <f t="shared" si="37"/>
        <v>13</v>
      </c>
      <c r="C707" s="340" t="str">
        <f>Water_emissions!CW472</f>
        <v>w_PROPYLENE_L</v>
      </c>
      <c r="D707" s="341"/>
      <c r="E707" s="368">
        <f>HLOOKUP($C712,Water_emissions!$E$16:$CQ$32,3,FALSE)</f>
        <v>0</v>
      </c>
      <c r="F707" s="368">
        <f>HLOOKUP($C712,Water_emissions!$E$16:$CQ$32,8,FALSE)</f>
        <v>0</v>
      </c>
      <c r="G707" s="368">
        <f>HLOOKUP($C712,Water_emissions!$E$16:$CQ$32,13,FALSE)</f>
        <v>0</v>
      </c>
      <c r="H707" s="344" t="s">
        <v>1085</v>
      </c>
      <c r="I707" s="342" t="s">
        <v>2233</v>
      </c>
      <c r="J707" s="418" t="str">
        <f>Water_emissions!CY472</f>
        <v>[kg/bbl] kg of PROPYLENE emissions to water per bbl of crude throughput - Low Complexity</v>
      </c>
      <c r="K707" s="419"/>
      <c r="L707" s="419"/>
      <c r="M707" s="419"/>
      <c r="N707" s="419"/>
      <c r="O707" s="419"/>
      <c r="P707" s="420"/>
      <c r="Q707" s="2"/>
      <c r="R707" s="2"/>
      <c r="S707" s="2"/>
      <c r="T707" s="2"/>
      <c r="U707" s="2"/>
      <c r="V707" s="2"/>
      <c r="W707" s="2"/>
      <c r="X707" s="2"/>
      <c r="Y707" s="2"/>
    </row>
    <row r="708" spans="1:25" x14ac:dyDescent="0.25">
      <c r="A708" s="2"/>
      <c r="B708" s="17">
        <f t="shared" si="37"/>
        <v>13</v>
      </c>
      <c r="C708" s="340" t="str">
        <f>Water_emissions!CW473</f>
        <v>w_PROPYLENE_M</v>
      </c>
      <c r="D708" s="341"/>
      <c r="E708" s="368">
        <f>HLOOKUP($C712,Water_emissions!$E$16:$CQ$32,4,FALSE)</f>
        <v>0.24341171405725959</v>
      </c>
      <c r="F708" s="368">
        <f>HLOOKUP($C712,Water_emissions!$E$16:$CQ$32,9,FALSE)</f>
        <v>0</v>
      </c>
      <c r="G708" s="368">
        <f>HLOOKUP($C712,Water_emissions!$E$16:$CQ$32,14,FALSE)</f>
        <v>1.6723479623044926</v>
      </c>
      <c r="H708" s="344" t="s">
        <v>1085</v>
      </c>
      <c r="I708" s="342" t="s">
        <v>2233</v>
      </c>
      <c r="J708" s="418" t="str">
        <f>Water_emissions!CY473</f>
        <v>[kg/bbl] kg of PROPYLENE emissions to water per bbl of crude throughput - Med Complexity</v>
      </c>
      <c r="K708" s="419"/>
      <c r="L708" s="419"/>
      <c r="M708" s="419"/>
      <c r="N708" s="419"/>
      <c r="O708" s="419"/>
      <c r="P708" s="420"/>
      <c r="Q708" s="2"/>
      <c r="R708" s="2"/>
      <c r="S708" s="2"/>
      <c r="T708" s="2"/>
      <c r="U708" s="2"/>
      <c r="V708" s="2"/>
      <c r="W708" s="2"/>
      <c r="X708" s="2"/>
      <c r="Y708" s="2"/>
    </row>
    <row r="709" spans="1:25" x14ac:dyDescent="0.25">
      <c r="A709" s="2"/>
      <c r="B709" s="17">
        <f t="shared" si="37"/>
        <v>15</v>
      </c>
      <c r="C709" s="340" t="str">
        <f>Water_emissions!CW474</f>
        <v>w_PROPYLENE_HiH</v>
      </c>
      <c r="D709" s="341"/>
      <c r="E709" s="368">
        <f>HLOOKUP($C712,Water_emissions!$E$16:$CQ$32,5,FALSE)</f>
        <v>4.7809249966941003E-3</v>
      </c>
      <c r="F709" s="368">
        <f>HLOOKUP($C712,Water_emissions!$E$16:$CQ$32,10,FALSE)</f>
        <v>0</v>
      </c>
      <c r="G709" s="368">
        <f>HLOOKUP($C712,Water_emissions!$E$16:$CQ$32,15,FALSE)</f>
        <v>1.4342774990082302E-2</v>
      </c>
      <c r="H709" s="344" t="s">
        <v>1085</v>
      </c>
      <c r="I709" s="342" t="s">
        <v>2233</v>
      </c>
      <c r="J709" s="418" t="str">
        <f>Water_emissions!CY474</f>
        <v>[kg/bbl] kg of PROPYLENE emissions to water per bbl of crude throughput - High Complexity Hydro Cracking</v>
      </c>
      <c r="K709" s="419"/>
      <c r="L709" s="419"/>
      <c r="M709" s="419"/>
      <c r="N709" s="419"/>
      <c r="O709" s="419"/>
      <c r="P709" s="420"/>
      <c r="Q709" s="2"/>
      <c r="R709" s="2"/>
      <c r="S709" s="2"/>
      <c r="T709" s="2"/>
      <c r="U709" s="2"/>
      <c r="V709" s="2"/>
      <c r="W709" s="2"/>
      <c r="X709" s="2"/>
      <c r="Y709" s="2"/>
    </row>
    <row r="710" spans="1:25" x14ac:dyDescent="0.25">
      <c r="A710" s="2"/>
      <c r="B710" s="17">
        <f t="shared" si="37"/>
        <v>15</v>
      </c>
      <c r="C710" s="340" t="str">
        <f>Water_emissions!CW475</f>
        <v>w_PROPYLENE_HiC</v>
      </c>
      <c r="D710" s="341"/>
      <c r="E710" s="368">
        <f>HLOOKUP($C712,Water_emissions!$E$16:$CQ$32,6,FALSE)</f>
        <v>0</v>
      </c>
      <c r="F710" s="368">
        <f>HLOOKUP($C712,Water_emissions!$E$16:$CQ$32,11,FALSE)</f>
        <v>0</v>
      </c>
      <c r="G710" s="368">
        <f>HLOOKUP($C712,Water_emissions!$E$16:$CQ$32,16,FALSE)</f>
        <v>0</v>
      </c>
      <c r="H710" s="344" t="s">
        <v>1085</v>
      </c>
      <c r="I710" s="342" t="s">
        <v>2233</v>
      </c>
      <c r="J710" s="418" t="str">
        <f>Water_emissions!CY475</f>
        <v>[kg/bbl] kg of PROPYLENE emissions to water per bbl of crude throughput - High Complexity Coking</v>
      </c>
      <c r="K710" s="419"/>
      <c r="L710" s="419"/>
      <c r="M710" s="419"/>
      <c r="N710" s="419"/>
      <c r="O710" s="419"/>
      <c r="P710" s="420"/>
      <c r="Q710" s="2"/>
      <c r="R710" s="2"/>
      <c r="S710" s="2"/>
      <c r="T710" s="2"/>
      <c r="U710" s="2"/>
      <c r="V710" s="2"/>
      <c r="W710" s="2"/>
      <c r="X710" s="2"/>
      <c r="Y710" s="2"/>
    </row>
    <row r="711" spans="1:25" x14ac:dyDescent="0.25">
      <c r="A711" s="2"/>
      <c r="B711" s="17">
        <f t="shared" si="37"/>
        <v>15</v>
      </c>
      <c r="C711" s="340" t="str">
        <f>Water_emissions!CW476</f>
        <v>w_PROPYLENE_HiB</v>
      </c>
      <c r="D711" s="341"/>
      <c r="E711" s="368">
        <f>HLOOKUP($C712,Water_emissions!$E$16:$CQ$32,7,FALSE)</f>
        <v>3.6791758646063286E-3</v>
      </c>
      <c r="F711" s="368">
        <f>HLOOKUP($C712,Water_emissions!$E$16:$CQ$32,12,FALSE)</f>
        <v>0</v>
      </c>
      <c r="G711" s="368">
        <f>HLOOKUP($C712,Water_emissions!$E$16:$CQ$32,17,FALSE)</f>
        <v>1.1037527593818985E-2</v>
      </c>
      <c r="H711" s="344" t="s">
        <v>1085</v>
      </c>
      <c r="I711" s="342" t="s">
        <v>2233</v>
      </c>
      <c r="J711" s="418" t="str">
        <f>Water_emissions!CY476</f>
        <v>[kg/bbl] kg of PROPYLENE emissions to water per bbl of crude throughput - High Complexity Hydro Cracking and Coking</v>
      </c>
      <c r="K711" s="419"/>
      <c r="L711" s="419"/>
      <c r="M711" s="419"/>
      <c r="N711" s="419"/>
      <c r="O711" s="419"/>
      <c r="P711" s="420"/>
      <c r="Q711" s="2"/>
      <c r="R711" s="2"/>
      <c r="S711" s="2"/>
      <c r="T711" s="2"/>
      <c r="U711" s="2"/>
      <c r="V711" s="2"/>
      <c r="W711" s="2"/>
      <c r="X711" s="2"/>
      <c r="Y711" s="2"/>
    </row>
    <row r="712" spans="1:25" ht="39" x14ac:dyDescent="0.25">
      <c r="A712" s="2"/>
      <c r="B712" s="17">
        <f t="shared" si="37"/>
        <v>11</v>
      </c>
      <c r="C712" s="340" t="str">
        <f>Water_emissions!CW477</f>
        <v>w_PROPYLENE</v>
      </c>
      <c r="D712" s="39" t="str">
        <f>"IF(NC=0;"&amp;C707&amp;";IF(NC=1;"&amp;C708&amp;";IF(NC=2;"&amp;C709&amp;";IF(NC=3;"&amp;C710&amp;";"&amp;C711&amp;"))))/"&amp;$C$27</f>
        <v>IF(NC=0;w_PROPYLENE_L;IF(NC=1;w_PROPYLENE_M;IF(NC=2;w_PROPYLENE_HiH;IF(NC=3;w_PROPYLENE_HiC;w_PROPYLENE_HiB))))/Density_oil</v>
      </c>
      <c r="E712" s="68">
        <f>IF($E$24=0,E707,IF($E$24=1,E708,IF($E$24=2,E709,IF($E$24=3,E710,E711))))/$E$27</f>
        <v>2.6528293384290363E-5</v>
      </c>
      <c r="F712" s="342"/>
      <c r="G712" s="343"/>
      <c r="H712" s="344" t="s">
        <v>489</v>
      </c>
      <c r="I712" s="342" t="s">
        <v>2233</v>
      </c>
      <c r="J712" s="418" t="str">
        <f>Water_emissions!CY477</f>
        <v>[kg/bbl] kg of PROPYLENE emissions to water per bbl of crude throughput</v>
      </c>
      <c r="K712" s="419"/>
      <c r="L712" s="419"/>
      <c r="M712" s="419"/>
      <c r="N712" s="419"/>
      <c r="O712" s="419"/>
      <c r="P712" s="420"/>
      <c r="Q712" s="2"/>
      <c r="R712" s="2"/>
      <c r="S712" s="2"/>
      <c r="T712" s="2"/>
      <c r="U712" s="2"/>
      <c r="V712" s="2"/>
      <c r="W712" s="2"/>
      <c r="X712" s="2"/>
      <c r="Y712" s="2"/>
    </row>
    <row r="713" spans="1:25" x14ac:dyDescent="0.25">
      <c r="A713" s="2"/>
      <c r="B713" s="17">
        <f t="shared" si="37"/>
        <v>11</v>
      </c>
      <c r="C713" s="340" t="str">
        <f>Water_emissions!CW478</f>
        <v>w_PXYLENE_L</v>
      </c>
      <c r="D713" s="341"/>
      <c r="E713" s="368">
        <f>HLOOKUP($C718,Water_emissions!$E$16:$CQ$32,3,FALSE)</f>
        <v>8.2781456953642373E-3</v>
      </c>
      <c r="F713" s="368">
        <f>HLOOKUP($C718,Water_emissions!$E$16:$CQ$32,8,FALSE)</f>
        <v>0</v>
      </c>
      <c r="G713" s="368">
        <f>HLOOKUP($C718,Water_emissions!$E$16:$CQ$32,13,FALSE)</f>
        <v>1.6556291390728475E-2</v>
      </c>
      <c r="H713" s="344" t="s">
        <v>1085</v>
      </c>
      <c r="I713" s="342" t="s">
        <v>2233</v>
      </c>
      <c r="J713" s="418" t="str">
        <f>Water_emissions!CY478</f>
        <v>[kg/bbl] kg of P-XYLENE emissions to water per bbl of crude throughput - Low Complexity</v>
      </c>
      <c r="K713" s="419"/>
      <c r="L713" s="419"/>
      <c r="M713" s="419"/>
      <c r="N713" s="419"/>
      <c r="O713" s="419"/>
      <c r="P713" s="420"/>
      <c r="Q713" s="2"/>
      <c r="R713" s="2"/>
      <c r="S713" s="2"/>
      <c r="T713" s="2"/>
      <c r="U713" s="2"/>
      <c r="V713" s="2"/>
      <c r="W713" s="2"/>
      <c r="X713" s="2"/>
      <c r="Y713" s="2"/>
    </row>
    <row r="714" spans="1:25" x14ac:dyDescent="0.25">
      <c r="A714" s="2"/>
      <c r="B714" s="17">
        <f t="shared" si="37"/>
        <v>11</v>
      </c>
      <c r="C714" s="340" t="str">
        <f>Water_emissions!CW479</f>
        <v>w_PXYLENE_M</v>
      </c>
      <c r="D714" s="341"/>
      <c r="E714" s="368">
        <f>HLOOKUP($C718,Water_emissions!$E$16:$CQ$32,4,FALSE)</f>
        <v>8.2781456953642373E-3</v>
      </c>
      <c r="F714" s="368">
        <f>HLOOKUP($C718,Water_emissions!$E$16:$CQ$32,9,FALSE)</f>
        <v>0</v>
      </c>
      <c r="G714" s="368">
        <f>HLOOKUP($C718,Water_emissions!$E$16:$CQ$32,14,FALSE)</f>
        <v>1.6556291390728475E-2</v>
      </c>
      <c r="H714" s="344" t="s">
        <v>1085</v>
      </c>
      <c r="I714" s="342" t="s">
        <v>2233</v>
      </c>
      <c r="J714" s="418" t="str">
        <f>Water_emissions!CY479</f>
        <v>[kg/bbl] kg of P-XYLENE emissions to water per bbl of crude throughput - Med Complexity</v>
      </c>
      <c r="K714" s="419"/>
      <c r="L714" s="419"/>
      <c r="M714" s="419"/>
      <c r="N714" s="419"/>
      <c r="O714" s="419"/>
      <c r="P714" s="420"/>
      <c r="Q714" s="2"/>
      <c r="R714" s="2"/>
      <c r="S714" s="2"/>
      <c r="T714" s="2"/>
      <c r="U714" s="2"/>
      <c r="V714" s="2"/>
      <c r="W714" s="2"/>
      <c r="X714" s="2"/>
      <c r="Y714" s="2"/>
    </row>
    <row r="715" spans="1:25" x14ac:dyDescent="0.25">
      <c r="A715" s="2"/>
      <c r="B715" s="17">
        <f t="shared" si="37"/>
        <v>13</v>
      </c>
      <c r="C715" s="340" t="str">
        <f>Water_emissions!CW480</f>
        <v>w_PXYLENE_HiH</v>
      </c>
      <c r="D715" s="341"/>
      <c r="E715" s="368">
        <f>HLOOKUP($C718,Water_emissions!$E$16:$CQ$32,5,FALSE)</f>
        <v>8.2781456953642373E-3</v>
      </c>
      <c r="F715" s="368">
        <f>HLOOKUP($C718,Water_emissions!$E$16:$CQ$32,10,FALSE)</f>
        <v>0</v>
      </c>
      <c r="G715" s="368">
        <f>HLOOKUP($C718,Water_emissions!$E$16:$CQ$32,15,FALSE)</f>
        <v>1.6556291390728475E-2</v>
      </c>
      <c r="H715" s="344" t="s">
        <v>1085</v>
      </c>
      <c r="I715" s="342" t="s">
        <v>2233</v>
      </c>
      <c r="J715" s="418" t="str">
        <f>Water_emissions!CY480</f>
        <v>[kg/bbl] kg of P-XYLENE emissions to water per bbl of crude throughput - High Complexity Hydro Cracking</v>
      </c>
      <c r="K715" s="419"/>
      <c r="L715" s="419"/>
      <c r="M715" s="419"/>
      <c r="N715" s="419"/>
      <c r="O715" s="419"/>
      <c r="P715" s="420"/>
      <c r="Q715" s="2"/>
      <c r="R715" s="2"/>
      <c r="S715" s="2"/>
      <c r="T715" s="2"/>
      <c r="U715" s="2"/>
      <c r="V715" s="2"/>
      <c r="W715" s="2"/>
      <c r="X715" s="2"/>
      <c r="Y715" s="2"/>
    </row>
    <row r="716" spans="1:25" x14ac:dyDescent="0.25">
      <c r="A716" s="2"/>
      <c r="B716" s="17">
        <f t="shared" si="37"/>
        <v>13</v>
      </c>
      <c r="C716" s="340" t="str">
        <f>Water_emissions!CW481</f>
        <v>w_PXYLENE_HiC</v>
      </c>
      <c r="D716" s="341"/>
      <c r="E716" s="368">
        <f>HLOOKUP($C718,Water_emissions!$E$16:$CQ$32,6,FALSE)</f>
        <v>0</v>
      </c>
      <c r="F716" s="368">
        <f>HLOOKUP($C718,Water_emissions!$E$16:$CQ$32,11,FALSE)</f>
        <v>0</v>
      </c>
      <c r="G716" s="368">
        <f>HLOOKUP($C718,Water_emissions!$E$16:$CQ$32,16,FALSE)</f>
        <v>0</v>
      </c>
      <c r="H716" s="344" t="s">
        <v>1085</v>
      </c>
      <c r="I716" s="342" t="s">
        <v>2233</v>
      </c>
      <c r="J716" s="418" t="str">
        <f>Water_emissions!CY481</f>
        <v>[kg/bbl] kg of P-XYLENE emissions to water per bbl of crude throughput - High Complexity Coking</v>
      </c>
      <c r="K716" s="419"/>
      <c r="L716" s="419"/>
      <c r="M716" s="419"/>
      <c r="N716" s="419"/>
      <c r="O716" s="419"/>
      <c r="P716" s="420"/>
      <c r="Q716" s="2"/>
      <c r="R716" s="2"/>
      <c r="S716" s="2"/>
      <c r="T716" s="2"/>
      <c r="U716" s="2"/>
      <c r="V716" s="2"/>
      <c r="W716" s="2"/>
      <c r="X716" s="2"/>
      <c r="Y716" s="2"/>
    </row>
    <row r="717" spans="1:25" x14ac:dyDescent="0.25">
      <c r="A717" s="2"/>
      <c r="B717" s="17">
        <f t="shared" si="37"/>
        <v>13</v>
      </c>
      <c r="C717" s="340" t="str">
        <f>Water_emissions!CW482</f>
        <v>w_PXYLENE_HiB</v>
      </c>
      <c r="D717" s="341"/>
      <c r="E717" s="368">
        <f>HLOOKUP($C718,Water_emissions!$E$16:$CQ$32,7,FALSE)</f>
        <v>1.6556291390728475E-2</v>
      </c>
      <c r="F717" s="368">
        <f>HLOOKUP($C718,Water_emissions!$E$16:$CQ$32,12,FALSE)</f>
        <v>1.6556291390728475E-2</v>
      </c>
      <c r="G717" s="368">
        <f>HLOOKUP($C718,Water_emissions!$E$16:$CQ$32,17,FALSE)</f>
        <v>1.6556291390728475E-2</v>
      </c>
      <c r="H717" s="344" t="s">
        <v>1085</v>
      </c>
      <c r="I717" s="342" t="s">
        <v>2233</v>
      </c>
      <c r="J717" s="418" t="str">
        <f>Water_emissions!CY482</f>
        <v>[kg/bbl] kg of P-XYLENE emissions to water per bbl of crude throughput - High Complexity Hydro Cracking and Coking</v>
      </c>
      <c r="K717" s="419"/>
      <c r="L717" s="419"/>
      <c r="M717" s="419"/>
      <c r="N717" s="419"/>
      <c r="O717" s="419"/>
      <c r="P717" s="420"/>
      <c r="Q717" s="2"/>
      <c r="R717" s="2"/>
      <c r="S717" s="2"/>
      <c r="T717" s="2"/>
      <c r="U717" s="2"/>
      <c r="V717" s="2"/>
      <c r="W717" s="2"/>
      <c r="X717" s="2"/>
      <c r="Y717" s="2"/>
    </row>
    <row r="718" spans="1:25" ht="26.25" x14ac:dyDescent="0.25">
      <c r="A718" s="2"/>
      <c r="B718" s="17">
        <f t="shared" si="37"/>
        <v>9</v>
      </c>
      <c r="C718" s="340" t="str">
        <f>Water_emissions!CW483</f>
        <v>w_PXYLENE</v>
      </c>
      <c r="D718" s="39" t="str">
        <f>"IF(NC=0;"&amp;C713&amp;";IF(NC=1;"&amp;C714&amp;";IF(NC=2;"&amp;C715&amp;";IF(NC=3;"&amp;C716&amp;";"&amp;C717&amp;"))))/"&amp;$C$27</f>
        <v>IF(NC=0;w_PXYLENE_L;IF(NC=1;w_PXYLENE_M;IF(NC=2;w_PXYLENE_HiH;IF(NC=3;w_PXYLENE_HiC;w_PXYLENE_HiB))))/Density_oil</v>
      </c>
      <c r="E718" s="68">
        <f>IF($E$24=0,E713,IF($E$24=1,E714,IF($E$24=2,E715,IF($E$24=3,E716,E717))))/$E$27</f>
        <v>1.1937732022930661E-4</v>
      </c>
      <c r="F718" s="342"/>
      <c r="G718" s="343"/>
      <c r="H718" s="344" t="s">
        <v>489</v>
      </c>
      <c r="I718" s="342" t="s">
        <v>2233</v>
      </c>
      <c r="J718" s="418" t="str">
        <f>Water_emissions!CY483</f>
        <v>[kg/bbl] kg of P-XYLENE emissions to water per bbl of crude throughput</v>
      </c>
      <c r="K718" s="419"/>
      <c r="L718" s="419"/>
      <c r="M718" s="419"/>
      <c r="N718" s="419"/>
      <c r="O718" s="419"/>
      <c r="P718" s="420"/>
      <c r="Q718" s="2"/>
      <c r="R718" s="2"/>
      <c r="S718" s="2"/>
      <c r="T718" s="2"/>
      <c r="U718" s="2"/>
      <c r="V718" s="2"/>
      <c r="W718" s="2"/>
      <c r="X718" s="2"/>
      <c r="Y718" s="2"/>
    </row>
    <row r="719" spans="1:25" x14ac:dyDescent="0.25">
      <c r="A719" s="2"/>
      <c r="B719" s="17">
        <f t="shared" si="37"/>
        <v>10</v>
      </c>
      <c r="C719" s="340" t="str">
        <f>Water_emissions!CW484</f>
        <v>w_PYRENE_L</v>
      </c>
      <c r="D719" s="341"/>
      <c r="E719" s="368">
        <f>HLOOKUP($C724,Water_emissions!$E$16:$CQ$32,3,FALSE)</f>
        <v>6.2000827686133422E-8</v>
      </c>
      <c r="F719" s="368">
        <f>HLOOKUP($C724,Water_emissions!$E$16:$CQ$32,8,FALSE)</f>
        <v>6.2000827686133422E-8</v>
      </c>
      <c r="G719" s="368">
        <f>HLOOKUP($C724,Water_emissions!$E$16:$CQ$32,13,FALSE)</f>
        <v>6.2000827686133422E-8</v>
      </c>
      <c r="H719" s="344" t="s">
        <v>1085</v>
      </c>
      <c r="I719" s="342" t="s">
        <v>2233</v>
      </c>
      <c r="J719" s="418" t="str">
        <f>Water_emissions!CY484</f>
        <v>[kg/bbl] kg of PYRENE emissions to water per bbl of crude throughput - Low Complexity</v>
      </c>
      <c r="K719" s="419"/>
      <c r="L719" s="419"/>
      <c r="M719" s="419"/>
      <c r="N719" s="419"/>
      <c r="O719" s="419"/>
      <c r="P719" s="420"/>
      <c r="Q719" s="2"/>
      <c r="R719" s="2"/>
      <c r="S719" s="2"/>
      <c r="T719" s="2"/>
      <c r="U719" s="2"/>
      <c r="V719" s="2"/>
      <c r="W719" s="2"/>
      <c r="X719" s="2"/>
      <c r="Y719" s="2"/>
    </row>
    <row r="720" spans="1:25" x14ac:dyDescent="0.25">
      <c r="A720" s="2"/>
      <c r="B720" s="17">
        <f t="shared" si="37"/>
        <v>10</v>
      </c>
      <c r="C720" s="340" t="str">
        <f>Water_emissions!CW485</f>
        <v>w_PYRENE_M</v>
      </c>
      <c r="D720" s="341"/>
      <c r="E720" s="368">
        <f>HLOOKUP($C724,Water_emissions!$E$16:$CQ$32,4,FALSE)</f>
        <v>6.2000827686133422E-8</v>
      </c>
      <c r="F720" s="368">
        <f>HLOOKUP($C724,Water_emissions!$E$16:$CQ$32,9,FALSE)</f>
        <v>6.2000827686133422E-8</v>
      </c>
      <c r="G720" s="368">
        <f>HLOOKUP($C724,Water_emissions!$E$16:$CQ$32,14,FALSE)</f>
        <v>6.2000827686133422E-8</v>
      </c>
      <c r="H720" s="344" t="s">
        <v>1085</v>
      </c>
      <c r="I720" s="342" t="s">
        <v>2233</v>
      </c>
      <c r="J720" s="418" t="str">
        <f>Water_emissions!CY485</f>
        <v>[kg/bbl] kg of PYRENE emissions to water per bbl of crude throughput - Med Complexity</v>
      </c>
      <c r="K720" s="419"/>
      <c r="L720" s="419"/>
      <c r="M720" s="419"/>
      <c r="N720" s="419"/>
      <c r="O720" s="419"/>
      <c r="P720" s="420"/>
      <c r="Q720" s="2"/>
      <c r="R720" s="2"/>
      <c r="S720" s="2"/>
      <c r="T720" s="2"/>
      <c r="U720" s="2"/>
      <c r="V720" s="2"/>
      <c r="W720" s="2"/>
      <c r="X720" s="2"/>
      <c r="Y720" s="2"/>
    </row>
    <row r="721" spans="1:25" x14ac:dyDescent="0.25">
      <c r="A721" s="2"/>
      <c r="B721" s="17">
        <f t="shared" si="37"/>
        <v>12</v>
      </c>
      <c r="C721" s="340" t="str">
        <f>Water_emissions!CW486</f>
        <v>w_PYRENE_HiH</v>
      </c>
      <c r="D721" s="341"/>
      <c r="E721" s="368">
        <f>HLOOKUP($C724,Water_emissions!$E$16:$CQ$32,5,FALSE)</f>
        <v>6.2000827686133422E-8</v>
      </c>
      <c r="F721" s="368">
        <f>HLOOKUP($C724,Water_emissions!$E$16:$CQ$32,10,FALSE)</f>
        <v>6.2000827686133422E-8</v>
      </c>
      <c r="G721" s="368">
        <f>HLOOKUP($C724,Water_emissions!$E$16:$CQ$32,15,FALSE)</f>
        <v>6.2000827686133422E-8</v>
      </c>
      <c r="H721" s="344" t="s">
        <v>1085</v>
      </c>
      <c r="I721" s="342" t="s">
        <v>2233</v>
      </c>
      <c r="J721" s="418" t="str">
        <f>Water_emissions!CY486</f>
        <v>[kg/bbl] kg of PYRENE emissions to water per bbl of crude throughput - High Complexity Hydro Cracking</v>
      </c>
      <c r="K721" s="419"/>
      <c r="L721" s="419"/>
      <c r="M721" s="419"/>
      <c r="N721" s="419"/>
      <c r="O721" s="419"/>
      <c r="P721" s="420"/>
      <c r="Q721" s="2"/>
      <c r="R721" s="2"/>
      <c r="S721" s="2"/>
      <c r="T721" s="2"/>
      <c r="U721" s="2"/>
      <c r="V721" s="2"/>
      <c r="W721" s="2"/>
      <c r="X721" s="2"/>
      <c r="Y721" s="2"/>
    </row>
    <row r="722" spans="1:25" x14ac:dyDescent="0.25">
      <c r="A722" s="2"/>
      <c r="B722" s="17">
        <f t="shared" si="37"/>
        <v>12</v>
      </c>
      <c r="C722" s="340" t="str">
        <f>Water_emissions!CW487</f>
        <v>w_PYRENE_HiC</v>
      </c>
      <c r="D722" s="341"/>
      <c r="E722" s="368">
        <f>HLOOKUP($C724,Water_emissions!$E$16:$CQ$32,6,FALSE)</f>
        <v>6.2000827686133422E-8</v>
      </c>
      <c r="F722" s="368">
        <f>HLOOKUP($C724,Water_emissions!$E$16:$CQ$32,11,FALSE)</f>
        <v>6.2000827686133422E-8</v>
      </c>
      <c r="G722" s="368">
        <f>HLOOKUP($C724,Water_emissions!$E$16:$CQ$32,16,FALSE)</f>
        <v>6.2000827686133422E-8</v>
      </c>
      <c r="H722" s="344" t="s">
        <v>1085</v>
      </c>
      <c r="I722" s="342" t="s">
        <v>2233</v>
      </c>
      <c r="J722" s="418" t="str">
        <f>Water_emissions!CY487</f>
        <v>[kg/bbl] kg of PYRENE emissions to water per bbl of crude throughput - High Complexity Coking</v>
      </c>
      <c r="K722" s="419"/>
      <c r="L722" s="419"/>
      <c r="M722" s="419"/>
      <c r="N722" s="419"/>
      <c r="O722" s="419"/>
      <c r="P722" s="420"/>
      <c r="Q722" s="2"/>
      <c r="R722" s="2"/>
      <c r="S722" s="2"/>
      <c r="T722" s="2"/>
      <c r="U722" s="2"/>
      <c r="V722" s="2"/>
      <c r="W722" s="2"/>
      <c r="X722" s="2"/>
      <c r="Y722" s="2"/>
    </row>
    <row r="723" spans="1:25" x14ac:dyDescent="0.25">
      <c r="A723" s="2"/>
      <c r="B723" s="17">
        <f t="shared" si="37"/>
        <v>12</v>
      </c>
      <c r="C723" s="340" t="str">
        <f>Water_emissions!CW488</f>
        <v>w_PYRENE_HiB</v>
      </c>
      <c r="D723" s="341"/>
      <c r="E723" s="368">
        <f>HLOOKUP($C724,Water_emissions!$E$16:$CQ$32,7,FALSE)</f>
        <v>6.2000827686133422E-8</v>
      </c>
      <c r="F723" s="368">
        <f>HLOOKUP($C724,Water_emissions!$E$16:$CQ$32,12,FALSE)</f>
        <v>6.2000827686133422E-8</v>
      </c>
      <c r="G723" s="368">
        <f>HLOOKUP($C724,Water_emissions!$E$16:$CQ$32,17,FALSE)</f>
        <v>6.2000827686133422E-8</v>
      </c>
      <c r="H723" s="344" t="s">
        <v>1085</v>
      </c>
      <c r="I723" s="342" t="s">
        <v>2233</v>
      </c>
      <c r="J723" s="418" t="str">
        <f>Water_emissions!CY488</f>
        <v>[kg/bbl] kg of PYRENE emissions to water per bbl of crude throughput - High Complexity Hydro Cracking and Coking</v>
      </c>
      <c r="K723" s="419"/>
      <c r="L723" s="419"/>
      <c r="M723" s="419"/>
      <c r="N723" s="419"/>
      <c r="O723" s="419"/>
      <c r="P723" s="420"/>
      <c r="Q723" s="2"/>
      <c r="R723" s="2"/>
      <c r="S723" s="2"/>
      <c r="T723" s="2"/>
      <c r="U723" s="2"/>
      <c r="V723" s="2"/>
      <c r="W723" s="2"/>
      <c r="X723" s="2"/>
      <c r="Y723" s="2"/>
    </row>
    <row r="724" spans="1:25" ht="26.25" x14ac:dyDescent="0.25">
      <c r="A724" s="2"/>
      <c r="B724" s="17">
        <f t="shared" si="37"/>
        <v>8</v>
      </c>
      <c r="C724" s="340" t="str">
        <f>Water_emissions!CW489</f>
        <v>w_PYRENE</v>
      </c>
      <c r="D724" s="39" t="str">
        <f>"IF(NC=0;"&amp;C719&amp;";IF(NC=1;"&amp;C720&amp;";IF(NC=2;"&amp;C721&amp;";IF(NC=3;"&amp;C722&amp;";"&amp;C723&amp;"))))/"&amp;$C$27</f>
        <v>IF(NC=0;w_PYRENE_L;IF(NC=1;w_PYRENE_M;IF(NC=2;w_PYRENE_HiH;IF(NC=3;w_PYRENE_HiC;w_PYRENE_HiB))))/Density_oil</v>
      </c>
      <c r="E724" s="68">
        <f>IF($E$24=0,E719,IF($E$24=1,E720,IF($E$24=2,E721,IF($E$24=3,E722,E723))))/$E$27</f>
        <v>4.4705015673464442E-10</v>
      </c>
      <c r="F724" s="342"/>
      <c r="G724" s="343"/>
      <c r="H724" s="344" t="s">
        <v>489</v>
      </c>
      <c r="I724" s="342" t="s">
        <v>2233</v>
      </c>
      <c r="J724" s="418" t="str">
        <f>Water_emissions!CY489</f>
        <v>[kg/bbl] kg of PYRENE emissions to water per bbl of crude throughput</v>
      </c>
      <c r="K724" s="419"/>
      <c r="L724" s="419"/>
      <c r="M724" s="419"/>
      <c r="N724" s="419"/>
      <c r="O724" s="419"/>
      <c r="P724" s="420"/>
      <c r="Q724" s="2"/>
      <c r="R724" s="2"/>
      <c r="S724" s="2"/>
      <c r="T724" s="2"/>
      <c r="U724" s="2"/>
      <c r="V724" s="2"/>
      <c r="W724" s="2"/>
      <c r="X724" s="2"/>
      <c r="Y724" s="2"/>
    </row>
    <row r="725" spans="1:25" x14ac:dyDescent="0.25">
      <c r="A725" s="2"/>
      <c r="B725" s="17">
        <f t="shared" si="37"/>
        <v>13</v>
      </c>
      <c r="C725" s="340" t="str">
        <f>Water_emissions!CW490</f>
        <v>w_Seleniumt_L</v>
      </c>
      <c r="D725" s="341"/>
      <c r="E725" s="368">
        <f>HLOOKUP($C730,Water_emissions!$E$16:$CQ$32,3,FALSE)</f>
        <v>2.6599583881779898E-6</v>
      </c>
      <c r="F725" s="368">
        <f>HLOOKUP($C730,Water_emissions!$E$16:$CQ$32,8,FALSE)</f>
        <v>6.6236265691224976E-8</v>
      </c>
      <c r="G725" s="368">
        <f>HLOOKUP($C730,Water_emissions!$E$16:$CQ$32,13,FALSE)</f>
        <v>1.4525146495162623E-5</v>
      </c>
      <c r="H725" s="344" t="s">
        <v>1085</v>
      </c>
      <c r="I725" s="342" t="s">
        <v>2233</v>
      </c>
      <c r="J725" s="418" t="str">
        <f>Water_emissions!CY490</f>
        <v>[kg/bbl] kg of Selenium, total (as Se) emissions to water per bbl of crude throughput - Low Complexity</v>
      </c>
      <c r="K725" s="419"/>
      <c r="L725" s="419"/>
      <c r="M725" s="419"/>
      <c r="N725" s="419"/>
      <c r="O725" s="419"/>
      <c r="P725" s="420"/>
      <c r="Q725" s="2"/>
      <c r="R725" s="2"/>
      <c r="S725" s="2"/>
      <c r="T725" s="2"/>
      <c r="U725" s="2"/>
      <c r="V725" s="2"/>
      <c r="W725" s="2"/>
      <c r="X725" s="2"/>
      <c r="Y725" s="2"/>
    </row>
    <row r="726" spans="1:25" x14ac:dyDescent="0.25">
      <c r="A726" s="2"/>
      <c r="B726" s="17">
        <f t="shared" si="37"/>
        <v>13</v>
      </c>
      <c r="C726" s="340" t="str">
        <f>Water_emissions!CW491</f>
        <v>w_Seleniumt_M</v>
      </c>
      <c r="D726" s="341"/>
      <c r="E726" s="368">
        <f>HLOOKUP($C730,Water_emissions!$E$16:$CQ$32,4,FALSE)</f>
        <v>8.0321084267812509E-7</v>
      </c>
      <c r="F726" s="368">
        <f>HLOOKUP($C730,Water_emissions!$E$16:$CQ$32,9,FALSE)</f>
        <v>6.6236265691224976E-8</v>
      </c>
      <c r="G726" s="368">
        <f>HLOOKUP($C730,Water_emissions!$E$16:$CQ$32,14,FALSE)</f>
        <v>1.5519126180189676E-6</v>
      </c>
      <c r="H726" s="344" t="s">
        <v>1085</v>
      </c>
      <c r="I726" s="342" t="s">
        <v>2233</v>
      </c>
      <c r="J726" s="418" t="str">
        <f>Water_emissions!CY491</f>
        <v>[kg/bbl] kg of Selenium, total (as Se) emissions to water per bbl of crude throughput - Med Complexity</v>
      </c>
      <c r="K726" s="419"/>
      <c r="L726" s="419"/>
      <c r="M726" s="419"/>
      <c r="N726" s="419"/>
      <c r="O726" s="419"/>
      <c r="P726" s="420"/>
      <c r="Q726" s="2"/>
      <c r="R726" s="2"/>
      <c r="S726" s="2"/>
      <c r="T726" s="2"/>
      <c r="U726" s="2"/>
      <c r="V726" s="2"/>
      <c r="W726" s="2"/>
      <c r="X726" s="2"/>
      <c r="Y726" s="2"/>
    </row>
    <row r="727" spans="1:25" x14ac:dyDescent="0.25">
      <c r="A727" s="2"/>
      <c r="B727" s="17">
        <f t="shared" si="37"/>
        <v>15</v>
      </c>
      <c r="C727" s="340" t="str">
        <f>Water_emissions!CW492</f>
        <v>w_Seleniumt_HiH</v>
      </c>
      <c r="D727" s="341"/>
      <c r="E727" s="368">
        <f>HLOOKUP($C730,Water_emissions!$E$16:$CQ$32,5,FALSE)</f>
        <v>1.62580978114954E-6</v>
      </c>
      <c r="F727" s="368">
        <f>HLOOKUP($C730,Water_emissions!$E$16:$CQ$32,10,FALSE)</f>
        <v>6.4358346293965188E-7</v>
      </c>
      <c r="G727" s="368">
        <f>HLOOKUP($C730,Water_emissions!$E$16:$CQ$32,15,FALSE)</f>
        <v>2.6080360993594283E-6</v>
      </c>
      <c r="H727" s="344" t="s">
        <v>1085</v>
      </c>
      <c r="I727" s="342" t="s">
        <v>2233</v>
      </c>
      <c r="J727" s="418" t="str">
        <f>Water_emissions!CY492</f>
        <v>[kg/bbl] kg of Selenium, total (as Se) emissions to water per bbl of crude throughput - High Complexity Hydro Cracking</v>
      </c>
      <c r="K727" s="419"/>
      <c r="L727" s="419"/>
      <c r="M727" s="419"/>
      <c r="N727" s="419"/>
      <c r="O727" s="419"/>
      <c r="P727" s="420"/>
      <c r="Q727" s="2"/>
      <c r="R727" s="2"/>
      <c r="S727" s="2"/>
      <c r="T727" s="2"/>
      <c r="U727" s="2"/>
      <c r="V727" s="2"/>
      <c r="W727" s="2"/>
      <c r="X727" s="2"/>
      <c r="Y727" s="2"/>
    </row>
    <row r="728" spans="1:25" x14ac:dyDescent="0.25">
      <c r="A728" s="2"/>
      <c r="B728" s="17">
        <f t="shared" si="37"/>
        <v>15</v>
      </c>
      <c r="C728" s="340" t="str">
        <f>Water_emissions!CW493</f>
        <v>w_Seleniumt_HiC</v>
      </c>
      <c r="D728" s="341"/>
      <c r="E728" s="368">
        <f>HLOOKUP($C730,Water_emissions!$E$16:$CQ$32,6,FALSE)</f>
        <v>3.440310253121333E-6</v>
      </c>
      <c r="F728" s="368">
        <f>HLOOKUP($C730,Water_emissions!$E$16:$CQ$32,11,FALSE)</f>
        <v>1.1566888422348313E-6</v>
      </c>
      <c r="G728" s="368">
        <f>HLOOKUP($C730,Water_emissions!$E$16:$CQ$32,16,FALSE)</f>
        <v>7.0492133216816258E-6</v>
      </c>
      <c r="H728" s="344" t="s">
        <v>1085</v>
      </c>
      <c r="I728" s="342" t="s">
        <v>2233</v>
      </c>
      <c r="J728" s="418" t="str">
        <f>Water_emissions!CY493</f>
        <v>[kg/bbl] kg of Selenium, total (as Se) emissions to water per bbl of crude throughput - High Complexity Coking</v>
      </c>
      <c r="K728" s="419"/>
      <c r="L728" s="419"/>
      <c r="M728" s="419"/>
      <c r="N728" s="419"/>
      <c r="O728" s="419"/>
      <c r="P728" s="420"/>
      <c r="Q728" s="2"/>
      <c r="R728" s="2"/>
      <c r="S728" s="2"/>
      <c r="T728" s="2"/>
      <c r="U728" s="2"/>
      <c r="V728" s="2"/>
      <c r="W728" s="2"/>
      <c r="X728" s="2"/>
      <c r="Y728" s="2"/>
    </row>
    <row r="729" spans="1:25" x14ac:dyDescent="0.25">
      <c r="A729" s="2"/>
      <c r="B729" s="17">
        <f t="shared" si="37"/>
        <v>15</v>
      </c>
      <c r="C729" s="340" t="str">
        <f>Water_emissions!CW494</f>
        <v>w_Seleniumt_HiB</v>
      </c>
      <c r="D729" s="341"/>
      <c r="E729" s="368">
        <f>HLOOKUP($C730,Water_emissions!$E$16:$CQ$32,7,FALSE)</f>
        <v>3.5705126647898452E-6</v>
      </c>
      <c r="F729" s="368">
        <f>HLOOKUP($C730,Water_emissions!$E$16:$CQ$32,12,FALSE)</f>
        <v>4.2926351232720491E-7</v>
      </c>
      <c r="G729" s="368">
        <f>HLOOKUP($C730,Water_emissions!$E$16:$CQ$32,17,FALSE)</f>
        <v>1.4525146495162623E-5</v>
      </c>
      <c r="H729" s="344" t="s">
        <v>1085</v>
      </c>
      <c r="I729" s="342" t="s">
        <v>2233</v>
      </c>
      <c r="J729" s="418" t="str">
        <f>Water_emissions!CY494</f>
        <v>[kg/bbl] kg of Selenium, total (as Se) emissions to water per bbl of crude throughput - High Complexity Hydro Cracking and Coking</v>
      </c>
      <c r="K729" s="419"/>
      <c r="L729" s="419"/>
      <c r="M729" s="419"/>
      <c r="N729" s="419"/>
      <c r="O729" s="419"/>
      <c r="P729" s="420"/>
      <c r="Q729" s="2"/>
      <c r="R729" s="2"/>
      <c r="S729" s="2"/>
      <c r="T729" s="2"/>
      <c r="U729" s="2"/>
      <c r="V729" s="2"/>
      <c r="W729" s="2"/>
      <c r="X729" s="2"/>
      <c r="Y729" s="2"/>
    </row>
    <row r="730" spans="1:25" ht="26.25" x14ac:dyDescent="0.25">
      <c r="A730" s="2"/>
      <c r="B730" s="17">
        <f t="shared" si="37"/>
        <v>11</v>
      </c>
      <c r="C730" s="340" t="str">
        <f>Water_emissions!CW495</f>
        <v>w_Seleniumt</v>
      </c>
      <c r="D730" s="39" t="str">
        <f>"IF(NC=0;"&amp;C725&amp;";IF(NC=1;"&amp;C726&amp;";IF(NC=2;"&amp;C727&amp;";IF(NC=3;"&amp;C728&amp;";"&amp;C729&amp;"))))/"&amp;$C$27</f>
        <v>IF(NC=0;w_Seleniumt_L;IF(NC=1;w_Seleniumt_M;IF(NC=2;w_Seleniumt_HiH;IF(NC=3;w_Seleniumt_HiC;w_Seleniumt_HiB))))/Density_oil</v>
      </c>
      <c r="E730" s="68">
        <f>IF($E$24=0,E725,IF($E$24=1,E726,IF($E$24=2,E727,IF($E$24=3,E728,E729))))/$E$27</f>
        <v>2.5744789319551701E-8</v>
      </c>
      <c r="F730" s="342"/>
      <c r="G730" s="343"/>
      <c r="H730" s="344" t="s">
        <v>489</v>
      </c>
      <c r="I730" s="342" t="s">
        <v>2233</v>
      </c>
      <c r="J730" s="418" t="str">
        <f>Water_emissions!CY495</f>
        <v>[kg/bbl] kg of Selenium, total (as Se) emissions to water per bbl of crude throughput</v>
      </c>
      <c r="K730" s="419"/>
      <c r="L730" s="419"/>
      <c r="M730" s="419"/>
      <c r="N730" s="419"/>
      <c r="O730" s="419"/>
      <c r="P730" s="420"/>
      <c r="Q730" s="2"/>
      <c r="R730" s="2"/>
      <c r="S730" s="2"/>
      <c r="T730" s="2"/>
      <c r="U730" s="2"/>
      <c r="V730" s="2"/>
      <c r="W730" s="2"/>
      <c r="X730" s="2"/>
      <c r="Y730" s="2"/>
    </row>
    <row r="731" spans="1:25" x14ac:dyDescent="0.25">
      <c r="A731" s="2"/>
      <c r="B731" s="17">
        <f t="shared" si="37"/>
        <v>13</v>
      </c>
      <c r="C731" s="340" t="str">
        <f>Water_emissions!CW496</f>
        <v>w_Silvertot_L</v>
      </c>
      <c r="D731" s="341"/>
      <c r="E731" s="368">
        <f>HLOOKUP($C736,Water_emissions!$E$16:$CQ$32,3,FALSE)</f>
        <v>2.7957563543677055E-9</v>
      </c>
      <c r="F731" s="368">
        <f>HLOOKUP($C736,Water_emissions!$E$16:$CQ$32,8,FALSE)</f>
        <v>0</v>
      </c>
      <c r="G731" s="368">
        <f>HLOOKUP($C736,Water_emissions!$E$16:$CQ$32,13,FALSE)</f>
        <v>8.3872690631031165E-9</v>
      </c>
      <c r="H731" s="344" t="s">
        <v>1085</v>
      </c>
      <c r="I731" s="342" t="s">
        <v>2233</v>
      </c>
      <c r="J731" s="418" t="str">
        <f>Water_emissions!CY496</f>
        <v>[kg/bbl] kg of Silver, total (as Ag) emissions to water per bbl of crude throughput - Low Complexity</v>
      </c>
      <c r="K731" s="419"/>
      <c r="L731" s="419"/>
      <c r="M731" s="419"/>
      <c r="N731" s="419"/>
      <c r="O731" s="419"/>
      <c r="P731" s="420"/>
      <c r="Q731" s="2"/>
      <c r="R731" s="2"/>
      <c r="S731" s="2"/>
      <c r="T731" s="2"/>
      <c r="U731" s="2"/>
      <c r="V731" s="2"/>
      <c r="W731" s="2"/>
      <c r="X731" s="2"/>
      <c r="Y731" s="2"/>
    </row>
    <row r="732" spans="1:25" x14ac:dyDescent="0.25">
      <c r="A732" s="2"/>
      <c r="B732" s="17">
        <f t="shared" si="37"/>
        <v>13</v>
      </c>
      <c r="C732" s="340" t="str">
        <f>Water_emissions!CW497</f>
        <v>w_Silvertot_M</v>
      </c>
      <c r="D732" s="341"/>
      <c r="E732" s="368">
        <f>HLOOKUP($C736,Water_emissions!$E$16:$CQ$32,4,FALSE)</f>
        <v>8.3872690631031165E-9</v>
      </c>
      <c r="F732" s="368">
        <f>HLOOKUP($C736,Water_emissions!$E$16:$CQ$32,9,FALSE)</f>
        <v>8.3872690631031165E-9</v>
      </c>
      <c r="G732" s="368">
        <f>HLOOKUP($C736,Water_emissions!$E$16:$CQ$32,14,FALSE)</f>
        <v>8.3872690631031165E-9</v>
      </c>
      <c r="H732" s="344" t="s">
        <v>1085</v>
      </c>
      <c r="I732" s="342" t="s">
        <v>2233</v>
      </c>
      <c r="J732" s="418" t="str">
        <f>Water_emissions!CY497</f>
        <v>[kg/bbl] kg of Silver, total (as Ag) emissions to water per bbl of crude throughput - Med Complexity</v>
      </c>
      <c r="K732" s="419"/>
      <c r="L732" s="419"/>
      <c r="M732" s="419"/>
      <c r="N732" s="419"/>
      <c r="O732" s="419"/>
      <c r="P732" s="420"/>
      <c r="Q732" s="2"/>
      <c r="R732" s="2"/>
      <c r="S732" s="2"/>
      <c r="T732" s="2"/>
      <c r="U732" s="2"/>
      <c r="V732" s="2"/>
      <c r="W732" s="2"/>
      <c r="X732" s="2"/>
      <c r="Y732" s="2"/>
    </row>
    <row r="733" spans="1:25" x14ac:dyDescent="0.25">
      <c r="A733" s="2"/>
      <c r="B733" s="17">
        <f t="shared" si="37"/>
        <v>15</v>
      </c>
      <c r="C733" s="340" t="str">
        <f>Water_emissions!CW498</f>
        <v>w_Silvertot_HiH</v>
      </c>
      <c r="D733" s="341"/>
      <c r="E733" s="368">
        <f>HLOOKUP($C736,Water_emissions!$E$16:$CQ$32,5,FALSE)</f>
        <v>2.7957563543677055E-9</v>
      </c>
      <c r="F733" s="368">
        <f>HLOOKUP($C736,Water_emissions!$E$16:$CQ$32,10,FALSE)</f>
        <v>0</v>
      </c>
      <c r="G733" s="368">
        <f>HLOOKUP($C736,Water_emissions!$E$16:$CQ$32,15,FALSE)</f>
        <v>8.3872690631031165E-9</v>
      </c>
      <c r="H733" s="344" t="s">
        <v>1085</v>
      </c>
      <c r="I733" s="342" t="s">
        <v>2233</v>
      </c>
      <c r="J733" s="418" t="str">
        <f>Water_emissions!CY498</f>
        <v>[kg/bbl] kg of Silver, total (as Ag) emissions to water per bbl of crude throughput - High Complexity Hydro Cracking</v>
      </c>
      <c r="K733" s="419"/>
      <c r="L733" s="419"/>
      <c r="M733" s="419"/>
      <c r="N733" s="419"/>
      <c r="O733" s="419"/>
      <c r="P733" s="420"/>
      <c r="Q733" s="2"/>
      <c r="R733" s="2"/>
      <c r="S733" s="2"/>
      <c r="T733" s="2"/>
      <c r="U733" s="2"/>
      <c r="V733" s="2"/>
      <c r="W733" s="2"/>
      <c r="X733" s="2"/>
      <c r="Y733" s="2"/>
    </row>
    <row r="734" spans="1:25" x14ac:dyDescent="0.25">
      <c r="A734" s="2"/>
      <c r="B734" s="17">
        <f t="shared" si="37"/>
        <v>15</v>
      </c>
      <c r="C734" s="340" t="str">
        <f>Water_emissions!CW499</f>
        <v>w_Silvertot_HiC</v>
      </c>
      <c r="D734" s="341"/>
      <c r="E734" s="368">
        <f>HLOOKUP($C736,Water_emissions!$E$16:$CQ$32,6,FALSE)</f>
        <v>0</v>
      </c>
      <c r="F734" s="368">
        <f>HLOOKUP($C736,Water_emissions!$E$16:$CQ$32,11,FALSE)</f>
        <v>0</v>
      </c>
      <c r="G734" s="368">
        <f>HLOOKUP($C736,Water_emissions!$E$16:$CQ$32,16,FALSE)</f>
        <v>0</v>
      </c>
      <c r="H734" s="344" t="s">
        <v>1085</v>
      </c>
      <c r="I734" s="342" t="s">
        <v>2233</v>
      </c>
      <c r="J734" s="418" t="str">
        <f>Water_emissions!CY499</f>
        <v>[kg/bbl] kg of Silver, total (as Ag) emissions to water per bbl of crude throughput - High Complexity Coking</v>
      </c>
      <c r="K734" s="419"/>
      <c r="L734" s="419"/>
      <c r="M734" s="419"/>
      <c r="N734" s="419"/>
      <c r="O734" s="419"/>
      <c r="P734" s="420"/>
      <c r="Q734" s="2"/>
      <c r="R734" s="2"/>
      <c r="S734" s="2"/>
      <c r="T734" s="2"/>
      <c r="U734" s="2"/>
      <c r="V734" s="2"/>
      <c r="W734" s="2"/>
      <c r="X734" s="2"/>
      <c r="Y734" s="2"/>
    </row>
    <row r="735" spans="1:25" x14ac:dyDescent="0.25">
      <c r="A735" s="2"/>
      <c r="B735" s="17">
        <f t="shared" si="37"/>
        <v>15</v>
      </c>
      <c r="C735" s="340" t="str">
        <f>Water_emissions!CW500</f>
        <v>w_Silvertot_HiB</v>
      </c>
      <c r="D735" s="341"/>
      <c r="E735" s="368">
        <f>HLOOKUP($C736,Water_emissions!$E$16:$CQ$32,7,FALSE)</f>
        <v>0</v>
      </c>
      <c r="F735" s="368">
        <f>HLOOKUP($C736,Water_emissions!$E$16:$CQ$32,12,FALSE)</f>
        <v>0</v>
      </c>
      <c r="G735" s="368">
        <f>HLOOKUP($C736,Water_emissions!$E$16:$CQ$32,17,FALSE)</f>
        <v>0</v>
      </c>
      <c r="H735" s="344" t="s">
        <v>1085</v>
      </c>
      <c r="I735" s="342" t="s">
        <v>2233</v>
      </c>
      <c r="J735" s="418" t="str">
        <f>Water_emissions!CY500</f>
        <v>[kg/bbl] kg of Silver, total (as Ag) emissions to water per bbl of crude throughput - High Complexity Hydro Cracking and Coking</v>
      </c>
      <c r="K735" s="419"/>
      <c r="L735" s="419"/>
      <c r="M735" s="419"/>
      <c r="N735" s="419"/>
      <c r="O735" s="419"/>
      <c r="P735" s="420"/>
      <c r="Q735" s="2"/>
      <c r="R735" s="2"/>
      <c r="S735" s="2"/>
      <c r="T735" s="2"/>
      <c r="U735" s="2"/>
      <c r="V735" s="2"/>
      <c r="W735" s="2"/>
      <c r="X735" s="2"/>
      <c r="Y735" s="2"/>
    </row>
    <row r="736" spans="1:25" ht="26.25" x14ac:dyDescent="0.25">
      <c r="A736" s="2"/>
      <c r="B736" s="17">
        <f t="shared" si="37"/>
        <v>11</v>
      </c>
      <c r="C736" s="340" t="str">
        <f>Water_emissions!CW501</f>
        <v>w_Silvertot</v>
      </c>
      <c r="D736" s="39" t="str">
        <f>"IF(NC=0;"&amp;C731&amp;";IF(NC=1;"&amp;C732&amp;";IF(NC=2;"&amp;C733&amp;";IF(NC=3;"&amp;C734&amp;";"&amp;C735&amp;"))))/"&amp;$C$27</f>
        <v>IF(NC=0;w_Silvertot_L;IF(NC=1;w_Silvertot_M;IF(NC=2;w_Silvertot_HiH;IF(NC=3;w_Silvertot_HiC;w_Silvertot_HiB))))/Density_oil</v>
      </c>
      <c r="E736" s="68">
        <f>IF($E$24=0,E731,IF($E$24=1,E732,IF($E$24=2,E733,IF($E$24=3,E734,E735))))/$E$27</f>
        <v>0</v>
      </c>
      <c r="F736" s="342"/>
      <c r="G736" s="343"/>
      <c r="H736" s="344" t="s">
        <v>489</v>
      </c>
      <c r="I736" s="342" t="s">
        <v>2233</v>
      </c>
      <c r="J736" s="418" t="str">
        <f>Water_emissions!CY501</f>
        <v>[kg/bbl] kg of Silver, total (as Ag) emissions to water per bbl of crude throughput</v>
      </c>
      <c r="K736" s="419"/>
      <c r="L736" s="419"/>
      <c r="M736" s="419"/>
      <c r="N736" s="419"/>
      <c r="O736" s="419"/>
      <c r="P736" s="420"/>
      <c r="Q736" s="2"/>
      <c r="R736" s="2"/>
      <c r="S736" s="2"/>
      <c r="T736" s="2"/>
      <c r="U736" s="2"/>
      <c r="V736" s="2"/>
      <c r="W736" s="2"/>
      <c r="X736" s="2"/>
      <c r="Y736" s="2"/>
    </row>
    <row r="737" spans="1:25" x14ac:dyDescent="0.25">
      <c r="A737" s="2"/>
      <c r="B737" s="17">
        <f t="shared" si="37"/>
        <v>13</v>
      </c>
      <c r="C737" s="340" t="str">
        <f>Water_emissions!CW502</f>
        <v>w_Sodiumchl_L</v>
      </c>
      <c r="D737" s="341"/>
      <c r="E737" s="368">
        <f>HLOOKUP($C742,Water_emissions!$E$16:$CQ$32,3,FALSE)</f>
        <v>6.2124152409152858E-3</v>
      </c>
      <c r="F737" s="368">
        <f>HLOOKUP($C742,Water_emissions!$E$16:$CQ$32,8,FALSE)</f>
        <v>4.7031522747176388E-3</v>
      </c>
      <c r="G737" s="368">
        <f>HLOOKUP($C742,Water_emissions!$E$16:$CQ$32,13,FALSE)</f>
        <v>7.7216782071129328E-3</v>
      </c>
      <c r="H737" s="344" t="s">
        <v>1085</v>
      </c>
      <c r="I737" s="342" t="s">
        <v>2233</v>
      </c>
      <c r="J737" s="418" t="str">
        <f>Water_emissions!CY502</f>
        <v>[kg/bbl] kg of Sodium chloride (salt) emissions to water per bbl of crude throughput - Low Complexity</v>
      </c>
      <c r="K737" s="419"/>
      <c r="L737" s="419"/>
      <c r="M737" s="419"/>
      <c r="N737" s="419"/>
      <c r="O737" s="419"/>
      <c r="P737" s="420"/>
      <c r="Q737" s="2"/>
      <c r="R737" s="2"/>
      <c r="S737" s="2"/>
      <c r="T737" s="2"/>
      <c r="U737" s="2"/>
      <c r="V737" s="2"/>
      <c r="W737" s="2"/>
      <c r="X737" s="2"/>
      <c r="Y737" s="2"/>
    </row>
    <row r="738" spans="1:25" x14ac:dyDescent="0.25">
      <c r="A738" s="2"/>
      <c r="B738" s="17">
        <f t="shared" si="37"/>
        <v>13</v>
      </c>
      <c r="C738" s="340" t="str">
        <f>Water_emissions!CW503</f>
        <v>w_Sodiumchl_M</v>
      </c>
      <c r="D738" s="341"/>
      <c r="E738" s="368">
        <f>HLOOKUP($C742,Water_emissions!$E$16:$CQ$32,4,FALSE)</f>
        <v>6.2124152409152858E-3</v>
      </c>
      <c r="F738" s="368">
        <f>HLOOKUP($C742,Water_emissions!$E$16:$CQ$32,9,FALSE)</f>
        <v>4.7031522747176388E-3</v>
      </c>
      <c r="G738" s="368">
        <f>HLOOKUP($C742,Water_emissions!$E$16:$CQ$32,14,FALSE)</f>
        <v>7.7216782071129328E-3</v>
      </c>
      <c r="H738" s="344" t="s">
        <v>1085</v>
      </c>
      <c r="I738" s="342" t="s">
        <v>2233</v>
      </c>
      <c r="J738" s="418" t="str">
        <f>Water_emissions!CY503</f>
        <v>[kg/bbl] kg of Sodium chloride (salt) emissions to water per bbl of crude throughput - Med Complexity</v>
      </c>
      <c r="K738" s="419"/>
      <c r="L738" s="419"/>
      <c r="M738" s="419"/>
      <c r="N738" s="419"/>
      <c r="O738" s="419"/>
      <c r="P738" s="420"/>
      <c r="Q738" s="2"/>
      <c r="R738" s="2"/>
      <c r="S738" s="2"/>
      <c r="T738" s="2"/>
      <c r="U738" s="2"/>
      <c r="V738" s="2"/>
      <c r="W738" s="2"/>
      <c r="X738" s="2"/>
      <c r="Y738" s="2"/>
    </row>
    <row r="739" spans="1:25" x14ac:dyDescent="0.25">
      <c r="A739" s="2"/>
      <c r="B739" s="17">
        <f t="shared" si="37"/>
        <v>15</v>
      </c>
      <c r="C739" s="340" t="str">
        <f>Water_emissions!CW504</f>
        <v>w_Sodiumchl_HiH</v>
      </c>
      <c r="D739" s="341"/>
      <c r="E739" s="368">
        <f>HLOOKUP($C742,Water_emissions!$E$16:$CQ$32,5,FALSE)</f>
        <v>6.2124152409152858E-3</v>
      </c>
      <c r="F739" s="368">
        <f>HLOOKUP($C742,Water_emissions!$E$16:$CQ$32,10,FALSE)</f>
        <v>4.7031522747176388E-3</v>
      </c>
      <c r="G739" s="368">
        <f>HLOOKUP($C742,Water_emissions!$E$16:$CQ$32,15,FALSE)</f>
        <v>7.7216782071129328E-3</v>
      </c>
      <c r="H739" s="344" t="s">
        <v>1085</v>
      </c>
      <c r="I739" s="342" t="s">
        <v>2233</v>
      </c>
      <c r="J739" s="418" t="str">
        <f>Water_emissions!CY504</f>
        <v>[kg/bbl] kg of Sodium chloride (salt) emissions to water per bbl of crude throughput - High Complexity Hydro Cracking</v>
      </c>
      <c r="K739" s="419"/>
      <c r="L739" s="419"/>
      <c r="M739" s="419"/>
      <c r="N739" s="419"/>
      <c r="O739" s="419"/>
      <c r="P739" s="420"/>
      <c r="Q739" s="2"/>
      <c r="R739" s="2"/>
      <c r="S739" s="2"/>
      <c r="T739" s="2"/>
      <c r="U739" s="2"/>
      <c r="V739" s="2"/>
      <c r="W739" s="2"/>
      <c r="X739" s="2"/>
      <c r="Y739" s="2"/>
    </row>
    <row r="740" spans="1:25" x14ac:dyDescent="0.25">
      <c r="A740" s="2"/>
      <c r="B740" s="17">
        <f t="shared" si="37"/>
        <v>15</v>
      </c>
      <c r="C740" s="340" t="str">
        <f>Water_emissions!CW505</f>
        <v>w_Sodiumchl_HiC</v>
      </c>
      <c r="D740" s="341"/>
      <c r="E740" s="368">
        <f>HLOOKUP($C742,Water_emissions!$E$16:$CQ$32,6,FALSE)</f>
        <v>7.7216782071129328E-3</v>
      </c>
      <c r="F740" s="368">
        <f>HLOOKUP($C742,Water_emissions!$E$16:$CQ$32,11,FALSE)</f>
        <v>7.7216782071129328E-3</v>
      </c>
      <c r="G740" s="368">
        <f>HLOOKUP($C742,Water_emissions!$E$16:$CQ$32,16,FALSE)</f>
        <v>7.7216782071129328E-3</v>
      </c>
      <c r="H740" s="344" t="s">
        <v>1085</v>
      </c>
      <c r="I740" s="342" t="s">
        <v>2233</v>
      </c>
      <c r="J740" s="418" t="str">
        <f>Water_emissions!CY505</f>
        <v>[kg/bbl] kg of Sodium chloride (salt) emissions to water per bbl of crude throughput - High Complexity Coking</v>
      </c>
      <c r="K740" s="419"/>
      <c r="L740" s="419"/>
      <c r="M740" s="419"/>
      <c r="N740" s="419"/>
      <c r="O740" s="419"/>
      <c r="P740" s="420"/>
      <c r="Q740" s="2"/>
      <c r="R740" s="2"/>
      <c r="S740" s="2"/>
      <c r="T740" s="2"/>
      <c r="U740" s="2"/>
      <c r="V740" s="2"/>
      <c r="W740" s="2"/>
      <c r="X740" s="2"/>
      <c r="Y740" s="2"/>
    </row>
    <row r="741" spans="1:25" x14ac:dyDescent="0.25">
      <c r="A741" s="2"/>
      <c r="B741" s="17">
        <f t="shared" si="37"/>
        <v>15</v>
      </c>
      <c r="C741" s="340" t="str">
        <f>Water_emissions!CW506</f>
        <v>w_Sodiumchl_HiB</v>
      </c>
      <c r="D741" s="341"/>
      <c r="E741" s="368">
        <f>HLOOKUP($C742,Water_emissions!$E$16:$CQ$32,7,FALSE)</f>
        <v>4.7031522747176388E-3</v>
      </c>
      <c r="F741" s="368">
        <f>HLOOKUP($C742,Water_emissions!$E$16:$CQ$32,12,FALSE)</f>
        <v>4.7031522747176388E-3</v>
      </c>
      <c r="G741" s="368">
        <f>HLOOKUP($C742,Water_emissions!$E$16:$CQ$32,17,FALSE)</f>
        <v>4.7031522747176388E-3</v>
      </c>
      <c r="H741" s="344" t="s">
        <v>1085</v>
      </c>
      <c r="I741" s="342" t="s">
        <v>2233</v>
      </c>
      <c r="J741" s="418" t="str">
        <f>Water_emissions!CY506</f>
        <v>[kg/bbl] kg of Sodium chloride (salt) emissions to water per bbl of crude throughput - High Complexity Hydro Cracking and Coking</v>
      </c>
      <c r="K741" s="419"/>
      <c r="L741" s="419"/>
      <c r="M741" s="419"/>
      <c r="N741" s="419"/>
      <c r="O741" s="419"/>
      <c r="P741" s="420"/>
      <c r="Q741" s="2"/>
      <c r="R741" s="2"/>
      <c r="S741" s="2"/>
      <c r="T741" s="2"/>
      <c r="U741" s="2"/>
      <c r="V741" s="2"/>
      <c r="W741" s="2"/>
      <c r="X741" s="2"/>
      <c r="Y741" s="2"/>
    </row>
    <row r="742" spans="1:25" ht="39" x14ac:dyDescent="0.25">
      <c r="A742" s="2"/>
      <c r="B742" s="17">
        <f t="shared" si="37"/>
        <v>11</v>
      </c>
      <c r="C742" s="340" t="str">
        <f>Water_emissions!CW507</f>
        <v>w_Sodiumchl</v>
      </c>
      <c r="D742" s="39" t="str">
        <f>"IF(NC=0;"&amp;C737&amp;";IF(NC=1;"&amp;C738&amp;";IF(NC=2;"&amp;C739&amp;";IF(NC=3;"&amp;C740&amp;";"&amp;C741&amp;"))))/"&amp;$C$27</f>
        <v>IF(NC=0;w_Sodiumchl_L;IF(NC=1;w_Sodiumchl_M;IF(NC=2;w_Sodiumchl_HiH;IF(NC=3;w_Sodiumchl_HiC;w_Sodiumchl_HiB))))/Density_oil</v>
      </c>
      <c r="E742" s="68">
        <f>IF($E$24=0,E737,IF($E$24=1,E738,IF($E$24=2,E739,IF($E$24=3,E740,E741))))/$E$27</f>
        <v>3.3911562797244031E-5</v>
      </c>
      <c r="F742" s="342"/>
      <c r="G742" s="343"/>
      <c r="H742" s="344" t="s">
        <v>489</v>
      </c>
      <c r="I742" s="342" t="s">
        <v>2233</v>
      </c>
      <c r="J742" s="418" t="str">
        <f>Water_emissions!CY507</f>
        <v>[kg/bbl] kg of Sodium chloride (salt) emissions to water per bbl of crude throughput</v>
      </c>
      <c r="K742" s="419"/>
      <c r="L742" s="419"/>
      <c r="M742" s="419"/>
      <c r="N742" s="419"/>
      <c r="O742" s="419"/>
      <c r="P742" s="420"/>
      <c r="Q742" s="2"/>
      <c r="R742" s="2"/>
      <c r="S742" s="2"/>
      <c r="T742" s="2"/>
      <c r="U742" s="2"/>
      <c r="V742" s="2"/>
      <c r="W742" s="2"/>
      <c r="X742" s="2"/>
      <c r="Y742" s="2"/>
    </row>
    <row r="743" spans="1:25" x14ac:dyDescent="0.25">
      <c r="A743" s="2"/>
      <c r="B743" s="17">
        <f t="shared" si="37"/>
        <v>12</v>
      </c>
      <c r="C743" s="340" t="str">
        <f>Water_emissions!CW508</f>
        <v>w_solidstd_L</v>
      </c>
      <c r="D743" s="341"/>
      <c r="E743" s="368">
        <f>HLOOKUP($C748,Water_emissions!$E$16:$CQ$32,3,FALSE)</f>
        <v>0.17128966160542075</v>
      </c>
      <c r="F743" s="368">
        <f>HLOOKUP($C748,Water_emissions!$E$16:$CQ$32,8,FALSE)</f>
        <v>5.157024735758243E-3</v>
      </c>
      <c r="G743" s="368">
        <f>HLOOKUP($C748,Water_emissions!$E$16:$CQ$32,13,FALSE)</f>
        <v>0.66790524019760111</v>
      </c>
      <c r="H743" s="344" t="s">
        <v>1085</v>
      </c>
      <c r="I743" s="342" t="s">
        <v>2233</v>
      </c>
      <c r="J743" s="418" t="str">
        <f>Water_emissions!CY508</f>
        <v>[kg/bbl] kg of Solids, total dissolved emissions to water per bbl of crude throughput - Low Complexity</v>
      </c>
      <c r="K743" s="419"/>
      <c r="L743" s="419"/>
      <c r="M743" s="419"/>
      <c r="N743" s="419"/>
      <c r="O743" s="419"/>
      <c r="P743" s="420"/>
      <c r="Q743" s="2"/>
      <c r="R743" s="2"/>
      <c r="S743" s="2"/>
      <c r="T743" s="2"/>
      <c r="U743" s="2"/>
      <c r="V743" s="2"/>
      <c r="W743" s="2"/>
      <c r="X743" s="2"/>
      <c r="Y743" s="2"/>
    </row>
    <row r="744" spans="1:25" x14ac:dyDescent="0.25">
      <c r="A744" s="2"/>
      <c r="B744" s="17">
        <f t="shared" si="37"/>
        <v>12</v>
      </c>
      <c r="C744" s="340" t="str">
        <f>Water_emissions!CW509</f>
        <v>w_solidstd_M</v>
      </c>
      <c r="D744" s="341"/>
      <c r="E744" s="368">
        <f>HLOOKUP($C748,Water_emissions!$E$16:$CQ$32,4,FALSE)</f>
        <v>7.9344912625178801E-2</v>
      </c>
      <c r="F744" s="368">
        <f>HLOOKUP($C748,Water_emissions!$E$16:$CQ$32,9,FALSE)</f>
        <v>1.4770498240297959E-2</v>
      </c>
      <c r="G744" s="368">
        <f>HLOOKUP($C748,Water_emissions!$E$16:$CQ$32,14,FALSE)</f>
        <v>0.1714120875134911</v>
      </c>
      <c r="H744" s="344" t="s">
        <v>1085</v>
      </c>
      <c r="I744" s="342" t="s">
        <v>2233</v>
      </c>
      <c r="J744" s="418" t="str">
        <f>Water_emissions!CY509</f>
        <v>[kg/bbl] kg of Solids, total dissolved emissions to water per bbl of crude throughput - Med Complexity</v>
      </c>
      <c r="K744" s="419"/>
      <c r="L744" s="419"/>
      <c r="M744" s="419"/>
      <c r="N744" s="419"/>
      <c r="O744" s="419"/>
      <c r="P744" s="420"/>
      <c r="Q744" s="2"/>
      <c r="R744" s="2"/>
      <c r="S744" s="2"/>
      <c r="T744" s="2"/>
      <c r="U744" s="2"/>
      <c r="V744" s="2"/>
      <c r="W744" s="2"/>
      <c r="X744" s="2"/>
      <c r="Y744" s="2"/>
    </row>
    <row r="745" spans="1:25" x14ac:dyDescent="0.25">
      <c r="A745" s="2"/>
      <c r="B745" s="17">
        <f t="shared" si="37"/>
        <v>14</v>
      </c>
      <c r="C745" s="340" t="str">
        <f>Water_emissions!CW510</f>
        <v>w_solidstd_HiH</v>
      </c>
      <c r="D745" s="341"/>
      <c r="E745" s="368">
        <f>HLOOKUP($C748,Water_emissions!$E$16:$CQ$32,5,FALSE)</f>
        <v>0.17128966160542075</v>
      </c>
      <c r="F745" s="368">
        <f>HLOOKUP($C748,Water_emissions!$E$16:$CQ$32,10,FALSE)</f>
        <v>5.157024735758243E-3</v>
      </c>
      <c r="G745" s="368">
        <f>HLOOKUP($C748,Water_emissions!$E$16:$CQ$32,15,FALSE)</f>
        <v>0.66790524019760111</v>
      </c>
      <c r="H745" s="344" t="s">
        <v>1085</v>
      </c>
      <c r="I745" s="342" t="s">
        <v>2233</v>
      </c>
      <c r="J745" s="418" t="str">
        <f>Water_emissions!CY510</f>
        <v>[kg/bbl] kg of Solids, total dissolved emissions to water per bbl of crude throughput - High Complexity Hydro Cracking</v>
      </c>
      <c r="K745" s="419"/>
      <c r="L745" s="419"/>
      <c r="M745" s="419"/>
      <c r="N745" s="419"/>
      <c r="O745" s="419"/>
      <c r="P745" s="420"/>
      <c r="Q745" s="2"/>
      <c r="R745" s="2"/>
      <c r="S745" s="2"/>
      <c r="T745" s="2"/>
      <c r="U745" s="2"/>
      <c r="V745" s="2"/>
      <c r="W745" s="2"/>
      <c r="X745" s="2"/>
      <c r="Y745" s="2"/>
    </row>
    <row r="746" spans="1:25" x14ac:dyDescent="0.25">
      <c r="A746" s="2"/>
      <c r="B746" s="17">
        <f t="shared" si="37"/>
        <v>14</v>
      </c>
      <c r="C746" s="340" t="str">
        <f>Water_emissions!CW511</f>
        <v>w_solidstd_HiC</v>
      </c>
      <c r="D746" s="341"/>
      <c r="E746" s="368">
        <f>HLOOKUP($C748,Water_emissions!$E$16:$CQ$32,6,FALSE)</f>
        <v>0.31861195620888361</v>
      </c>
      <c r="F746" s="368">
        <f>HLOOKUP($C748,Water_emissions!$E$16:$CQ$32,11,FALSE)</f>
        <v>8.4668501442551041E-3</v>
      </c>
      <c r="G746" s="368">
        <f>HLOOKUP($C748,Water_emissions!$E$16:$CQ$32,16,FALSE)</f>
        <v>0.66790524019760111</v>
      </c>
      <c r="H746" s="344" t="s">
        <v>1085</v>
      </c>
      <c r="I746" s="342" t="s">
        <v>2233</v>
      </c>
      <c r="J746" s="418" t="str">
        <f>Water_emissions!CY511</f>
        <v>[kg/bbl] kg of Solids, total dissolved emissions to water per bbl of crude throughput - High Complexity Coking</v>
      </c>
      <c r="K746" s="419"/>
      <c r="L746" s="419"/>
      <c r="M746" s="419"/>
      <c r="N746" s="419"/>
      <c r="O746" s="419"/>
      <c r="P746" s="420"/>
      <c r="Q746" s="2"/>
      <c r="R746" s="2"/>
      <c r="S746" s="2"/>
      <c r="T746" s="2"/>
      <c r="U746" s="2"/>
      <c r="V746" s="2"/>
      <c r="W746" s="2"/>
      <c r="X746" s="2"/>
      <c r="Y746" s="2"/>
    </row>
    <row r="747" spans="1:25" x14ac:dyDescent="0.25">
      <c r="A747" s="2"/>
      <c r="B747" s="17">
        <f t="shared" si="37"/>
        <v>14</v>
      </c>
      <c r="C747" s="340" t="str">
        <f>Water_emissions!CW512</f>
        <v>w_solidstd_HiB</v>
      </c>
      <c r="D747" s="341"/>
      <c r="E747" s="368">
        <f>HLOOKUP($C748,Water_emissions!$E$16:$CQ$32,7,FALSE)</f>
        <v>5.157024735758243E-3</v>
      </c>
      <c r="F747" s="368">
        <f>HLOOKUP($C748,Water_emissions!$E$16:$CQ$32,12,FALSE)</f>
        <v>5.157024735758243E-3</v>
      </c>
      <c r="G747" s="368">
        <f>HLOOKUP($C748,Water_emissions!$E$16:$CQ$32,17,FALSE)</f>
        <v>5.157024735758243E-3</v>
      </c>
      <c r="H747" s="344" t="s">
        <v>1085</v>
      </c>
      <c r="I747" s="342" t="s">
        <v>2233</v>
      </c>
      <c r="J747" s="418" t="str">
        <f>Water_emissions!CY512</f>
        <v>[kg/bbl] kg of Solids, total dissolved emissions to water per bbl of crude throughput - High Complexity Hydro Cracking and Coking</v>
      </c>
      <c r="K747" s="419"/>
      <c r="L747" s="419"/>
      <c r="M747" s="419"/>
      <c r="N747" s="419"/>
      <c r="O747" s="419"/>
      <c r="P747" s="420"/>
      <c r="Q747" s="2"/>
      <c r="R747" s="2"/>
      <c r="S747" s="2"/>
      <c r="T747" s="2"/>
      <c r="U747" s="2"/>
      <c r="V747" s="2"/>
      <c r="W747" s="2"/>
      <c r="X747" s="2"/>
      <c r="Y747" s="2"/>
    </row>
    <row r="748" spans="1:25" ht="26.25" x14ac:dyDescent="0.25">
      <c r="A748" s="2"/>
      <c r="B748" s="17">
        <f t="shared" si="37"/>
        <v>10</v>
      </c>
      <c r="C748" s="340" t="str">
        <f>Water_emissions!CW513</f>
        <v>w_solidstd</v>
      </c>
      <c r="D748" s="39" t="str">
        <f>"IF(NC=0;"&amp;C743&amp;";IF(NC=1;"&amp;C744&amp;";IF(NC=2;"&amp;C745&amp;";IF(NC=3;"&amp;C746&amp;";"&amp;C747&amp;"))))/"&amp;$C$27</f>
        <v>IF(NC=0;w_solidstd_L;IF(NC=1;w_solidstd_M;IF(NC=2;w_solidstd_HiH;IF(NC=3;w_solidstd_HiC;w_solidstd_HiB))))/Density_oil</v>
      </c>
      <c r="E748" s="68">
        <f>IF($E$24=0,E743,IF($E$24=1,E744,IF($E$24=2,E745,IF($E$24=3,E746,E747))))/$E$27</f>
        <v>3.7184160315988453E-5</v>
      </c>
      <c r="F748" s="342"/>
      <c r="G748" s="343"/>
      <c r="H748" s="344" t="s">
        <v>489</v>
      </c>
      <c r="I748" s="342" t="s">
        <v>2233</v>
      </c>
      <c r="J748" s="418" t="str">
        <f>Water_emissions!CY513</f>
        <v>[kg/bbl] kg of Solids, total dissolved emissions to water per bbl of crude throughput</v>
      </c>
      <c r="K748" s="419"/>
      <c r="L748" s="419"/>
      <c r="M748" s="419"/>
      <c r="N748" s="419"/>
      <c r="O748" s="419"/>
      <c r="P748" s="420"/>
      <c r="Q748" s="2"/>
      <c r="R748" s="2"/>
      <c r="S748" s="2"/>
      <c r="T748" s="2"/>
      <c r="U748" s="2"/>
      <c r="V748" s="2"/>
      <c r="W748" s="2"/>
      <c r="X748" s="2"/>
      <c r="Y748" s="2"/>
    </row>
    <row r="749" spans="1:25" x14ac:dyDescent="0.25">
      <c r="A749" s="2"/>
      <c r="B749" s="17">
        <f t="shared" si="37"/>
        <v>11</v>
      </c>
      <c r="C749" s="340" t="str">
        <f>Water_emissions!CW520</f>
        <v>w_solidts_L</v>
      </c>
      <c r="D749" s="341"/>
      <c r="E749" s="368">
        <f>HLOOKUP($C754,Water_emissions!$E$16:$CQ$32,3,FALSE)</f>
        <v>4.1832337472806303E-3</v>
      </c>
      <c r="F749" s="368">
        <f>HLOOKUP($C754,Water_emissions!$E$16:$CQ$32,8,FALSE)</f>
        <v>0</v>
      </c>
      <c r="G749" s="368">
        <f>HLOOKUP($C754,Water_emissions!$E$16:$CQ$32,13,FALSE)</f>
        <v>2.1386809212545203E-2</v>
      </c>
      <c r="H749" s="344" t="s">
        <v>1085</v>
      </c>
      <c r="I749" s="342" t="s">
        <v>2233</v>
      </c>
      <c r="J749" s="418" t="str">
        <f>Water_emissions!CY520</f>
        <v>[kg/bbl] kg of Solids, total suspended emissions to water per bbl of crude throughput - Low Complexity</v>
      </c>
      <c r="K749" s="419"/>
      <c r="L749" s="419"/>
      <c r="M749" s="419"/>
      <c r="N749" s="419"/>
      <c r="O749" s="419"/>
      <c r="P749" s="420"/>
      <c r="Q749" s="2"/>
      <c r="R749" s="2"/>
      <c r="S749" s="2"/>
      <c r="T749" s="2"/>
      <c r="U749" s="2"/>
      <c r="V749" s="2"/>
      <c r="W749" s="2"/>
      <c r="X749" s="2"/>
      <c r="Y749" s="2"/>
    </row>
    <row r="750" spans="1:25" x14ac:dyDescent="0.25">
      <c r="A750" s="2"/>
      <c r="B750" s="17">
        <f t="shared" si="37"/>
        <v>11</v>
      </c>
      <c r="C750" s="340" t="str">
        <f>Water_emissions!CW521</f>
        <v>w_solidts_M</v>
      </c>
      <c r="D750" s="341"/>
      <c r="E750" s="368">
        <f>HLOOKUP($C754,Water_emissions!$E$16:$CQ$32,4,FALSE)</f>
        <v>1.3495954123606063E-3</v>
      </c>
      <c r="F750" s="368">
        <f>HLOOKUP($C754,Water_emissions!$E$16:$CQ$32,9,FALSE)</f>
        <v>2.2719460821457389E-5</v>
      </c>
      <c r="G750" s="368">
        <f>HLOOKUP($C754,Water_emissions!$E$16:$CQ$32,14,FALSE)</f>
        <v>5.7929123329880216E-3</v>
      </c>
      <c r="H750" s="344" t="s">
        <v>1085</v>
      </c>
      <c r="I750" s="342" t="s">
        <v>2233</v>
      </c>
      <c r="J750" s="418" t="str">
        <f>Water_emissions!CY521</f>
        <v>[kg/bbl] kg of Solids, total suspended emissions to water per bbl of crude throughput - Med Complexity</v>
      </c>
      <c r="K750" s="419"/>
      <c r="L750" s="419"/>
      <c r="M750" s="419"/>
      <c r="N750" s="419"/>
      <c r="O750" s="419"/>
      <c r="P750" s="420"/>
      <c r="Q750" s="2"/>
      <c r="R750" s="2"/>
      <c r="S750" s="2"/>
      <c r="T750" s="2"/>
      <c r="U750" s="2"/>
      <c r="V750" s="2"/>
      <c r="W750" s="2"/>
      <c r="X750" s="2"/>
      <c r="Y750" s="2"/>
    </row>
    <row r="751" spans="1:25" x14ac:dyDescent="0.25">
      <c r="A751" s="2"/>
      <c r="B751" s="17">
        <f t="shared" si="37"/>
        <v>13</v>
      </c>
      <c r="C751" s="340" t="str">
        <f>Water_emissions!CW522</f>
        <v>w_solidts_HiH</v>
      </c>
      <c r="D751" s="341"/>
      <c r="E751" s="368">
        <f>HLOOKUP($C754,Water_emissions!$E$16:$CQ$32,5,FALSE)</f>
        <v>2.339829802087209E-3</v>
      </c>
      <c r="F751" s="368">
        <f>HLOOKUP($C754,Water_emissions!$E$16:$CQ$32,10,FALSE)</f>
        <v>2.3080939018175795E-4</v>
      </c>
      <c r="G751" s="368">
        <f>HLOOKUP($C754,Water_emissions!$E$16:$CQ$32,15,FALSE)</f>
        <v>6.4655317352400555E-3</v>
      </c>
      <c r="H751" s="344" t="s">
        <v>1085</v>
      </c>
      <c r="I751" s="342" t="s">
        <v>2233</v>
      </c>
      <c r="J751" s="418" t="str">
        <f>Water_emissions!CY522</f>
        <v>[kg/bbl] kg of Solids, total suspended emissions to water per bbl of crude throughput - High Complexity Hydro Cracking</v>
      </c>
      <c r="K751" s="419"/>
      <c r="L751" s="419"/>
      <c r="M751" s="419"/>
      <c r="N751" s="419"/>
      <c r="O751" s="419"/>
      <c r="P751" s="420"/>
      <c r="Q751" s="2"/>
      <c r="R751" s="2"/>
      <c r="S751" s="2"/>
      <c r="T751" s="2"/>
      <c r="U751" s="2"/>
      <c r="V751" s="2"/>
      <c r="W751" s="2"/>
      <c r="X751" s="2"/>
      <c r="Y751" s="2"/>
    </row>
    <row r="752" spans="1:25" x14ac:dyDescent="0.25">
      <c r="A752" s="2"/>
      <c r="B752" s="17">
        <f t="shared" si="37"/>
        <v>13</v>
      </c>
      <c r="C752" s="340" t="str">
        <f>Water_emissions!CW523</f>
        <v>w_solidts_HiC</v>
      </c>
      <c r="D752" s="341"/>
      <c r="E752" s="368">
        <f>HLOOKUP($C754,Water_emissions!$E$16:$CQ$32,6,FALSE)</f>
        <v>9.7383948196411163E-4</v>
      </c>
      <c r="F752" s="368">
        <f>HLOOKUP($C754,Water_emissions!$E$16:$CQ$32,11,FALSE)</f>
        <v>-1.0123218650062266E-2</v>
      </c>
      <c r="G752" s="368">
        <f>HLOOKUP($C754,Water_emissions!$E$16:$CQ$32,16,FALSE)</f>
        <v>6.4223951459243863E-3</v>
      </c>
      <c r="H752" s="344" t="s">
        <v>1085</v>
      </c>
      <c r="I752" s="342" t="s">
        <v>2233</v>
      </c>
      <c r="J752" s="418" t="str">
        <f>Water_emissions!CY523</f>
        <v>[kg/bbl] kg of Solids, total suspended emissions to water per bbl of crude throughput - High Complexity Coking</v>
      </c>
      <c r="K752" s="419"/>
      <c r="L752" s="419"/>
      <c r="M752" s="419"/>
      <c r="N752" s="419"/>
      <c r="O752" s="419"/>
      <c r="P752" s="420"/>
      <c r="Q752" s="2"/>
      <c r="R752" s="2"/>
      <c r="S752" s="2"/>
      <c r="T752" s="2"/>
      <c r="U752" s="2"/>
      <c r="V752" s="2"/>
      <c r="W752" s="2"/>
      <c r="X752" s="2"/>
      <c r="Y752" s="2"/>
    </row>
    <row r="753" spans="1:25" x14ac:dyDescent="0.25">
      <c r="A753" s="2"/>
      <c r="B753" s="17">
        <f t="shared" si="37"/>
        <v>13</v>
      </c>
      <c r="C753" s="340" t="str">
        <f>Water_emissions!CW524</f>
        <v>w_solidts_HiB</v>
      </c>
      <c r="D753" s="341"/>
      <c r="E753" s="368">
        <f>HLOOKUP($C754,Water_emissions!$E$16:$CQ$32,7,FALSE)</f>
        <v>2.192587599636248E-3</v>
      </c>
      <c r="F753" s="368">
        <f>HLOOKUP($C754,Water_emissions!$E$16:$CQ$32,12,FALSE)</f>
        <v>8.2092061508879342E-6</v>
      </c>
      <c r="G753" s="368">
        <f>HLOOKUP($C754,Water_emissions!$E$16:$CQ$32,17,FALSE)</f>
        <v>1.0355558279970156E-2</v>
      </c>
      <c r="H753" s="344" t="s">
        <v>1085</v>
      </c>
      <c r="I753" s="342" t="s">
        <v>2233</v>
      </c>
      <c r="J753" s="418" t="str">
        <f>Water_emissions!CY524</f>
        <v>[kg/bbl] kg of Solids, total suspended emissions to water per bbl of crude throughput - High Complexity Hydro Cracking and Coking</v>
      </c>
      <c r="K753" s="419"/>
      <c r="L753" s="419"/>
      <c r="M753" s="419"/>
      <c r="N753" s="419"/>
      <c r="O753" s="419"/>
      <c r="P753" s="420"/>
      <c r="Q753" s="2"/>
      <c r="R753" s="2"/>
      <c r="S753" s="2"/>
      <c r="T753" s="2"/>
      <c r="U753" s="2"/>
      <c r="V753" s="2"/>
      <c r="W753" s="2"/>
      <c r="X753" s="2"/>
      <c r="Y753" s="2"/>
    </row>
    <row r="754" spans="1:25" ht="26.25" x14ac:dyDescent="0.25">
      <c r="A754" s="2"/>
      <c r="B754" s="17">
        <f t="shared" si="37"/>
        <v>9</v>
      </c>
      <c r="C754" s="340" t="str">
        <f>Water_emissions!CW525</f>
        <v>w_solidts</v>
      </c>
      <c r="D754" s="39" t="str">
        <f>"IF(NC=0;"&amp;C749&amp;";IF(NC=1;"&amp;C750&amp;";IF(NC=2;"&amp;C751&amp;";IF(NC=3;"&amp;C752&amp;";"&amp;C753&amp;"))))/"&amp;$C$27</f>
        <v>IF(NC=0;w_solidts_L;IF(NC=1;w_solidts_M;IF(NC=2;w_solidts_HiH;IF(NC=3;w_solidts_HiC;w_solidts_HiB))))/Density_oil</v>
      </c>
      <c r="E754" s="68">
        <f>IF($E$24=0,E749,IF($E$24=1,E750,IF($E$24=2,E751,IF($E$24=3,E752,E753))))/$E$27</f>
        <v>1.5809412013560019E-5</v>
      </c>
      <c r="F754" s="342"/>
      <c r="G754" s="343"/>
      <c r="H754" s="344" t="s">
        <v>489</v>
      </c>
      <c r="I754" s="342" t="s">
        <v>2233</v>
      </c>
      <c r="J754" s="418" t="str">
        <f>Water_emissions!CY525</f>
        <v>[kg/bbl] kg of Solids, total suspended emissions to water per bbl of crude throughput</v>
      </c>
      <c r="K754" s="419"/>
      <c r="L754" s="419"/>
      <c r="M754" s="419"/>
      <c r="N754" s="419"/>
      <c r="O754" s="419"/>
      <c r="P754" s="420"/>
      <c r="Q754" s="2"/>
      <c r="R754" s="2"/>
      <c r="S754" s="2"/>
      <c r="T754" s="2"/>
      <c r="U754" s="2"/>
      <c r="V754" s="2"/>
      <c r="W754" s="2"/>
      <c r="X754" s="2"/>
      <c r="Y754" s="2"/>
    </row>
    <row r="755" spans="1:25" x14ac:dyDescent="0.25">
      <c r="A755" s="2"/>
      <c r="B755" s="17">
        <f t="shared" si="37"/>
        <v>11</v>
      </c>
      <c r="C755" s="340" t="str">
        <f>Water_emissions!CW526</f>
        <v>w_STYRENE_L</v>
      </c>
      <c r="D755" s="341"/>
      <c r="E755" s="368">
        <f>HLOOKUP($C760,Water_emissions!$E$16:$CQ$32,3,FALSE)</f>
        <v>0</v>
      </c>
      <c r="F755" s="368">
        <f>HLOOKUP($C760,Water_emissions!$E$16:$CQ$32,8,FALSE)</f>
        <v>0</v>
      </c>
      <c r="G755" s="368">
        <f>HLOOKUP($C760,Water_emissions!$E$16:$CQ$32,13,FALSE)</f>
        <v>0</v>
      </c>
      <c r="H755" s="344" t="s">
        <v>1085</v>
      </c>
      <c r="I755" s="342" t="s">
        <v>2233</v>
      </c>
      <c r="J755" s="418" t="str">
        <f>Water_emissions!CY526</f>
        <v>[kg/bbl] kg of STYRENE emissions to water per bbl of crude throughput - Low Complexity</v>
      </c>
      <c r="K755" s="419"/>
      <c r="L755" s="419"/>
      <c r="M755" s="419"/>
      <c r="N755" s="419"/>
      <c r="O755" s="419"/>
      <c r="P755" s="420"/>
      <c r="Q755" s="2"/>
      <c r="R755" s="2"/>
      <c r="S755" s="2"/>
      <c r="T755" s="2"/>
      <c r="U755" s="2"/>
      <c r="V755" s="2"/>
      <c r="W755" s="2"/>
      <c r="X755" s="2"/>
      <c r="Y755" s="2"/>
    </row>
    <row r="756" spans="1:25" x14ac:dyDescent="0.25">
      <c r="A756" s="2"/>
      <c r="B756" s="17">
        <f t="shared" ref="B756:B790" si="38">LEN(C756)</f>
        <v>11</v>
      </c>
      <c r="C756" s="340" t="str">
        <f>Water_emissions!CW527</f>
        <v>w_STYRENE_M</v>
      </c>
      <c r="D756" s="341"/>
      <c r="E756" s="368">
        <f>HLOOKUP($C760,Water_emissions!$E$16:$CQ$32,4,FALSE)</f>
        <v>0.8365545855520331</v>
      </c>
      <c r="F756" s="368">
        <f>HLOOKUP($C760,Water_emissions!$E$16:$CQ$32,9,FALSE)</f>
        <v>7.6120879957372308E-4</v>
      </c>
      <c r="G756" s="368">
        <f>HLOOKUP($C760,Water_emissions!$E$16:$CQ$32,14,FALSE)</f>
        <v>1.6723479623044926</v>
      </c>
      <c r="H756" s="344" t="s">
        <v>1085</v>
      </c>
      <c r="I756" s="342" t="s">
        <v>2233</v>
      </c>
      <c r="J756" s="418" t="str">
        <f>Water_emissions!CY527</f>
        <v>[kg/bbl] kg of STYRENE emissions to water per bbl of crude throughput - Med Complexity</v>
      </c>
      <c r="K756" s="419"/>
      <c r="L756" s="419"/>
      <c r="M756" s="419"/>
      <c r="N756" s="419"/>
      <c r="O756" s="419"/>
      <c r="P756" s="420"/>
      <c r="Q756" s="2"/>
      <c r="R756" s="2"/>
      <c r="S756" s="2"/>
      <c r="T756" s="2"/>
      <c r="U756" s="2"/>
      <c r="V756" s="2"/>
      <c r="W756" s="2"/>
      <c r="X756" s="2"/>
      <c r="Y756" s="2"/>
    </row>
    <row r="757" spans="1:25" x14ac:dyDescent="0.25">
      <c r="A757" s="2"/>
      <c r="B757" s="17">
        <f t="shared" si="38"/>
        <v>13</v>
      </c>
      <c r="C757" s="340" t="str">
        <f>Water_emissions!CW528</f>
        <v>w_STYRENE_HiH</v>
      </c>
      <c r="D757" s="341"/>
      <c r="E757" s="368">
        <f>HLOOKUP($C760,Water_emissions!$E$16:$CQ$32,5,FALSE)</f>
        <v>0.12166670328983972</v>
      </c>
      <c r="F757" s="368">
        <f>HLOOKUP($C760,Water_emissions!$E$16:$CQ$32,10,FALSE)</f>
        <v>0</v>
      </c>
      <c r="G757" s="368">
        <f>HLOOKUP($C760,Water_emissions!$E$16:$CQ$32,15,FALSE)</f>
        <v>1.6723479623044926</v>
      </c>
      <c r="H757" s="344" t="s">
        <v>1085</v>
      </c>
      <c r="I757" s="342" t="s">
        <v>2233</v>
      </c>
      <c r="J757" s="418" t="str">
        <f>Water_emissions!CY528</f>
        <v>[kg/bbl] kg of STYRENE emissions to water per bbl of crude throughput - High Complexity Hydro Cracking</v>
      </c>
      <c r="K757" s="419"/>
      <c r="L757" s="419"/>
      <c r="M757" s="419"/>
      <c r="N757" s="419"/>
      <c r="O757" s="419"/>
      <c r="P757" s="420"/>
      <c r="Q757" s="2"/>
      <c r="R757" s="2"/>
      <c r="S757" s="2"/>
      <c r="T757" s="2"/>
      <c r="U757" s="2"/>
      <c r="V757" s="2"/>
      <c r="W757" s="2"/>
      <c r="X757" s="2"/>
      <c r="Y757" s="2"/>
    </row>
    <row r="758" spans="1:25" x14ac:dyDescent="0.25">
      <c r="A758" s="2"/>
      <c r="B758" s="17">
        <f t="shared" si="38"/>
        <v>13</v>
      </c>
      <c r="C758" s="340" t="str">
        <f>Water_emissions!CW529</f>
        <v>w_STYRENE_HiC</v>
      </c>
      <c r="D758" s="341"/>
      <c r="E758" s="368">
        <f>HLOOKUP($C760,Water_emissions!$E$16:$CQ$32,6,FALSE)</f>
        <v>6.6638990480491576E-4</v>
      </c>
      <c r="F758" s="368">
        <f>HLOOKUP($C760,Water_emissions!$E$16:$CQ$32,11,FALSE)</f>
        <v>0</v>
      </c>
      <c r="G758" s="368">
        <f>HLOOKUP($C760,Water_emissions!$E$16:$CQ$32,16,FALSE)</f>
        <v>1.998173098881023E-3</v>
      </c>
      <c r="H758" s="344" t="s">
        <v>1085</v>
      </c>
      <c r="I758" s="342" t="s">
        <v>2233</v>
      </c>
      <c r="J758" s="418" t="str">
        <f>Water_emissions!CY529</f>
        <v>[kg/bbl] kg of STYRENE emissions to water per bbl of crude throughput - High Complexity Coking</v>
      </c>
      <c r="K758" s="419"/>
      <c r="L758" s="419"/>
      <c r="M758" s="419"/>
      <c r="N758" s="419"/>
      <c r="O758" s="419"/>
      <c r="P758" s="420"/>
      <c r="Q758" s="2"/>
      <c r="R758" s="2"/>
      <c r="S758" s="2"/>
      <c r="T758" s="2"/>
      <c r="U758" s="2"/>
      <c r="V758" s="2"/>
      <c r="W758" s="2"/>
      <c r="X758" s="2"/>
      <c r="Y758" s="2"/>
    </row>
    <row r="759" spans="1:25" x14ac:dyDescent="0.25">
      <c r="A759" s="2"/>
      <c r="B759" s="17">
        <f t="shared" si="38"/>
        <v>13</v>
      </c>
      <c r="C759" s="340" t="str">
        <f>Water_emissions!CW530</f>
        <v>w_STYRENE_HiB</v>
      </c>
      <c r="D759" s="341"/>
      <c r="E759" s="368">
        <f>HLOOKUP($C760,Water_emissions!$E$16:$CQ$32,7,FALSE)</f>
        <v>5.511823066894051E-3</v>
      </c>
      <c r="F759" s="368">
        <f>HLOOKUP($C760,Water_emissions!$E$16:$CQ$32,12,FALSE)</f>
        <v>0</v>
      </c>
      <c r="G759" s="368">
        <f>HLOOKUP($C760,Water_emissions!$E$16:$CQ$32,17,FALSE)</f>
        <v>2.7235908672468275E-2</v>
      </c>
      <c r="H759" s="344" t="s">
        <v>1085</v>
      </c>
      <c r="I759" s="342" t="s">
        <v>2233</v>
      </c>
      <c r="J759" s="418" t="str">
        <f>Water_emissions!CY530</f>
        <v>[kg/bbl] kg of STYRENE emissions to water per bbl of crude throughput - High Complexity Hydro Cracking and Coking</v>
      </c>
      <c r="K759" s="419"/>
      <c r="L759" s="419"/>
      <c r="M759" s="419"/>
      <c r="N759" s="419"/>
      <c r="O759" s="419"/>
      <c r="P759" s="420"/>
      <c r="Q759" s="2"/>
      <c r="R759" s="2"/>
      <c r="S759" s="2"/>
      <c r="T759" s="2"/>
      <c r="U759" s="2"/>
      <c r="V759" s="2"/>
      <c r="W759" s="2"/>
      <c r="X759" s="2"/>
      <c r="Y759" s="2"/>
    </row>
    <row r="760" spans="1:25" ht="39" x14ac:dyDescent="0.25">
      <c r="A760" s="2"/>
      <c r="B760" s="17">
        <f t="shared" si="38"/>
        <v>9</v>
      </c>
      <c r="C760" s="340" t="str">
        <f>Water_emissions!CW531</f>
        <v>w_STYRENE</v>
      </c>
      <c r="D760" s="39" t="str">
        <f>"IF(NC=0;"&amp;C755&amp;";IF(NC=1;"&amp;C756&amp;";IF(NC=2;"&amp;C757&amp;";IF(NC=3;"&amp;C758&amp;";"&amp;C759&amp;"))))/"&amp;$C$27</f>
        <v>IF(NC=0;w_STYRENE_L;IF(NC=1;w_STYRENE_M;IF(NC=2;w_STYRENE_HiH;IF(NC=3;w_STYRENE_HiC;w_STYRENE_HiB))))/Density_oil</v>
      </c>
      <c r="E760" s="68">
        <f>IF($E$24=0,E755,IF($E$24=1,E756,IF($E$24=2,E757,IF($E$24=3,E758,E759))))/$E$27</f>
        <v>3.974239470515496E-5</v>
      </c>
      <c r="F760" s="342"/>
      <c r="G760" s="343"/>
      <c r="H760" s="344" t="s">
        <v>489</v>
      </c>
      <c r="I760" s="342" t="s">
        <v>2233</v>
      </c>
      <c r="J760" s="418" t="str">
        <f>Water_emissions!CY531</f>
        <v>[kg/bbl] kg of STYRENE emissions to water per bbl of crude throughput</v>
      </c>
      <c r="K760" s="419"/>
      <c r="L760" s="419"/>
      <c r="M760" s="419"/>
      <c r="N760" s="419"/>
      <c r="O760" s="419"/>
      <c r="P760" s="420"/>
      <c r="Q760" s="2"/>
      <c r="R760" s="2"/>
      <c r="S760" s="2"/>
      <c r="T760" s="2"/>
      <c r="U760" s="2"/>
      <c r="V760" s="2"/>
      <c r="W760" s="2"/>
      <c r="X760" s="2"/>
      <c r="Y760" s="2"/>
    </row>
    <row r="761" spans="1:25" x14ac:dyDescent="0.25">
      <c r="A761" s="2"/>
      <c r="B761" s="17">
        <f t="shared" si="38"/>
        <v>11</v>
      </c>
      <c r="C761" s="340" t="str">
        <f>Water_emissions!CW532</f>
        <v>w_TOLUENE_L</v>
      </c>
      <c r="D761" s="341"/>
      <c r="E761" s="368">
        <f>HLOOKUP($C766,Water_emissions!$E$16:$CQ$32,3,FALSE)</f>
        <v>4.520349003059039E-3</v>
      </c>
      <c r="F761" s="368">
        <f>HLOOKUP($C766,Water_emissions!$E$16:$CQ$32,8,FALSE)</f>
        <v>0</v>
      </c>
      <c r="G761" s="368">
        <f>HLOOKUP($C766,Water_emissions!$E$16:$CQ$32,13,FALSE)</f>
        <v>1.8211920529801327E-2</v>
      </c>
      <c r="H761" s="344" t="s">
        <v>1085</v>
      </c>
      <c r="I761" s="342" t="s">
        <v>2233</v>
      </c>
      <c r="J761" s="418" t="str">
        <f>Water_emissions!CY532</f>
        <v>[kg/bbl] kg of TOLUENE emissions to water per bbl of crude throughput - Low Complexity</v>
      </c>
      <c r="K761" s="419"/>
      <c r="L761" s="419"/>
      <c r="M761" s="419"/>
      <c r="N761" s="419"/>
      <c r="O761" s="419"/>
      <c r="P761" s="420"/>
      <c r="Q761" s="2"/>
      <c r="R761" s="2"/>
      <c r="S761" s="2"/>
      <c r="T761" s="2"/>
      <c r="U761" s="2"/>
      <c r="V761" s="2"/>
      <c r="W761" s="2"/>
      <c r="X761" s="2"/>
      <c r="Y761" s="2"/>
    </row>
    <row r="762" spans="1:25" x14ac:dyDescent="0.25">
      <c r="A762" s="2"/>
      <c r="B762" s="17">
        <f t="shared" si="38"/>
        <v>11</v>
      </c>
      <c r="C762" s="340" t="str">
        <f>Water_emissions!CW533</f>
        <v>w_TOLUENE_M</v>
      </c>
      <c r="D762" s="341"/>
      <c r="E762" s="368">
        <f>HLOOKUP($C766,Water_emissions!$E$16:$CQ$32,4,FALSE)</f>
        <v>3.9803188179813938E-2</v>
      </c>
      <c r="F762" s="368">
        <f>HLOOKUP($C766,Water_emissions!$E$16:$CQ$32,9,FALSE)</f>
        <v>0</v>
      </c>
      <c r="G762" s="368">
        <f>HLOOKUP($C766,Water_emissions!$E$16:$CQ$32,14,FALSE)</f>
        <v>0.30313764215987549</v>
      </c>
      <c r="H762" s="344" t="s">
        <v>1085</v>
      </c>
      <c r="I762" s="342" t="s">
        <v>2233</v>
      </c>
      <c r="J762" s="418" t="str">
        <f>Water_emissions!CY533</f>
        <v>[kg/bbl] kg of TOLUENE emissions to water per bbl of crude throughput - Med Complexity</v>
      </c>
      <c r="K762" s="419"/>
      <c r="L762" s="419"/>
      <c r="M762" s="419"/>
      <c r="N762" s="419"/>
      <c r="O762" s="419"/>
      <c r="P762" s="420"/>
      <c r="Q762" s="2"/>
      <c r="R762" s="2"/>
      <c r="S762" s="2"/>
      <c r="T762" s="2"/>
      <c r="U762" s="2"/>
      <c r="V762" s="2"/>
      <c r="W762" s="2"/>
      <c r="X762" s="2"/>
      <c r="Y762" s="2"/>
    </row>
    <row r="763" spans="1:25" x14ac:dyDescent="0.25">
      <c r="A763" s="2"/>
      <c r="B763" s="17">
        <f t="shared" si="38"/>
        <v>13</v>
      </c>
      <c r="C763" s="340" t="str">
        <f>Water_emissions!CW534</f>
        <v>w_TOLUENE_HiH</v>
      </c>
      <c r="D763" s="341"/>
      <c r="E763" s="368">
        <f>HLOOKUP($C766,Water_emissions!$E$16:$CQ$32,5,FALSE)</f>
        <v>2.9485059890253931E-2</v>
      </c>
      <c r="F763" s="368">
        <f>HLOOKUP($C766,Water_emissions!$E$16:$CQ$32,10,FALSE)</f>
        <v>3.9116659063860824E-3</v>
      </c>
      <c r="G763" s="368">
        <f>HLOOKUP($C766,Water_emissions!$E$16:$CQ$32,15,FALSE)</f>
        <v>0.15343543692839806</v>
      </c>
      <c r="H763" s="344" t="s">
        <v>1085</v>
      </c>
      <c r="I763" s="342" t="s">
        <v>2233</v>
      </c>
      <c r="J763" s="418" t="str">
        <f>Water_emissions!CY534</f>
        <v>[kg/bbl] kg of TOLUENE emissions to water per bbl of crude throughput - High Complexity Hydro Cracking</v>
      </c>
      <c r="K763" s="419"/>
      <c r="L763" s="419"/>
      <c r="M763" s="419"/>
      <c r="N763" s="419"/>
      <c r="O763" s="419"/>
      <c r="P763" s="420"/>
      <c r="Q763" s="2"/>
      <c r="R763" s="2"/>
      <c r="S763" s="2"/>
      <c r="T763" s="2"/>
      <c r="U763" s="2"/>
      <c r="V763" s="2"/>
      <c r="W763" s="2"/>
      <c r="X763" s="2"/>
      <c r="Y763" s="2"/>
    </row>
    <row r="764" spans="1:25" x14ac:dyDescent="0.25">
      <c r="A764" s="2"/>
      <c r="B764" s="17">
        <f t="shared" si="38"/>
        <v>13</v>
      </c>
      <c r="C764" s="340" t="str">
        <f>Water_emissions!CW535</f>
        <v>w_TOLUENE_HiC</v>
      </c>
      <c r="D764" s="341"/>
      <c r="E764" s="368">
        <f>HLOOKUP($C766,Water_emissions!$E$16:$CQ$32,6,FALSE)</f>
        <v>0.15016124438795322</v>
      </c>
      <c r="F764" s="368">
        <f>HLOOKUP($C766,Water_emissions!$E$16:$CQ$32,11,FALSE)</f>
        <v>0</v>
      </c>
      <c r="G764" s="368">
        <f>HLOOKUP($C766,Water_emissions!$E$16:$CQ$32,16,FALSE)</f>
        <v>2.5116507235712535</v>
      </c>
      <c r="H764" s="344" t="s">
        <v>1085</v>
      </c>
      <c r="I764" s="342" t="s">
        <v>2233</v>
      </c>
      <c r="J764" s="418" t="str">
        <f>Water_emissions!CY535</f>
        <v>[kg/bbl] kg of TOLUENE emissions to water per bbl of crude throughput - High Complexity Coking</v>
      </c>
      <c r="K764" s="419"/>
      <c r="L764" s="419"/>
      <c r="M764" s="419"/>
      <c r="N764" s="419"/>
      <c r="O764" s="419"/>
      <c r="P764" s="420"/>
      <c r="Q764" s="2"/>
      <c r="R764" s="2"/>
      <c r="S764" s="2"/>
      <c r="T764" s="2"/>
      <c r="U764" s="2"/>
      <c r="V764" s="2"/>
      <c r="W764" s="2"/>
      <c r="X764" s="2"/>
      <c r="Y764" s="2"/>
    </row>
    <row r="765" spans="1:25" x14ac:dyDescent="0.25">
      <c r="A765" s="2"/>
      <c r="B765" s="17">
        <f t="shared" si="38"/>
        <v>13</v>
      </c>
      <c r="C765" s="340" t="str">
        <f>Water_emissions!CW536</f>
        <v>w_TOLUENE_HiB</v>
      </c>
      <c r="D765" s="341"/>
      <c r="E765" s="368">
        <f>HLOOKUP($C766,Water_emissions!$E$16:$CQ$32,7,FALSE)</f>
        <v>9.7212848876530554E-3</v>
      </c>
      <c r="F765" s="368">
        <f>HLOOKUP($C766,Water_emissions!$E$16:$CQ$32,12,FALSE)</f>
        <v>0</v>
      </c>
      <c r="G765" s="368">
        <f>HLOOKUP($C766,Water_emissions!$E$16:$CQ$32,17,FALSE)</f>
        <v>5.7876305928995085E-2</v>
      </c>
      <c r="H765" s="344" t="s">
        <v>1085</v>
      </c>
      <c r="I765" s="342" t="s">
        <v>2233</v>
      </c>
      <c r="J765" s="418" t="str">
        <f>Water_emissions!CY536</f>
        <v>[kg/bbl] kg of TOLUENE emissions to water per bbl of crude throughput - High Complexity Hydro Cracking and Coking</v>
      </c>
      <c r="K765" s="419"/>
      <c r="L765" s="419"/>
      <c r="M765" s="419"/>
      <c r="N765" s="419"/>
      <c r="O765" s="419"/>
      <c r="P765" s="420"/>
      <c r="Q765" s="2"/>
      <c r="R765" s="2"/>
      <c r="S765" s="2"/>
      <c r="T765" s="2"/>
      <c r="U765" s="2"/>
      <c r="V765" s="2"/>
      <c r="W765" s="2"/>
      <c r="X765" s="2"/>
      <c r="Y765" s="2"/>
    </row>
    <row r="766" spans="1:25" ht="39" x14ac:dyDescent="0.25">
      <c r="A766" s="2"/>
      <c r="B766" s="17">
        <f t="shared" si="38"/>
        <v>9</v>
      </c>
      <c r="C766" s="340" t="str">
        <f>Water_emissions!CW537</f>
        <v>w_TOLUENE</v>
      </c>
      <c r="D766" s="39" t="str">
        <f>"IF(NC=0;"&amp;C761&amp;";IF(NC=1;"&amp;C762&amp;";IF(NC=2;"&amp;C763&amp;";IF(NC=3;"&amp;C764&amp;";"&amp;C765&amp;"))))/"&amp;$C$27</f>
        <v>IF(NC=0;w_TOLUENE_L;IF(NC=1;w_TOLUENE_M;IF(NC=2;w_TOLUENE_HiH;IF(NC=3;w_TOLUENE_HiC;w_TOLUENE_HiB))))/Density_oil</v>
      </c>
      <c r="E766" s="68">
        <f>IF($E$24=0,E761,IF($E$24=1,E762,IF($E$24=2,E763,IF($E$24=3,E764,E765))))/$E$27</f>
        <v>7.0094256720050135E-5</v>
      </c>
      <c r="F766" s="342"/>
      <c r="G766" s="343"/>
      <c r="H766" s="344" t="s">
        <v>489</v>
      </c>
      <c r="I766" s="342" t="s">
        <v>2233</v>
      </c>
      <c r="J766" s="418" t="str">
        <f>Water_emissions!CY537</f>
        <v>[kg/bbl] kg of TOLUENE emissions to water per bbl of crude throughput</v>
      </c>
      <c r="K766" s="419"/>
      <c r="L766" s="419"/>
      <c r="M766" s="419"/>
      <c r="N766" s="419"/>
      <c r="O766" s="419"/>
      <c r="P766" s="420"/>
      <c r="Q766" s="2"/>
      <c r="R766" s="2"/>
      <c r="S766" s="2"/>
      <c r="T766" s="2"/>
      <c r="U766" s="2"/>
      <c r="V766" s="2"/>
      <c r="W766" s="2"/>
      <c r="X766" s="2"/>
      <c r="Y766" s="2"/>
    </row>
    <row r="767" spans="1:25" x14ac:dyDescent="0.25">
      <c r="A767" s="2"/>
      <c r="B767" s="17">
        <f t="shared" si="38"/>
        <v>13</v>
      </c>
      <c r="C767" s="340" t="str">
        <f>Water_emissions!CW538</f>
        <v>w_TRICHLORO_L</v>
      </c>
      <c r="D767" s="341"/>
      <c r="E767" s="368">
        <f>HLOOKUP($C772,Water_emissions!$E$16:$CQ$32,3,FALSE)</f>
        <v>1.6964549783449997E-7</v>
      </c>
      <c r="F767" s="368">
        <f>HLOOKUP($C772,Water_emissions!$E$16:$CQ$32,8,FALSE)</f>
        <v>0</v>
      </c>
      <c r="G767" s="368">
        <f>HLOOKUP($C772,Water_emissions!$E$16:$CQ$32,13,FALSE)</f>
        <v>5.0893649350349993E-7</v>
      </c>
      <c r="H767" s="344" t="s">
        <v>1085</v>
      </c>
      <c r="I767" s="342" t="s">
        <v>2233</v>
      </c>
      <c r="J767" s="418" t="str">
        <f>Water_emissions!CY538</f>
        <v>[kg/bbl] kg of TRICHLOROETHYLENE emissions to water per bbl of crude throughput - Low Complexity</v>
      </c>
      <c r="K767" s="419"/>
      <c r="L767" s="419"/>
      <c r="M767" s="419"/>
      <c r="N767" s="419"/>
      <c r="O767" s="419"/>
      <c r="P767" s="420"/>
      <c r="Q767" s="2"/>
      <c r="R767" s="2"/>
      <c r="S767" s="2"/>
      <c r="T767" s="2"/>
      <c r="U767" s="2"/>
      <c r="V767" s="2"/>
      <c r="W767" s="2"/>
      <c r="X767" s="2"/>
      <c r="Y767" s="2"/>
    </row>
    <row r="768" spans="1:25" x14ac:dyDescent="0.25">
      <c r="A768" s="2"/>
      <c r="B768" s="17">
        <f t="shared" si="38"/>
        <v>13</v>
      </c>
      <c r="C768" s="340" t="str">
        <f>Water_emissions!CW539</f>
        <v>w_TRICHLORO_M</v>
      </c>
      <c r="D768" s="341"/>
      <c r="E768" s="368">
        <f>HLOOKUP($C772,Water_emissions!$E$16:$CQ$32,4,FALSE)</f>
        <v>1.6964549783449997E-7</v>
      </c>
      <c r="F768" s="368">
        <f>HLOOKUP($C772,Water_emissions!$E$16:$CQ$32,9,FALSE)</f>
        <v>0</v>
      </c>
      <c r="G768" s="368">
        <f>HLOOKUP($C772,Water_emissions!$E$16:$CQ$32,14,FALSE)</f>
        <v>5.0893649350349993E-7</v>
      </c>
      <c r="H768" s="344" t="s">
        <v>1085</v>
      </c>
      <c r="I768" s="342" t="s">
        <v>2233</v>
      </c>
      <c r="J768" s="418" t="str">
        <f>Water_emissions!CY539</f>
        <v>[kg/bbl] kg of TRICHLOROETHYLENE emissions to water per bbl of crude throughput - Med Complexity</v>
      </c>
      <c r="K768" s="419"/>
      <c r="L768" s="419"/>
      <c r="M768" s="419"/>
      <c r="N768" s="419"/>
      <c r="O768" s="419"/>
      <c r="P768" s="420"/>
      <c r="Q768" s="2"/>
      <c r="R768" s="2"/>
      <c r="S768" s="2"/>
      <c r="T768" s="2"/>
      <c r="U768" s="2"/>
      <c r="V768" s="2"/>
      <c r="W768" s="2"/>
      <c r="X768" s="2"/>
      <c r="Y768" s="2"/>
    </row>
    <row r="769" spans="1:25" x14ac:dyDescent="0.25">
      <c r="A769" s="2"/>
      <c r="B769" s="17">
        <f t="shared" si="38"/>
        <v>15</v>
      </c>
      <c r="C769" s="340" t="str">
        <f>Water_emissions!CW540</f>
        <v>w_TRICHLORO_HiH</v>
      </c>
      <c r="D769" s="341"/>
      <c r="E769" s="368">
        <f>HLOOKUP($C772,Water_emissions!$E$16:$CQ$32,5,FALSE)</f>
        <v>1.6964549783449997E-7</v>
      </c>
      <c r="F769" s="368">
        <f>HLOOKUP($C772,Water_emissions!$E$16:$CQ$32,10,FALSE)</f>
        <v>0</v>
      </c>
      <c r="G769" s="368">
        <f>HLOOKUP($C772,Water_emissions!$E$16:$CQ$32,15,FALSE)</f>
        <v>5.0893649350349993E-7</v>
      </c>
      <c r="H769" s="344" t="s">
        <v>1085</v>
      </c>
      <c r="I769" s="342" t="s">
        <v>2233</v>
      </c>
      <c r="J769" s="418" t="str">
        <f>Water_emissions!CY540</f>
        <v>[kg/bbl] kg of TRICHLOROETHYLENE emissions to water per bbl of crude throughput - High Complexity Hydro Cracking</v>
      </c>
      <c r="K769" s="419"/>
      <c r="L769" s="419"/>
      <c r="M769" s="419"/>
      <c r="N769" s="419"/>
      <c r="O769" s="419"/>
      <c r="P769" s="420"/>
      <c r="Q769" s="2"/>
      <c r="R769" s="2"/>
      <c r="S769" s="2"/>
      <c r="T769" s="2"/>
      <c r="U769" s="2"/>
      <c r="V769" s="2"/>
      <c r="W769" s="2"/>
      <c r="X769" s="2"/>
      <c r="Y769" s="2"/>
    </row>
    <row r="770" spans="1:25" x14ac:dyDescent="0.25">
      <c r="A770" s="2"/>
      <c r="B770" s="17">
        <f t="shared" si="38"/>
        <v>15</v>
      </c>
      <c r="C770" s="340" t="str">
        <f>Water_emissions!CW541</f>
        <v>w_TRICHLORO_HiC</v>
      </c>
      <c r="D770" s="341"/>
      <c r="E770" s="368">
        <f>HLOOKUP($C772,Water_emissions!$E$16:$CQ$32,6,FALSE)</f>
        <v>5.0893649350349993E-7</v>
      </c>
      <c r="F770" s="368">
        <f>HLOOKUP($C772,Water_emissions!$E$16:$CQ$32,11,FALSE)</f>
        <v>5.0893649350349993E-7</v>
      </c>
      <c r="G770" s="368">
        <f>HLOOKUP($C772,Water_emissions!$E$16:$CQ$32,16,FALSE)</f>
        <v>5.0893649350349993E-7</v>
      </c>
      <c r="H770" s="344" t="s">
        <v>1085</v>
      </c>
      <c r="I770" s="342" t="s">
        <v>2233</v>
      </c>
      <c r="J770" s="418" t="str">
        <f>Water_emissions!CY541</f>
        <v>[kg/bbl] kg of TRICHLOROETHYLENE emissions to water per bbl of crude throughput - High Complexity Coking</v>
      </c>
      <c r="K770" s="419"/>
      <c r="L770" s="419"/>
      <c r="M770" s="419"/>
      <c r="N770" s="419"/>
      <c r="O770" s="419"/>
      <c r="P770" s="420"/>
      <c r="Q770" s="2"/>
      <c r="R770" s="2"/>
      <c r="S770" s="2"/>
      <c r="T770" s="2"/>
      <c r="U770" s="2"/>
      <c r="V770" s="2"/>
      <c r="W770" s="2"/>
      <c r="X770" s="2"/>
      <c r="Y770" s="2"/>
    </row>
    <row r="771" spans="1:25" x14ac:dyDescent="0.25">
      <c r="A771" s="2"/>
      <c r="B771" s="17">
        <f t="shared" si="38"/>
        <v>15</v>
      </c>
      <c r="C771" s="340" t="str">
        <f>Water_emissions!CW542</f>
        <v>w_TRICHLORO_HiB</v>
      </c>
      <c r="D771" s="341"/>
      <c r="E771" s="368">
        <f>HLOOKUP($C772,Water_emissions!$E$16:$CQ$32,7,FALSE)</f>
        <v>0</v>
      </c>
      <c r="F771" s="368">
        <f>HLOOKUP($C772,Water_emissions!$E$16:$CQ$32,12,FALSE)</f>
        <v>0</v>
      </c>
      <c r="G771" s="368">
        <f>HLOOKUP($C772,Water_emissions!$E$16:$CQ$32,17,FALSE)</f>
        <v>0</v>
      </c>
      <c r="H771" s="344" t="s">
        <v>1085</v>
      </c>
      <c r="I771" s="342" t="s">
        <v>2233</v>
      </c>
      <c r="J771" s="418" t="str">
        <f>Water_emissions!CY542</f>
        <v>[kg/bbl] kg of TRICHLOROETHYLENE emissions to water per bbl of crude throughput - High Complexity Hydro Cracking and Coking</v>
      </c>
      <c r="K771" s="419"/>
      <c r="L771" s="419"/>
      <c r="M771" s="419"/>
      <c r="N771" s="419"/>
      <c r="O771" s="419"/>
      <c r="P771" s="420"/>
      <c r="Q771" s="2"/>
      <c r="R771" s="2"/>
      <c r="S771" s="2"/>
      <c r="T771" s="2"/>
      <c r="U771" s="2"/>
      <c r="V771" s="2"/>
      <c r="W771" s="2"/>
      <c r="X771" s="2"/>
      <c r="Y771" s="2"/>
    </row>
    <row r="772" spans="1:25" ht="39" x14ac:dyDescent="0.25">
      <c r="A772" s="2"/>
      <c r="B772" s="17">
        <f t="shared" si="38"/>
        <v>11</v>
      </c>
      <c r="C772" s="340" t="str">
        <f>Water_emissions!CW543</f>
        <v>w_TRICHLORO</v>
      </c>
      <c r="D772" s="39" t="str">
        <f>"IF(NC=0;"&amp;C767&amp;";IF(NC=1;"&amp;C768&amp;";IF(NC=2;"&amp;C769&amp;";IF(NC=3;"&amp;C770&amp;";"&amp;C771&amp;"))))/"&amp;$C$27</f>
        <v>IF(NC=0;w_TRICHLORO_L;IF(NC=1;w_TRICHLORO_M;IF(NC=2;w_TRICHLORO_HiH;IF(NC=3;w_TRICHLORO_HiC;w_TRICHLORO_HiB))))/Density_oil</v>
      </c>
      <c r="E772" s="68">
        <f>IF($E$24=0,E767,IF($E$24=1,E768,IF($E$24=2,E769,IF($E$24=3,E770,E771))))/$E$27</f>
        <v>0</v>
      </c>
      <c r="F772" s="342"/>
      <c r="G772" s="343"/>
      <c r="H772" s="344" t="s">
        <v>489</v>
      </c>
      <c r="I772" s="342" t="s">
        <v>2233</v>
      </c>
      <c r="J772" s="418" t="str">
        <f>Water_emissions!CY543</f>
        <v>[kg/bbl] kg of TRICHLOROETHYLENE emissions to water per bbl of crude throughput</v>
      </c>
      <c r="K772" s="419"/>
      <c r="L772" s="419"/>
      <c r="M772" s="419"/>
      <c r="N772" s="419"/>
      <c r="O772" s="419"/>
      <c r="P772" s="420"/>
      <c r="Q772" s="2"/>
      <c r="R772" s="2"/>
      <c r="S772" s="2"/>
      <c r="T772" s="2"/>
      <c r="U772" s="2"/>
      <c r="V772" s="2"/>
      <c r="W772" s="2"/>
      <c r="X772" s="2"/>
      <c r="Y772" s="2"/>
    </row>
    <row r="773" spans="1:25" x14ac:dyDescent="0.25">
      <c r="A773" s="2"/>
      <c r="B773" s="17">
        <f t="shared" si="38"/>
        <v>13</v>
      </c>
      <c r="C773" s="340" t="str">
        <f>Water_emissions!CW544</f>
        <v>w_Vanadiumt_L</v>
      </c>
      <c r="D773" s="341"/>
      <c r="E773" s="368">
        <f>HLOOKUP($C778,Water_emissions!$E$16:$CQ$32,3,FALSE)</f>
        <v>3.7705338216917234E-5</v>
      </c>
      <c r="F773" s="368">
        <f>HLOOKUP($C778,Water_emissions!$E$16:$CQ$32,8,FALSE)</f>
        <v>3.7705338216917234E-5</v>
      </c>
      <c r="G773" s="368">
        <f>HLOOKUP($C778,Water_emissions!$E$16:$CQ$32,13,FALSE)</f>
        <v>3.7705338216917234E-5</v>
      </c>
      <c r="H773" s="344" t="s">
        <v>1085</v>
      </c>
      <c r="I773" s="342" t="s">
        <v>2233</v>
      </c>
      <c r="J773" s="418" t="str">
        <f>Water_emissions!CY544</f>
        <v>[kg/bbl] kg of Vanadium, total recoverable emissions to water per bbl of crude throughput - Low Complexity</v>
      </c>
      <c r="K773" s="419"/>
      <c r="L773" s="419"/>
      <c r="M773" s="419"/>
      <c r="N773" s="419"/>
      <c r="O773" s="419"/>
      <c r="P773" s="420"/>
      <c r="Q773" s="2"/>
      <c r="R773" s="2"/>
      <c r="S773" s="2"/>
      <c r="T773" s="2"/>
      <c r="U773" s="2"/>
      <c r="V773" s="2"/>
      <c r="W773" s="2"/>
      <c r="X773" s="2"/>
      <c r="Y773" s="2"/>
    </row>
    <row r="774" spans="1:25" x14ac:dyDescent="0.25">
      <c r="A774" s="2"/>
      <c r="B774" s="17">
        <f t="shared" si="38"/>
        <v>13</v>
      </c>
      <c r="C774" s="340" t="str">
        <f>Water_emissions!CW545</f>
        <v>w_Vanadiumt_M</v>
      </c>
      <c r="D774" s="341"/>
      <c r="E774" s="368">
        <f>HLOOKUP($C778,Water_emissions!$E$16:$CQ$32,4,FALSE)</f>
        <v>3.7705338216917234E-5</v>
      </c>
      <c r="F774" s="368">
        <f>HLOOKUP($C778,Water_emissions!$E$16:$CQ$32,9,FALSE)</f>
        <v>3.7705338216917234E-5</v>
      </c>
      <c r="G774" s="368">
        <f>HLOOKUP($C778,Water_emissions!$E$16:$CQ$32,14,FALSE)</f>
        <v>3.7705338216917234E-5</v>
      </c>
      <c r="H774" s="344" t="s">
        <v>1085</v>
      </c>
      <c r="I774" s="342" t="s">
        <v>2233</v>
      </c>
      <c r="J774" s="418" t="str">
        <f>Water_emissions!CY545</f>
        <v>[kg/bbl] kg of Vanadium, total recoverable emissions to water per bbl of crude throughput - Med Complexity</v>
      </c>
      <c r="K774" s="419"/>
      <c r="L774" s="419"/>
      <c r="M774" s="419"/>
      <c r="N774" s="419"/>
      <c r="O774" s="419"/>
      <c r="P774" s="420"/>
      <c r="Q774" s="2"/>
      <c r="R774" s="2"/>
      <c r="S774" s="2"/>
      <c r="T774" s="2"/>
      <c r="U774" s="2"/>
      <c r="V774" s="2"/>
      <c r="W774" s="2"/>
      <c r="X774" s="2"/>
      <c r="Y774" s="2"/>
    </row>
    <row r="775" spans="1:25" x14ac:dyDescent="0.25">
      <c r="A775" s="2"/>
      <c r="B775" s="17">
        <f t="shared" si="38"/>
        <v>15</v>
      </c>
      <c r="C775" s="340" t="str">
        <f>Water_emissions!CW546</f>
        <v>w_Vanadiumt_HiH</v>
      </c>
      <c r="D775" s="341"/>
      <c r="E775" s="368">
        <f>HLOOKUP($C778,Water_emissions!$E$16:$CQ$32,5,FALSE)</f>
        <v>3.7705338216917234E-5</v>
      </c>
      <c r="F775" s="368">
        <f>HLOOKUP($C778,Water_emissions!$E$16:$CQ$32,10,FALSE)</f>
        <v>3.7705338216917234E-5</v>
      </c>
      <c r="G775" s="368">
        <f>HLOOKUP($C778,Water_emissions!$E$16:$CQ$32,15,FALSE)</f>
        <v>3.7705338216917234E-5</v>
      </c>
      <c r="H775" s="344" t="s">
        <v>1085</v>
      </c>
      <c r="I775" s="342" t="s">
        <v>2233</v>
      </c>
      <c r="J775" s="418" t="str">
        <f>Water_emissions!CY546</f>
        <v>[kg/bbl] kg of Vanadium, total recoverable emissions to water per bbl of crude throughput - High Complexity Hydro Cracking</v>
      </c>
      <c r="K775" s="419"/>
      <c r="L775" s="419"/>
      <c r="M775" s="419"/>
      <c r="N775" s="419"/>
      <c r="O775" s="419"/>
      <c r="P775" s="420"/>
      <c r="Q775" s="2"/>
      <c r="R775" s="2"/>
      <c r="S775" s="2"/>
      <c r="T775" s="2"/>
      <c r="U775" s="2"/>
      <c r="V775" s="2"/>
      <c r="W775" s="2"/>
      <c r="X775" s="2"/>
      <c r="Y775" s="2"/>
    </row>
    <row r="776" spans="1:25" x14ac:dyDescent="0.25">
      <c r="A776" s="2"/>
      <c r="B776" s="17">
        <f t="shared" si="38"/>
        <v>15</v>
      </c>
      <c r="C776" s="340" t="str">
        <f>Water_emissions!CW547</f>
        <v>w_Vanadiumt_HiC</v>
      </c>
      <c r="D776" s="341"/>
      <c r="E776" s="368">
        <f>HLOOKUP($C778,Water_emissions!$E$16:$CQ$32,6,FALSE)</f>
        <v>3.7705338216917234E-5</v>
      </c>
      <c r="F776" s="368">
        <f>HLOOKUP($C778,Water_emissions!$E$16:$CQ$32,11,FALSE)</f>
        <v>3.7705338216917234E-5</v>
      </c>
      <c r="G776" s="368">
        <f>HLOOKUP($C778,Water_emissions!$E$16:$CQ$32,16,FALSE)</f>
        <v>3.7705338216917234E-5</v>
      </c>
      <c r="H776" s="344" t="s">
        <v>1085</v>
      </c>
      <c r="I776" s="342" t="s">
        <v>2233</v>
      </c>
      <c r="J776" s="418" t="str">
        <f>Water_emissions!CY547</f>
        <v>[kg/bbl] kg of Vanadium, total recoverable emissions to water per bbl of crude throughput - High Complexity Coking</v>
      </c>
      <c r="K776" s="419"/>
      <c r="L776" s="419"/>
      <c r="M776" s="419"/>
      <c r="N776" s="419"/>
      <c r="O776" s="419"/>
      <c r="P776" s="420"/>
      <c r="Q776" s="2"/>
      <c r="R776" s="2"/>
      <c r="S776" s="2"/>
      <c r="T776" s="2"/>
      <c r="U776" s="2"/>
      <c r="V776" s="2"/>
      <c r="W776" s="2"/>
      <c r="X776" s="2"/>
      <c r="Y776" s="2"/>
    </row>
    <row r="777" spans="1:25" x14ac:dyDescent="0.25">
      <c r="A777" s="2"/>
      <c r="B777" s="17">
        <f t="shared" si="38"/>
        <v>15</v>
      </c>
      <c r="C777" s="340" t="str">
        <f>Water_emissions!CW548</f>
        <v>w_Vanadiumt_HiB</v>
      </c>
      <c r="D777" s="341"/>
      <c r="E777" s="368">
        <f>HLOOKUP($C778,Water_emissions!$E$16:$CQ$32,7,FALSE)</f>
        <v>3.7705338216917234E-5</v>
      </c>
      <c r="F777" s="368">
        <f>HLOOKUP($C778,Water_emissions!$E$16:$CQ$32,12,FALSE)</f>
        <v>3.7705338216917234E-5</v>
      </c>
      <c r="G777" s="368">
        <f>HLOOKUP($C778,Water_emissions!$E$16:$CQ$32,17,FALSE)</f>
        <v>3.7705338216917234E-5</v>
      </c>
      <c r="H777" s="344" t="s">
        <v>1085</v>
      </c>
      <c r="I777" s="342" t="s">
        <v>2233</v>
      </c>
      <c r="J777" s="418" t="str">
        <f>Water_emissions!CY548</f>
        <v>[kg/bbl] kg of Vanadium, total recoverable emissions to water per bbl of crude throughput - High Complexity Hydro Cracking and Coking</v>
      </c>
      <c r="K777" s="419"/>
      <c r="L777" s="419"/>
      <c r="M777" s="419"/>
      <c r="N777" s="419"/>
      <c r="O777" s="419"/>
      <c r="P777" s="420"/>
      <c r="Q777" s="2"/>
      <c r="R777" s="2"/>
      <c r="S777" s="2"/>
      <c r="T777" s="2"/>
      <c r="U777" s="2"/>
      <c r="V777" s="2"/>
      <c r="W777" s="2"/>
      <c r="X777" s="2"/>
      <c r="Y777" s="2"/>
    </row>
    <row r="778" spans="1:25" ht="39" x14ac:dyDescent="0.25">
      <c r="A778" s="2"/>
      <c r="B778" s="17">
        <f t="shared" si="38"/>
        <v>11</v>
      </c>
      <c r="C778" s="340" t="str">
        <f>Water_emissions!CW549</f>
        <v>w_Vanadiumt</v>
      </c>
      <c r="D778" s="39" t="str">
        <f>"IF(NC=0;"&amp;C773&amp;";IF(NC=1;"&amp;C774&amp;";IF(NC=2;"&amp;C775&amp;";IF(NC=3;"&amp;C776&amp;";"&amp;C777&amp;"))))/"&amp;$C$27</f>
        <v>IF(NC=0;w_Vanadiumt_L;IF(NC=1;w_Vanadiumt_M;IF(NC=2;w_Vanadiumt_HiH;IF(NC=3;w_Vanadiumt_HiC;w_Vanadiumt_HiB))))/Density_oil</v>
      </c>
      <c r="E778" s="68">
        <f>IF($E$24=0,E773,IF($E$24=1,E774,IF($E$24=2,E775,IF($E$24=3,E776,E777))))/$E$27</f>
        <v>2.718701989743846E-7</v>
      </c>
      <c r="F778" s="342"/>
      <c r="G778" s="343"/>
      <c r="H778" s="344" t="s">
        <v>489</v>
      </c>
      <c r="I778" s="342" t="s">
        <v>2233</v>
      </c>
      <c r="J778" s="418" t="str">
        <f>Water_emissions!CY549</f>
        <v>[kg/bbl] kg of Vanadium, total recoverable emissions to water per bbl of crude throughput</v>
      </c>
      <c r="K778" s="419"/>
      <c r="L778" s="419"/>
      <c r="M778" s="419"/>
      <c r="N778" s="419"/>
      <c r="O778" s="419"/>
      <c r="P778" s="420"/>
      <c r="Q778" s="2"/>
      <c r="R778" s="2"/>
      <c r="S778" s="2"/>
      <c r="T778" s="2"/>
      <c r="U778" s="2"/>
      <c r="V778" s="2"/>
      <c r="W778" s="2"/>
      <c r="X778" s="2"/>
      <c r="Y778" s="2"/>
    </row>
    <row r="779" spans="1:25" x14ac:dyDescent="0.25">
      <c r="A779" s="2"/>
      <c r="B779" s="17">
        <f t="shared" si="38"/>
        <v>11</v>
      </c>
      <c r="C779" s="340" t="str">
        <f>Water_emissions!CW550</f>
        <v>w_XYLENES_L</v>
      </c>
      <c r="D779" s="341"/>
      <c r="E779" s="368">
        <f>HLOOKUP($C784,Water_emissions!$E$16:$CQ$32,3,FALSE)</f>
        <v>1.2993402983077332E-2</v>
      </c>
      <c r="F779" s="368">
        <f>HLOOKUP($C784,Water_emissions!$E$16:$CQ$32,8,FALSE)</f>
        <v>0</v>
      </c>
      <c r="G779" s="368">
        <f>HLOOKUP($C784,Water_emissions!$E$16:$CQ$32,13,FALSE)</f>
        <v>7.7451961965615851E-2</v>
      </c>
      <c r="H779" s="344" t="s">
        <v>1085</v>
      </c>
      <c r="I779" s="342" t="s">
        <v>2233</v>
      </c>
      <c r="J779" s="418" t="str">
        <f>Water_emissions!CY550</f>
        <v>[kg/bbl] kg of XYLENES emissions to water per bbl of crude throughput - Low Complexity</v>
      </c>
      <c r="K779" s="419"/>
      <c r="L779" s="419"/>
      <c r="M779" s="419"/>
      <c r="N779" s="419"/>
      <c r="O779" s="419"/>
      <c r="P779" s="420"/>
      <c r="Q779" s="2"/>
      <c r="R779" s="2"/>
      <c r="S779" s="2"/>
      <c r="T779" s="2"/>
      <c r="U779" s="2"/>
      <c r="V779" s="2"/>
      <c r="W779" s="2"/>
      <c r="X779" s="2"/>
      <c r="Y779" s="2"/>
    </row>
    <row r="780" spans="1:25" x14ac:dyDescent="0.25">
      <c r="A780" s="2"/>
      <c r="B780" s="17">
        <f t="shared" si="38"/>
        <v>11</v>
      </c>
      <c r="C780" s="340" t="str">
        <f>Water_emissions!CW551</f>
        <v>w_XYLENES_M</v>
      </c>
      <c r="D780" s="341"/>
      <c r="E780" s="368">
        <f>HLOOKUP($C784,Water_emissions!$E$16:$CQ$32,4,FALSE)</f>
        <v>0.23905281713018481</v>
      </c>
      <c r="F780" s="368">
        <f>HLOOKUP($C784,Water_emissions!$E$16:$CQ$32,9,FALSE)</f>
        <v>0</v>
      </c>
      <c r="G780" s="368">
        <f>HLOOKUP($C784,Water_emissions!$E$16:$CQ$32,14,FALSE)</f>
        <v>3.3417925427299844</v>
      </c>
      <c r="H780" s="344" t="s">
        <v>1085</v>
      </c>
      <c r="I780" s="342" t="s">
        <v>2233</v>
      </c>
      <c r="J780" s="418" t="str">
        <f>Water_emissions!CY551</f>
        <v>[kg/bbl] kg of XYLENES emissions to water per bbl of crude throughput - Med Complexity</v>
      </c>
      <c r="K780" s="419"/>
      <c r="L780" s="419"/>
      <c r="M780" s="419"/>
      <c r="N780" s="419"/>
      <c r="O780" s="419"/>
      <c r="P780" s="420"/>
      <c r="Q780" s="2"/>
      <c r="R780" s="2"/>
      <c r="S780" s="2"/>
      <c r="T780" s="2"/>
      <c r="U780" s="2"/>
      <c r="V780" s="2"/>
      <c r="W780" s="2"/>
      <c r="X780" s="2"/>
      <c r="Y780" s="2"/>
    </row>
    <row r="781" spans="1:25" x14ac:dyDescent="0.25">
      <c r="A781" s="2"/>
      <c r="B781" s="17">
        <f t="shared" si="38"/>
        <v>13</v>
      </c>
      <c r="C781" s="340" t="str">
        <f>Water_emissions!CW552</f>
        <v>w_XYLENES_HiH</v>
      </c>
      <c r="D781" s="341"/>
      <c r="E781" s="368">
        <f>HLOOKUP($C784,Water_emissions!$E$16:$CQ$32,5,FALSE)</f>
        <v>4.142135862414649E-2</v>
      </c>
      <c r="F781" s="368">
        <f>HLOOKUP($C784,Water_emissions!$E$16:$CQ$32,10,FALSE)</f>
        <v>6.7978184651343995E-3</v>
      </c>
      <c r="G781" s="368">
        <f>HLOOKUP($C784,Water_emissions!$E$16:$CQ$32,15,FALSE)</f>
        <v>0.12873363045994582</v>
      </c>
      <c r="H781" s="344" t="s">
        <v>1085</v>
      </c>
      <c r="I781" s="342" t="s">
        <v>2233</v>
      </c>
      <c r="J781" s="418" t="str">
        <f>Water_emissions!CY552</f>
        <v>[kg/bbl] kg of XYLENES emissions to water per bbl of crude throughput - High Complexity Hydro Cracking</v>
      </c>
      <c r="K781" s="419"/>
      <c r="L781" s="419"/>
      <c r="M781" s="419"/>
      <c r="N781" s="419"/>
      <c r="O781" s="419"/>
      <c r="P781" s="420"/>
      <c r="Q781" s="2"/>
      <c r="R781" s="2"/>
      <c r="S781" s="2"/>
      <c r="T781" s="2"/>
      <c r="U781" s="2"/>
      <c r="V781" s="2"/>
      <c r="W781" s="2"/>
      <c r="X781" s="2"/>
      <c r="Y781" s="2"/>
    </row>
    <row r="782" spans="1:25" x14ac:dyDescent="0.25">
      <c r="A782" s="2"/>
      <c r="B782" s="17">
        <f t="shared" si="38"/>
        <v>13</v>
      </c>
      <c r="C782" s="340" t="str">
        <f>Water_emissions!CW553</f>
        <v>w_XYLENES_HiC</v>
      </c>
      <c r="D782" s="341"/>
      <c r="E782" s="368">
        <f>HLOOKUP($C784,Water_emissions!$E$16:$CQ$32,6,FALSE)</f>
        <v>0.39024239992323084</v>
      </c>
      <c r="F782" s="368">
        <f>HLOOKUP($C784,Water_emissions!$E$16:$CQ$32,11,FALSE)</f>
        <v>0</v>
      </c>
      <c r="G782" s="368">
        <f>HLOOKUP($C784,Water_emissions!$E$16:$CQ$32,16,FALSE)</f>
        <v>5.1508462104488597</v>
      </c>
      <c r="H782" s="344" t="s">
        <v>1085</v>
      </c>
      <c r="I782" s="342" t="s">
        <v>2233</v>
      </c>
      <c r="J782" s="418" t="str">
        <f>Water_emissions!CY553</f>
        <v>[kg/bbl] kg of XYLENES emissions to water per bbl of crude throughput - High Complexity Coking</v>
      </c>
      <c r="K782" s="419"/>
      <c r="L782" s="419"/>
      <c r="M782" s="419"/>
      <c r="N782" s="419"/>
      <c r="O782" s="419"/>
      <c r="P782" s="420"/>
      <c r="Q782" s="2"/>
      <c r="R782" s="2"/>
      <c r="S782" s="2"/>
      <c r="T782" s="2"/>
      <c r="U782" s="2"/>
      <c r="V782" s="2"/>
      <c r="W782" s="2"/>
      <c r="X782" s="2"/>
      <c r="Y782" s="2"/>
    </row>
    <row r="783" spans="1:25" x14ac:dyDescent="0.25">
      <c r="A783" s="2"/>
      <c r="B783" s="17">
        <f t="shared" si="38"/>
        <v>13</v>
      </c>
      <c r="C783" s="340" t="str">
        <f>Water_emissions!CW554</f>
        <v>w_XYLENES_HiB</v>
      </c>
      <c r="D783" s="341"/>
      <c r="E783" s="368">
        <f>HLOOKUP($C784,Water_emissions!$E$16:$CQ$32,7,FALSE)</f>
        <v>1.3524636329093851E-2</v>
      </c>
      <c r="F783" s="368">
        <f>HLOOKUP($C784,Water_emissions!$E$16:$CQ$32,12,FALSE)</f>
        <v>0</v>
      </c>
      <c r="G783" s="368">
        <f>HLOOKUP($C784,Water_emissions!$E$16:$CQ$32,17,FALSE)</f>
        <v>6.3627955218303292E-2</v>
      </c>
      <c r="H783" s="344" t="s">
        <v>1085</v>
      </c>
      <c r="I783" s="342" t="s">
        <v>2233</v>
      </c>
      <c r="J783" s="418" t="str">
        <f>Water_emissions!CY554</f>
        <v>[kg/bbl] kg of XYLENES emissions to water per bbl of crude throughput - High Complexity Hydro Cracking and Coking</v>
      </c>
      <c r="K783" s="419"/>
      <c r="L783" s="419"/>
      <c r="M783" s="419"/>
      <c r="N783" s="419"/>
      <c r="O783" s="419"/>
      <c r="P783" s="420"/>
      <c r="Q783" s="2"/>
      <c r="R783" s="2"/>
      <c r="S783" s="2"/>
      <c r="T783" s="2"/>
      <c r="U783" s="2"/>
      <c r="V783" s="2"/>
      <c r="W783" s="2"/>
      <c r="X783" s="2"/>
      <c r="Y783" s="2"/>
    </row>
    <row r="784" spans="1:25" ht="26.25" x14ac:dyDescent="0.25">
      <c r="A784" s="2"/>
      <c r="B784" s="17">
        <f t="shared" si="38"/>
        <v>9</v>
      </c>
      <c r="C784" s="340" t="str">
        <f>Water_emissions!CW555</f>
        <v>w_XYLENES</v>
      </c>
      <c r="D784" s="39" t="str">
        <f>"IF(NC=0;"&amp;C779&amp;";IF(NC=1;"&amp;C780&amp;";IF(NC=2;"&amp;C781&amp;";IF(NC=3;"&amp;C782&amp;";"&amp;C783&amp;"))))/"&amp;$C$27</f>
        <v>IF(NC=0;w_XYLENES_L;IF(NC=1;w_XYLENES_M;IF(NC=2;w_XYLENES_HiH;IF(NC=3;w_XYLENES_HiC;w_XYLENES_HiB))))/Density_oil</v>
      </c>
      <c r="E784" s="68">
        <f>IF($E$24=0,E779,IF($E$24=1,E780,IF($E$24=2,E781,IF($E$24=3,E782,E783))))/$E$27</f>
        <v>9.7517904459406291E-5</v>
      </c>
      <c r="F784" s="342"/>
      <c r="G784" s="343"/>
      <c r="H784" s="344" t="s">
        <v>489</v>
      </c>
      <c r="I784" s="342" t="s">
        <v>2233</v>
      </c>
      <c r="J784" s="418" t="str">
        <f>Water_emissions!CY555</f>
        <v>[kg/bbl] kg of XYLENES emissions to water per bbl of crude throughput</v>
      </c>
      <c r="K784" s="419"/>
      <c r="L784" s="419"/>
      <c r="M784" s="419"/>
      <c r="N784" s="419"/>
      <c r="O784" s="419"/>
      <c r="P784" s="420"/>
      <c r="Q784" s="2"/>
      <c r="R784" s="2"/>
      <c r="S784" s="2"/>
      <c r="T784" s="2"/>
      <c r="U784" s="2"/>
      <c r="V784" s="2"/>
      <c r="W784" s="2"/>
      <c r="X784" s="2"/>
      <c r="Y784" s="2"/>
    </row>
    <row r="785" spans="1:25" x14ac:dyDescent="0.25">
      <c r="A785" s="2"/>
      <c r="B785" s="17">
        <f t="shared" si="38"/>
        <v>13</v>
      </c>
      <c r="C785" s="340" t="str">
        <f>Water_emissions!CW556</f>
        <v>w_Zinctotal_L</v>
      </c>
      <c r="D785" s="341"/>
      <c r="E785" s="368">
        <f>HLOOKUP($C790,Water_emissions!$E$16:$CQ$32,3,FALSE)</f>
        <v>3.238210077639621E-5</v>
      </c>
      <c r="F785" s="368">
        <f>HLOOKUP($C790,Water_emissions!$E$16:$CQ$32,8,FALSE)</f>
        <v>3.238210077639621E-5</v>
      </c>
      <c r="G785" s="368">
        <f>HLOOKUP($C790,Water_emissions!$E$16:$CQ$32,13,FALSE)</f>
        <v>3.238210077639621E-5</v>
      </c>
      <c r="H785" s="344" t="s">
        <v>1085</v>
      </c>
      <c r="I785" s="342" t="s">
        <v>2233</v>
      </c>
      <c r="J785" s="418" t="str">
        <f>Water_emissions!CY556</f>
        <v>[kg/bbl] kg of Zinc, total (as Zn) emissions to water per bbl of crude throughput - Low Complexity</v>
      </c>
      <c r="K785" s="419"/>
      <c r="L785" s="419"/>
      <c r="M785" s="419"/>
      <c r="N785" s="419"/>
      <c r="O785" s="419"/>
      <c r="P785" s="420"/>
      <c r="Q785" s="2"/>
      <c r="R785" s="2"/>
      <c r="S785" s="2"/>
      <c r="T785" s="2"/>
      <c r="U785" s="2"/>
      <c r="V785" s="2"/>
      <c r="W785" s="2"/>
      <c r="X785" s="2"/>
      <c r="Y785" s="2"/>
    </row>
    <row r="786" spans="1:25" x14ac:dyDescent="0.25">
      <c r="A786" s="2"/>
      <c r="B786" s="17">
        <f t="shared" si="38"/>
        <v>13</v>
      </c>
      <c r="C786" s="340" t="str">
        <f>Water_emissions!CW557</f>
        <v>w_Zinctotal_M</v>
      </c>
      <c r="D786" s="341"/>
      <c r="E786" s="368">
        <f>HLOOKUP($C790,Water_emissions!$E$16:$CQ$32,4,FALSE)</f>
        <v>1.5955973340279753E-6</v>
      </c>
      <c r="F786" s="368">
        <f>HLOOKUP($C790,Water_emissions!$E$16:$CQ$32,9,FALSE)</f>
        <v>5.0796919230212463E-8</v>
      </c>
      <c r="G786" s="368">
        <f>HLOOKUP($C790,Water_emissions!$E$16:$CQ$32,14,FALSE)</f>
        <v>3.2727303383146539E-6</v>
      </c>
      <c r="H786" s="344" t="s">
        <v>1085</v>
      </c>
      <c r="I786" s="342" t="s">
        <v>2233</v>
      </c>
      <c r="J786" s="418" t="str">
        <f>Water_emissions!CY557</f>
        <v>[kg/bbl] kg of Zinc, total (as Zn) emissions to water per bbl of crude throughput - Med Complexity</v>
      </c>
      <c r="K786" s="419"/>
      <c r="L786" s="419"/>
      <c r="M786" s="419"/>
      <c r="N786" s="419"/>
      <c r="O786" s="419"/>
      <c r="P786" s="420"/>
      <c r="Q786" s="2"/>
      <c r="R786" s="2"/>
      <c r="S786" s="2"/>
      <c r="T786" s="2"/>
      <c r="U786" s="2"/>
      <c r="V786" s="2"/>
      <c r="W786" s="2"/>
      <c r="X786" s="2"/>
      <c r="Y786" s="2"/>
    </row>
    <row r="787" spans="1:25" x14ac:dyDescent="0.25">
      <c r="A787" s="2"/>
      <c r="B787" s="17">
        <f t="shared" si="38"/>
        <v>15</v>
      </c>
      <c r="C787" s="340" t="str">
        <f>Water_emissions!CW558</f>
        <v>w_Zinctotal_HiH</v>
      </c>
      <c r="D787" s="341"/>
      <c r="E787" s="368">
        <f>HLOOKUP($C790,Water_emissions!$E$16:$CQ$32,5,FALSE)</f>
        <v>5.6065862596137576E-6</v>
      </c>
      <c r="F787" s="368">
        <f>HLOOKUP($C790,Water_emissions!$E$16:$CQ$32,10,FALSE)</f>
        <v>5.8010185212884113E-7</v>
      </c>
      <c r="G787" s="368">
        <f>HLOOKUP($C790,Water_emissions!$E$16:$CQ$32,15,FALSE)</f>
        <v>1.0633070667098675E-5</v>
      </c>
      <c r="H787" s="344" t="s">
        <v>1085</v>
      </c>
      <c r="I787" s="342" t="s">
        <v>2233</v>
      </c>
      <c r="J787" s="418" t="str">
        <f>Water_emissions!CY558</f>
        <v>[kg/bbl] kg of Zinc, total (as Zn) emissions to water per bbl of crude throughput - High Complexity Hydro Cracking</v>
      </c>
      <c r="K787" s="419"/>
      <c r="L787" s="419"/>
      <c r="M787" s="419"/>
      <c r="N787" s="419"/>
      <c r="O787" s="419"/>
      <c r="P787" s="420"/>
      <c r="Q787" s="2"/>
      <c r="R787" s="2"/>
      <c r="S787" s="2"/>
      <c r="T787" s="2"/>
      <c r="U787" s="2"/>
      <c r="V787" s="2"/>
      <c r="W787" s="2"/>
      <c r="X787" s="2"/>
      <c r="Y787" s="2"/>
    </row>
    <row r="788" spans="1:25" x14ac:dyDescent="0.25">
      <c r="A788" s="2"/>
      <c r="B788" s="17">
        <f t="shared" si="38"/>
        <v>15</v>
      </c>
      <c r="C788" s="340" t="str">
        <f>Water_emissions!CW559</f>
        <v>w_Zinctotal_HiC</v>
      </c>
      <c r="D788" s="341"/>
      <c r="E788" s="368">
        <f>HLOOKUP($C790,Water_emissions!$E$16:$CQ$32,6,FALSE)</f>
        <v>1.1570676081964576E-4</v>
      </c>
      <c r="F788" s="368">
        <f>HLOOKUP($C790,Water_emissions!$E$16:$CQ$32,11,FALSE)</f>
        <v>3.8449327517329716E-6</v>
      </c>
      <c r="G788" s="368">
        <f>HLOOKUP($C790,Water_emissions!$E$16:$CQ$32,16,FALSE)</f>
        <v>3.2278735158647591E-4</v>
      </c>
      <c r="H788" s="344" t="s">
        <v>1085</v>
      </c>
      <c r="I788" s="342" t="s">
        <v>2233</v>
      </c>
      <c r="J788" s="418" t="str">
        <f>Water_emissions!CY559</f>
        <v>[kg/bbl] kg of Zinc, total (as Zn) emissions to water per bbl of crude throughput - High Complexity Coking</v>
      </c>
      <c r="K788" s="419"/>
      <c r="L788" s="419"/>
      <c r="M788" s="419"/>
      <c r="N788" s="419"/>
      <c r="O788" s="419"/>
      <c r="P788" s="420"/>
      <c r="Q788" s="2"/>
      <c r="R788" s="2"/>
      <c r="S788" s="2"/>
      <c r="T788" s="2"/>
      <c r="U788" s="2"/>
      <c r="V788" s="2"/>
      <c r="W788" s="2"/>
      <c r="X788" s="2"/>
      <c r="Y788" s="2"/>
    </row>
    <row r="789" spans="1:25" x14ac:dyDescent="0.25">
      <c r="A789" s="2"/>
      <c r="B789" s="17">
        <f t="shared" si="38"/>
        <v>15</v>
      </c>
      <c r="C789" s="340" t="str">
        <f>Water_emissions!CW560</f>
        <v>w_Zinctotal_HiB</v>
      </c>
      <c r="D789" s="341"/>
      <c r="E789" s="368">
        <f>HLOOKUP($C790,Water_emissions!$E$16:$CQ$32,7,FALSE)</f>
        <v>3.4868011147968527E-5</v>
      </c>
      <c r="F789" s="368">
        <f>HLOOKUP($C790,Water_emissions!$E$16:$CQ$32,12,FALSE)</f>
        <v>1.3290838564867879E-6</v>
      </c>
      <c r="G789" s="368">
        <f>HLOOKUP($C790,Water_emissions!$E$16:$CQ$32,17,FALSE)</f>
        <v>9.7993210917175132E-5</v>
      </c>
      <c r="H789" s="344" t="s">
        <v>1085</v>
      </c>
      <c r="I789" s="342" t="s">
        <v>2233</v>
      </c>
      <c r="J789" s="418" t="str">
        <f>Water_emissions!CY560</f>
        <v>[kg/bbl] kg of Zinc, total (as Zn) emissions to water per bbl of crude throughput - High Complexity Hydro Cracking and Coking</v>
      </c>
      <c r="K789" s="419"/>
      <c r="L789" s="419"/>
      <c r="M789" s="419"/>
      <c r="N789" s="419"/>
      <c r="O789" s="419"/>
      <c r="P789" s="420"/>
      <c r="Q789" s="2"/>
      <c r="R789" s="2"/>
      <c r="S789" s="2"/>
      <c r="T789" s="2"/>
      <c r="U789" s="2"/>
      <c r="V789" s="2"/>
      <c r="W789" s="2"/>
      <c r="X789" s="2"/>
      <c r="Y789" s="2"/>
    </row>
    <row r="790" spans="1:25" ht="26.25" x14ac:dyDescent="0.25">
      <c r="A790" s="2"/>
      <c r="B790" s="17">
        <f t="shared" si="38"/>
        <v>11</v>
      </c>
      <c r="C790" s="340" t="str">
        <f>Water_emissions!CW561</f>
        <v>w_Zinctotal</v>
      </c>
      <c r="D790" s="39" t="str">
        <f>"IF(NC=0;"&amp;C785&amp;";IF(NC=1;"&amp;C786&amp;";IF(NC=2;"&amp;C787&amp;";IF(NC=3;"&amp;C788&amp;";"&amp;C789&amp;"))))/"&amp;$C$27</f>
        <v>IF(NC=0;w_Zinctotal_L;IF(NC=1;w_Zinctotal_M;IF(NC=2;w_Zinctotal_HiH;IF(NC=3;w_Zinctotal_HiC;w_Zinctotal_HiB))))/Density_oil</v>
      </c>
      <c r="E790" s="68">
        <f>IF($E$24=0,E785,IF($E$24=1,E786,IF($E$24=2,E787,IF($E$24=3,E788,E789))))/$E$27</f>
        <v>2.5141196384723234E-7</v>
      </c>
      <c r="F790" s="342"/>
      <c r="G790" s="343"/>
      <c r="H790" s="344" t="s">
        <v>489</v>
      </c>
      <c r="I790" s="342" t="s">
        <v>2233</v>
      </c>
      <c r="J790" s="418" t="str">
        <f>Water_emissions!CY561</f>
        <v>[kg/bbl] kg of Zinc, total (as Zn) emissions to water per bbl of crude throughput</v>
      </c>
      <c r="K790" s="419"/>
      <c r="L790" s="419"/>
      <c r="M790" s="419"/>
      <c r="N790" s="419"/>
      <c r="O790" s="419"/>
      <c r="P790" s="420"/>
      <c r="Q790" s="2"/>
      <c r="R790" s="2"/>
      <c r="S790" s="2"/>
      <c r="T790" s="2"/>
      <c r="U790" s="2"/>
      <c r="V790" s="2"/>
      <c r="W790" s="2"/>
      <c r="X790" s="2"/>
      <c r="Y790" s="2"/>
    </row>
    <row r="791" spans="1:25" x14ac:dyDescent="0.25">
      <c r="A791" s="2"/>
      <c r="B791" s="17"/>
      <c r="C791" s="340" t="s">
        <v>2312</v>
      </c>
      <c r="D791" s="341"/>
      <c r="E791" s="368">
        <f>'Water throughput'!H75</f>
        <v>357.95970769164336</v>
      </c>
      <c r="F791" s="342"/>
      <c r="G791" s="343"/>
      <c r="H791" s="344" t="s">
        <v>1085</v>
      </c>
      <c r="I791" s="342" t="s">
        <v>2233</v>
      </c>
      <c r="J791" s="415" t="s">
        <v>2313</v>
      </c>
      <c r="K791" s="416"/>
      <c r="L791" s="416"/>
      <c r="M791" s="416"/>
      <c r="N791" s="416"/>
      <c r="O791" s="416"/>
      <c r="P791" s="417"/>
      <c r="Q791" s="2"/>
      <c r="R791" s="2"/>
      <c r="S791" s="2"/>
      <c r="T791" s="2"/>
      <c r="U791" s="2"/>
      <c r="V791" s="2"/>
      <c r="W791" s="2"/>
      <c r="X791" s="2"/>
      <c r="Y791" s="2"/>
    </row>
    <row r="792" spans="1:25" x14ac:dyDescent="0.25">
      <c r="A792" s="2"/>
      <c r="B792" s="17"/>
      <c r="C792" s="340" t="s">
        <v>2314</v>
      </c>
      <c r="D792" s="341" t="s">
        <v>2315</v>
      </c>
      <c r="E792" s="368">
        <f>E791/$E$27</f>
        <v>2.5810291475193758</v>
      </c>
      <c r="F792" s="342"/>
      <c r="G792" s="343"/>
      <c r="H792" s="344" t="s">
        <v>489</v>
      </c>
      <c r="I792" s="342" t="s">
        <v>2233</v>
      </c>
      <c r="J792" s="415" t="s">
        <v>2316</v>
      </c>
      <c r="K792" s="416"/>
      <c r="L792" s="416"/>
      <c r="M792" s="416"/>
      <c r="N792" s="416"/>
      <c r="O792" s="416"/>
      <c r="P792" s="417"/>
      <c r="Q792" s="2"/>
      <c r="R792" s="2"/>
      <c r="S792" s="2"/>
      <c r="T792" s="2"/>
      <c r="U792" s="2"/>
      <c r="V792" s="2"/>
      <c r="W792" s="2"/>
      <c r="X792" s="2"/>
      <c r="Y792" s="2"/>
    </row>
    <row r="793" spans="1:25" x14ac:dyDescent="0.25">
      <c r="A793" s="2"/>
      <c r="B793" s="9"/>
      <c r="C793" s="43" t="s">
        <v>65</v>
      </c>
      <c r="D793" s="44" t="s">
        <v>66</v>
      </c>
      <c r="E793" s="45"/>
      <c r="F793" s="45"/>
      <c r="G793" s="45"/>
      <c r="H793" s="46"/>
      <c r="I793" s="47"/>
      <c r="J793" s="48"/>
      <c r="K793" s="48"/>
      <c r="L793" s="48"/>
      <c r="M793" s="48"/>
      <c r="N793" s="48"/>
      <c r="O793" s="48"/>
      <c r="P793" s="49"/>
      <c r="Q793" s="2"/>
      <c r="R793" s="2"/>
      <c r="S793" s="2"/>
      <c r="T793" s="2"/>
      <c r="U793" s="2"/>
      <c r="V793" s="2"/>
      <c r="W793" s="2"/>
      <c r="X793" s="2"/>
      <c r="Y793" s="2"/>
    </row>
    <row r="794" spans="1:25" ht="15.75" thickBot="1" x14ac:dyDescent="0.3">
      <c r="A794" s="2"/>
      <c r="B794" s="9"/>
      <c r="C794" s="2"/>
      <c r="D794" s="2"/>
      <c r="E794" s="2"/>
      <c r="F794" s="2"/>
      <c r="G794" s="2"/>
      <c r="H794" s="2"/>
      <c r="I794" s="2"/>
      <c r="J794" s="2"/>
      <c r="K794" s="2"/>
      <c r="L794" s="2"/>
      <c r="M794" s="2"/>
      <c r="N794" s="2"/>
      <c r="O794" s="2"/>
      <c r="P794" s="2"/>
      <c r="Q794" s="2"/>
      <c r="R794" s="2"/>
      <c r="S794" s="2"/>
      <c r="T794" s="2"/>
      <c r="U794" s="2"/>
      <c r="V794" s="2"/>
      <c r="W794" s="2"/>
      <c r="X794" s="2"/>
      <c r="Y794" s="2"/>
    </row>
    <row r="795" spans="1:25" ht="15.75" customHeight="1" thickBot="1" x14ac:dyDescent="0.3">
      <c r="A795" s="26"/>
      <c r="B795" s="422" t="s">
        <v>67</v>
      </c>
      <c r="C795" s="423"/>
      <c r="D795" s="423"/>
      <c r="E795" s="423"/>
      <c r="F795" s="423"/>
      <c r="G795" s="423"/>
      <c r="H795" s="423"/>
      <c r="I795" s="423"/>
      <c r="J795" s="423"/>
      <c r="K795" s="423"/>
      <c r="L795" s="423"/>
      <c r="M795" s="423"/>
      <c r="N795" s="423"/>
      <c r="O795" s="423"/>
      <c r="P795" s="424"/>
      <c r="Q795" s="26"/>
      <c r="R795" s="26"/>
      <c r="S795" s="26"/>
      <c r="T795" s="26"/>
      <c r="U795" s="26"/>
      <c r="V795" s="26"/>
      <c r="W795" s="26"/>
      <c r="X795" s="26"/>
      <c r="Y795" s="26"/>
    </row>
    <row r="796" spans="1:25" x14ac:dyDescent="0.25">
      <c r="A796" s="2"/>
      <c r="B796" s="9"/>
      <c r="C796" s="2"/>
      <c r="D796" s="2"/>
      <c r="E796" s="2"/>
      <c r="F796" s="2"/>
      <c r="G796" s="2"/>
      <c r="H796" s="36" t="s">
        <v>68</v>
      </c>
      <c r="I796" s="2"/>
      <c r="J796" s="2"/>
      <c r="K796" s="2"/>
      <c r="L796" s="2"/>
      <c r="M796" s="2"/>
      <c r="N796" s="2"/>
      <c r="O796" s="2"/>
      <c r="P796" s="2"/>
      <c r="Q796" s="2"/>
      <c r="R796" s="2"/>
      <c r="S796" s="2"/>
      <c r="T796" s="2"/>
      <c r="U796" s="2"/>
      <c r="V796" s="2"/>
      <c r="W796" s="2"/>
      <c r="X796" s="2"/>
      <c r="Y796" s="2"/>
    </row>
    <row r="797" spans="1:25" x14ac:dyDescent="0.25">
      <c r="A797" s="2"/>
      <c r="B797" s="9"/>
      <c r="C797" s="37" t="s">
        <v>69</v>
      </c>
      <c r="D797" s="37" t="s">
        <v>70</v>
      </c>
      <c r="E797" s="37" t="s">
        <v>59</v>
      </c>
      <c r="F797" s="37" t="s">
        <v>71</v>
      </c>
      <c r="G797" s="37" t="s">
        <v>69</v>
      </c>
      <c r="H797" s="37" t="s">
        <v>62</v>
      </c>
      <c r="I797" s="37" t="s">
        <v>72</v>
      </c>
      <c r="J797" s="37" t="s">
        <v>73</v>
      </c>
      <c r="K797" s="37" t="s">
        <v>74</v>
      </c>
      <c r="L797" s="37" t="s">
        <v>75</v>
      </c>
      <c r="M797" s="37" t="s">
        <v>63</v>
      </c>
      <c r="N797" s="428" t="s">
        <v>64</v>
      </c>
      <c r="O797" s="428"/>
      <c r="P797" s="428"/>
      <c r="Q797" s="2"/>
      <c r="R797" s="2"/>
      <c r="S797" s="2"/>
      <c r="T797" s="2"/>
      <c r="U797" s="2"/>
      <c r="V797" s="2"/>
      <c r="W797" s="2"/>
      <c r="X797" s="26"/>
      <c r="Y797" s="26"/>
    </row>
    <row r="798" spans="1:25" x14ac:dyDescent="0.25">
      <c r="A798" s="2"/>
      <c r="B798" s="17">
        <f t="shared" ref="B798" si="39">LEN(C798)</f>
        <v>0</v>
      </c>
      <c r="C798" s="50"/>
      <c r="D798" s="330"/>
      <c r="E798" s="50"/>
      <c r="F798" s="50"/>
      <c r="G798" s="209"/>
      <c r="H798" s="52"/>
      <c r="I798" s="198"/>
      <c r="J798" s="50"/>
      <c r="K798" s="53"/>
      <c r="L798" s="50"/>
      <c r="M798" s="54"/>
      <c r="N798" s="421"/>
      <c r="O798" s="429"/>
      <c r="P798" s="429"/>
      <c r="Q798" s="2"/>
      <c r="R798" s="2"/>
      <c r="S798" s="2"/>
      <c r="T798" s="2"/>
      <c r="U798" s="2"/>
      <c r="V798" s="2"/>
      <c r="W798" s="2"/>
      <c r="X798" s="26"/>
      <c r="Y798" s="26"/>
    </row>
    <row r="799" spans="1:25" x14ac:dyDescent="0.25">
      <c r="A799" s="2"/>
      <c r="B799" s="9"/>
      <c r="C799" s="58" t="s">
        <v>65</v>
      </c>
      <c r="D799" s="44" t="s">
        <v>66</v>
      </c>
      <c r="E799" s="59" t="s">
        <v>76</v>
      </c>
      <c r="F799" s="44"/>
      <c r="G799" s="44"/>
      <c r="H799" s="44"/>
      <c r="I799" s="59" t="s">
        <v>77</v>
      </c>
      <c r="J799" s="44"/>
      <c r="K799" s="59"/>
      <c r="L799" s="44" t="s">
        <v>78</v>
      </c>
      <c r="M799" s="60"/>
      <c r="N799" s="430"/>
      <c r="O799" s="430"/>
      <c r="P799" s="430"/>
      <c r="Q799" s="2"/>
      <c r="R799" s="2"/>
      <c r="S799" s="2"/>
      <c r="T799" s="2"/>
      <c r="U799" s="2"/>
      <c r="V799" s="2"/>
      <c r="W799" s="2"/>
      <c r="X799" s="26"/>
      <c r="Y799" s="26"/>
    </row>
    <row r="800" spans="1:25" ht="15.75" thickBot="1" x14ac:dyDescent="0.3">
      <c r="A800" s="2"/>
      <c r="B800" s="9"/>
      <c r="C800" s="2"/>
      <c r="D800" s="2"/>
      <c r="E800" s="2"/>
      <c r="F800" s="2"/>
      <c r="G800" s="2"/>
      <c r="H800" s="2"/>
      <c r="I800" s="2"/>
      <c r="J800" s="2"/>
      <c r="K800" s="2"/>
      <c r="L800" s="2"/>
      <c r="M800" s="2"/>
      <c r="N800" s="2"/>
      <c r="O800" s="2"/>
      <c r="P800" s="2"/>
      <c r="Q800" s="2"/>
      <c r="R800" s="2"/>
      <c r="S800" s="2"/>
      <c r="T800" s="2"/>
      <c r="U800" s="2"/>
      <c r="V800" s="2"/>
      <c r="W800" s="2"/>
      <c r="X800" s="26"/>
      <c r="Y800" s="26"/>
    </row>
    <row r="801" spans="1:25" ht="15.75" customHeight="1" thickBot="1" x14ac:dyDescent="0.3">
      <c r="A801" s="26"/>
      <c r="B801" s="422" t="s">
        <v>79</v>
      </c>
      <c r="C801" s="423"/>
      <c r="D801" s="423"/>
      <c r="E801" s="423"/>
      <c r="F801" s="423"/>
      <c r="G801" s="423"/>
      <c r="H801" s="423"/>
      <c r="I801" s="423"/>
      <c r="J801" s="423"/>
      <c r="K801" s="423"/>
      <c r="L801" s="423"/>
      <c r="M801" s="423"/>
      <c r="N801" s="423"/>
      <c r="O801" s="423"/>
      <c r="P801" s="424"/>
      <c r="Q801" s="26"/>
      <c r="R801" s="26"/>
      <c r="S801" s="26"/>
      <c r="T801" s="26"/>
      <c r="U801" s="26"/>
      <c r="V801" s="26"/>
      <c r="W801" s="26"/>
      <c r="X801" s="26"/>
      <c r="Y801" s="26"/>
    </row>
    <row r="802" spans="1:25" x14ac:dyDescent="0.25">
      <c r="A802" s="2"/>
      <c r="B802" s="9"/>
      <c r="C802" s="2"/>
      <c r="D802" s="2"/>
      <c r="E802" s="2"/>
      <c r="F802" s="2"/>
      <c r="G802" s="2"/>
      <c r="H802" s="36" t="s">
        <v>80</v>
      </c>
      <c r="I802" s="2"/>
      <c r="J802" s="2"/>
      <c r="K802" s="2"/>
      <c r="L802" s="2"/>
      <c r="M802" s="2"/>
      <c r="N802" s="2"/>
      <c r="O802" s="2"/>
      <c r="P802" s="2"/>
      <c r="Q802" s="2"/>
      <c r="R802" s="2"/>
      <c r="S802" s="2"/>
      <c r="T802" s="2"/>
      <c r="U802" s="2"/>
      <c r="V802" s="2"/>
      <c r="W802" s="2"/>
      <c r="X802" s="26"/>
      <c r="Y802" s="26"/>
    </row>
    <row r="803" spans="1:25" x14ac:dyDescent="0.25">
      <c r="A803" s="2"/>
      <c r="B803" s="9"/>
      <c r="C803" s="37" t="s">
        <v>69</v>
      </c>
      <c r="D803" s="37" t="s">
        <v>70</v>
      </c>
      <c r="E803" s="37" t="s">
        <v>59</v>
      </c>
      <c r="F803" s="37" t="s">
        <v>71</v>
      </c>
      <c r="G803" s="37" t="s">
        <v>69</v>
      </c>
      <c r="H803" s="37" t="s">
        <v>62</v>
      </c>
      <c r="I803" s="37" t="s">
        <v>72</v>
      </c>
      <c r="J803" s="37" t="s">
        <v>73</v>
      </c>
      <c r="K803" s="37" t="s">
        <v>74</v>
      </c>
      <c r="L803" s="37" t="s">
        <v>75</v>
      </c>
      <c r="M803" s="37" t="s">
        <v>63</v>
      </c>
      <c r="N803" s="428" t="s">
        <v>64</v>
      </c>
      <c r="O803" s="428"/>
      <c r="P803" s="428"/>
      <c r="Q803" s="2"/>
      <c r="R803" s="2"/>
      <c r="S803" s="2"/>
      <c r="T803" s="2"/>
      <c r="U803" s="2"/>
      <c r="V803" s="2"/>
      <c r="W803" s="2"/>
      <c r="X803" s="26"/>
      <c r="Y803" s="26"/>
    </row>
    <row r="804" spans="1:25" x14ac:dyDescent="0.25">
      <c r="A804" s="2"/>
      <c r="B804" s="17">
        <f t="shared" ref="B804" si="40">LEN(C804)</f>
        <v>0</v>
      </c>
      <c r="C804" s="50"/>
      <c r="D804" s="330" t="s">
        <v>2320</v>
      </c>
      <c r="E804" s="50"/>
      <c r="F804" s="50"/>
      <c r="G804" s="209">
        <v>1</v>
      </c>
      <c r="H804" s="335" t="s">
        <v>1226</v>
      </c>
      <c r="I804" s="198">
        <v>1</v>
      </c>
      <c r="J804" s="50" t="s">
        <v>41</v>
      </c>
      <c r="K804" s="53" t="s">
        <v>90</v>
      </c>
      <c r="L804" s="50"/>
      <c r="M804" s="54"/>
      <c r="N804" s="421" t="s">
        <v>1178</v>
      </c>
      <c r="O804" s="429"/>
      <c r="P804" s="429"/>
      <c r="Q804" s="2"/>
      <c r="R804" s="2"/>
      <c r="S804" s="2"/>
      <c r="T804" s="2"/>
      <c r="U804" s="2"/>
      <c r="V804" s="2"/>
      <c r="W804" s="2"/>
      <c r="X804" s="26"/>
      <c r="Y804" s="26"/>
    </row>
    <row r="805" spans="1:25" s="195" customFormat="1" ht="12.75" x14ac:dyDescent="0.2">
      <c r="A805" s="9"/>
      <c r="B805" s="9"/>
      <c r="C805" s="262" t="str">
        <f>C140</f>
        <v>CO</v>
      </c>
      <c r="D805" s="332" t="s">
        <v>1180</v>
      </c>
      <c r="E805" s="269">
        <v>1</v>
      </c>
      <c r="F805" s="269" t="s">
        <v>41</v>
      </c>
      <c r="G805" s="51">
        <f t="shared" ref="G805:G836" si="41">IF($C805="",1,VLOOKUP($C805,$C$22:$H$790,3,FALSE))</f>
        <v>6.1051131093125771E-5</v>
      </c>
      <c r="H805" s="335" t="s">
        <v>489</v>
      </c>
      <c r="I805" s="198">
        <f t="shared" ref="I805" si="42">IF(D805="","",E805*G805*$D$5)</f>
        <v>6.1051131093125771E-5</v>
      </c>
      <c r="J805" s="269" t="s">
        <v>41</v>
      </c>
      <c r="K805" s="271"/>
      <c r="L805" s="50" t="s">
        <v>94</v>
      </c>
      <c r="M805" s="379">
        <f t="shared" ref="M805:M816" si="43">VLOOKUP(C805,$C$23:$I$790,7)</f>
        <v>1</v>
      </c>
      <c r="N805" s="421" t="s">
        <v>81</v>
      </c>
      <c r="O805" s="421"/>
      <c r="P805" s="421"/>
      <c r="Q805" s="2"/>
      <c r="R805" s="2"/>
      <c r="S805" s="2"/>
      <c r="T805" s="2"/>
      <c r="U805" s="2"/>
      <c r="V805" s="2"/>
      <c r="W805" s="2"/>
      <c r="X805" s="26"/>
      <c r="Y805" s="26"/>
    </row>
    <row r="806" spans="1:25" s="195" customFormat="1" ht="13.15" customHeight="1" x14ac:dyDescent="0.2">
      <c r="A806" s="9"/>
      <c r="B806" s="9"/>
      <c r="C806" s="262" t="str">
        <f t="shared" ref="C806:C822" si="44">C142</f>
        <v>NOX</v>
      </c>
      <c r="D806" s="333" t="s">
        <v>1196</v>
      </c>
      <c r="E806" s="269">
        <v>1</v>
      </c>
      <c r="F806" s="269" t="s">
        <v>41</v>
      </c>
      <c r="G806" s="51">
        <f t="shared" si="41"/>
        <v>6.7445355649514398E-5</v>
      </c>
      <c r="H806" s="335" t="s">
        <v>489</v>
      </c>
      <c r="I806" s="198">
        <f t="shared" ref="I806:I869" si="45">IF(D806="","",E806*G806*$D$5)</f>
        <v>6.7445355649514398E-5</v>
      </c>
      <c r="J806" s="269" t="s">
        <v>41</v>
      </c>
      <c r="K806" s="271"/>
      <c r="L806" s="50" t="s">
        <v>94</v>
      </c>
      <c r="M806" s="379" t="str">
        <f t="shared" si="43"/>
        <v>1,2</v>
      </c>
      <c r="N806" s="421" t="s">
        <v>81</v>
      </c>
      <c r="O806" s="421"/>
      <c r="P806" s="421"/>
      <c r="Q806" s="2"/>
      <c r="R806" s="2"/>
      <c r="S806" s="2"/>
      <c r="T806" s="2"/>
      <c r="U806" s="2"/>
      <c r="V806" s="2"/>
      <c r="W806" s="2"/>
      <c r="X806" s="26"/>
      <c r="Y806" s="26"/>
    </row>
    <row r="807" spans="1:25" s="195" customFormat="1" ht="13.15" customHeight="1" x14ac:dyDescent="0.2">
      <c r="A807" s="9"/>
      <c r="B807" s="9"/>
      <c r="C807" s="262" t="str">
        <f t="shared" si="44"/>
        <v>SO2</v>
      </c>
      <c r="D807" s="334" t="s">
        <v>1197</v>
      </c>
      <c r="E807" s="269">
        <v>1</v>
      </c>
      <c r="F807" s="269" t="s">
        <v>41</v>
      </c>
      <c r="G807" s="51">
        <f t="shared" si="41"/>
        <v>9.8870161724678348E-5</v>
      </c>
      <c r="H807" s="335" t="s">
        <v>489</v>
      </c>
      <c r="I807" s="198">
        <f t="shared" si="45"/>
        <v>9.8870161724678348E-5</v>
      </c>
      <c r="J807" s="269" t="s">
        <v>41</v>
      </c>
      <c r="K807" s="271"/>
      <c r="L807" s="50" t="s">
        <v>94</v>
      </c>
      <c r="M807" s="379" t="str">
        <f t="shared" si="43"/>
        <v>1,2</v>
      </c>
      <c r="N807" s="421" t="s">
        <v>81</v>
      </c>
      <c r="O807" s="421"/>
      <c r="P807" s="421"/>
      <c r="Q807" s="2"/>
      <c r="R807" s="2"/>
      <c r="S807" s="2"/>
      <c r="T807" s="2"/>
      <c r="U807" s="2"/>
      <c r="V807" s="2"/>
      <c r="W807" s="2"/>
      <c r="X807" s="26"/>
      <c r="Y807" s="26"/>
    </row>
    <row r="808" spans="1:25" s="195" customFormat="1" ht="13.15" customHeight="1" x14ac:dyDescent="0.2">
      <c r="A808" s="9"/>
      <c r="B808" s="9"/>
      <c r="C808" s="262" t="str">
        <f t="shared" si="44"/>
        <v>PM2.5</v>
      </c>
      <c r="D808" s="333" t="s">
        <v>1198</v>
      </c>
      <c r="E808" s="269">
        <v>1</v>
      </c>
      <c r="F808" s="269" t="s">
        <v>41</v>
      </c>
      <c r="G808" s="51">
        <f t="shared" si="41"/>
        <v>2.6445503208174458E-5</v>
      </c>
      <c r="H808" s="335" t="s">
        <v>489</v>
      </c>
      <c r="I808" s="198">
        <f t="shared" si="45"/>
        <v>2.6445503208174458E-5</v>
      </c>
      <c r="J808" s="269" t="s">
        <v>41</v>
      </c>
      <c r="K808" s="271"/>
      <c r="L808" s="50" t="s">
        <v>94</v>
      </c>
      <c r="M808" s="379" t="str">
        <f t="shared" si="43"/>
        <v>1,2</v>
      </c>
      <c r="N808" s="421" t="s">
        <v>81</v>
      </c>
      <c r="O808" s="421"/>
      <c r="P808" s="421"/>
      <c r="Q808" s="2"/>
      <c r="R808" s="2"/>
      <c r="S808" s="2"/>
      <c r="T808" s="2"/>
      <c r="U808" s="2"/>
      <c r="V808" s="2"/>
      <c r="W808" s="2"/>
      <c r="X808" s="26"/>
      <c r="Y808" s="26"/>
    </row>
    <row r="809" spans="1:25" s="195" customFormat="1" ht="13.15" customHeight="1" x14ac:dyDescent="0.2">
      <c r="A809" s="9"/>
      <c r="B809" s="9"/>
      <c r="C809" s="262" t="str">
        <f t="shared" si="44"/>
        <v>PM10</v>
      </c>
      <c r="D809" s="333" t="s">
        <v>1199</v>
      </c>
      <c r="E809" s="269">
        <v>1</v>
      </c>
      <c r="F809" s="269" t="s">
        <v>41</v>
      </c>
      <c r="G809" s="51">
        <f t="shared" si="41"/>
        <v>2.8861261162005474E-5</v>
      </c>
      <c r="H809" s="335" t="s">
        <v>489</v>
      </c>
      <c r="I809" s="198">
        <f t="shared" si="45"/>
        <v>2.8861261162005474E-5</v>
      </c>
      <c r="J809" s="269" t="s">
        <v>41</v>
      </c>
      <c r="K809" s="271"/>
      <c r="L809" s="50" t="s">
        <v>94</v>
      </c>
      <c r="M809" s="379" t="str">
        <f t="shared" si="43"/>
        <v>1,2</v>
      </c>
      <c r="N809" s="421" t="s">
        <v>81</v>
      </c>
      <c r="O809" s="421"/>
      <c r="P809" s="421"/>
      <c r="Q809" s="2"/>
      <c r="R809" s="2"/>
      <c r="S809" s="2"/>
      <c r="T809" s="2"/>
      <c r="U809" s="2"/>
      <c r="V809" s="2"/>
      <c r="W809" s="2"/>
      <c r="X809" s="26"/>
      <c r="Y809" s="26"/>
    </row>
    <row r="810" spans="1:25" s="195" customFormat="1" ht="13.15" customHeight="1" x14ac:dyDescent="0.2">
      <c r="A810" s="9"/>
      <c r="B810" s="9"/>
      <c r="C810" s="262" t="str">
        <f t="shared" si="44"/>
        <v>NH3</v>
      </c>
      <c r="D810" s="333" t="s">
        <v>1201</v>
      </c>
      <c r="E810" s="269">
        <v>1</v>
      </c>
      <c r="F810" s="269" t="s">
        <v>41</v>
      </c>
      <c r="G810" s="51">
        <f t="shared" si="41"/>
        <v>2.2617605503767843E-6</v>
      </c>
      <c r="H810" s="335" t="s">
        <v>489</v>
      </c>
      <c r="I810" s="198">
        <f t="shared" si="45"/>
        <v>2.2617605503767843E-6</v>
      </c>
      <c r="J810" s="269" t="s">
        <v>41</v>
      </c>
      <c r="K810" s="271"/>
      <c r="L810" s="50" t="s">
        <v>94</v>
      </c>
      <c r="M810" s="379" t="str">
        <f t="shared" si="43"/>
        <v>1,2</v>
      </c>
      <c r="N810" s="421" t="s">
        <v>81</v>
      </c>
      <c r="O810" s="421"/>
      <c r="P810" s="421"/>
      <c r="Q810" s="2"/>
      <c r="R810" s="2"/>
      <c r="S810" s="2"/>
      <c r="T810" s="2"/>
      <c r="U810" s="2"/>
      <c r="V810" s="2"/>
      <c r="W810" s="2"/>
      <c r="X810" s="26"/>
      <c r="Y810" s="26"/>
    </row>
    <row r="811" spans="1:25" s="195" customFormat="1" ht="13.15" customHeight="1" x14ac:dyDescent="0.2">
      <c r="A811" s="9"/>
      <c r="B811" s="9"/>
      <c r="C811" s="262" t="str">
        <f t="shared" si="44"/>
        <v>Lead</v>
      </c>
      <c r="D811" s="333" t="s">
        <v>1202</v>
      </c>
      <c r="E811" s="269">
        <v>1</v>
      </c>
      <c r="F811" s="269" t="s">
        <v>41</v>
      </c>
      <c r="G811" s="51">
        <f t="shared" si="41"/>
        <v>2.3819420306485839E-9</v>
      </c>
      <c r="H811" s="335" t="s">
        <v>489</v>
      </c>
      <c r="I811" s="198">
        <f t="shared" si="45"/>
        <v>2.3819420306485839E-9</v>
      </c>
      <c r="J811" s="269" t="s">
        <v>41</v>
      </c>
      <c r="K811" s="271"/>
      <c r="L811" s="50" t="s">
        <v>94</v>
      </c>
      <c r="M811" s="379" t="str">
        <f t="shared" si="43"/>
        <v>1,2</v>
      </c>
      <c r="N811" s="421" t="s">
        <v>81</v>
      </c>
      <c r="O811" s="421"/>
      <c r="P811" s="421"/>
      <c r="Q811" s="2"/>
      <c r="R811" s="2"/>
      <c r="S811" s="2"/>
      <c r="T811" s="2"/>
      <c r="U811" s="2"/>
      <c r="V811" s="2"/>
      <c r="W811" s="2"/>
      <c r="X811" s="26"/>
      <c r="Y811" s="26"/>
    </row>
    <row r="812" spans="1:25" s="195" customFormat="1" ht="13.15" customHeight="1" x14ac:dyDescent="0.2">
      <c r="A812" s="9"/>
      <c r="B812" s="9"/>
      <c r="C812" s="262" t="str">
        <f t="shared" si="44"/>
        <v>PM2.5_EC</v>
      </c>
      <c r="D812" s="55" t="s">
        <v>1211</v>
      </c>
      <c r="E812" s="269">
        <v>1</v>
      </c>
      <c r="F812" s="269" t="s">
        <v>41</v>
      </c>
      <c r="G812" s="51">
        <f t="shared" si="41"/>
        <v>3.0238383397716182E-6</v>
      </c>
      <c r="H812" s="335" t="s">
        <v>489</v>
      </c>
      <c r="I812" s="198">
        <f t="shared" si="45"/>
        <v>3.0238383397716182E-6</v>
      </c>
      <c r="J812" s="269" t="s">
        <v>41</v>
      </c>
      <c r="K812" s="271"/>
      <c r="L812" s="50" t="s">
        <v>94</v>
      </c>
      <c r="M812" s="379" t="str">
        <f t="shared" si="43"/>
        <v>1,2</v>
      </c>
      <c r="N812" s="421" t="s">
        <v>81</v>
      </c>
      <c r="O812" s="421"/>
      <c r="P812" s="421"/>
      <c r="Q812" s="2"/>
      <c r="R812" s="2"/>
      <c r="S812" s="2"/>
      <c r="T812" s="2"/>
      <c r="U812" s="2"/>
      <c r="V812" s="2"/>
      <c r="W812" s="2"/>
      <c r="X812" s="26"/>
      <c r="Y812" s="26"/>
    </row>
    <row r="813" spans="1:25" ht="14.45" customHeight="1" x14ac:dyDescent="0.25">
      <c r="A813" s="9"/>
      <c r="B813" s="9"/>
      <c r="C813" s="262" t="str">
        <f t="shared" si="44"/>
        <v>PM2.5_OC</v>
      </c>
      <c r="D813" s="181" t="s">
        <v>1210</v>
      </c>
      <c r="E813" s="270">
        <v>1</v>
      </c>
      <c r="F813" s="269" t="s">
        <v>41</v>
      </c>
      <c r="G813" s="51">
        <f t="shared" si="41"/>
        <v>4.0974333545250033E-6</v>
      </c>
      <c r="H813" s="335" t="s">
        <v>489</v>
      </c>
      <c r="I813" s="198">
        <f t="shared" si="45"/>
        <v>4.0974333545250033E-6</v>
      </c>
      <c r="J813" s="270" t="s">
        <v>41</v>
      </c>
      <c r="K813" s="271"/>
      <c r="L813" s="50" t="s">
        <v>94</v>
      </c>
      <c r="M813" s="379" t="str">
        <f t="shared" si="43"/>
        <v>1,2</v>
      </c>
      <c r="N813" s="421" t="s">
        <v>81</v>
      </c>
      <c r="O813" s="421"/>
      <c r="P813" s="421"/>
      <c r="Q813" s="2"/>
      <c r="R813" s="2"/>
      <c r="S813" s="2"/>
      <c r="T813" s="2"/>
      <c r="U813" s="2"/>
      <c r="V813" s="2"/>
      <c r="W813" s="2"/>
      <c r="X813" s="26"/>
      <c r="Y813" s="26"/>
    </row>
    <row r="814" spans="1:25" s="195" customFormat="1" ht="12.75" customHeight="1" x14ac:dyDescent="0.2">
      <c r="A814" s="9"/>
      <c r="B814" s="9"/>
      <c r="C814" s="262" t="str">
        <f t="shared" si="44"/>
        <v>Mercury</v>
      </c>
      <c r="D814" s="333" t="s">
        <v>1200</v>
      </c>
      <c r="E814" s="269">
        <v>1</v>
      </c>
      <c r="F814" s="269" t="s">
        <v>41</v>
      </c>
      <c r="G814" s="51">
        <f t="shared" si="41"/>
        <v>1.6507577693168435E-9</v>
      </c>
      <c r="H814" s="335" t="s">
        <v>489</v>
      </c>
      <c r="I814" s="198">
        <f t="shared" si="45"/>
        <v>1.6507577693168435E-9</v>
      </c>
      <c r="J814" s="269" t="s">
        <v>41</v>
      </c>
      <c r="K814" s="271"/>
      <c r="L814" s="50" t="s">
        <v>94</v>
      </c>
      <c r="M814" s="379" t="str">
        <f t="shared" si="43"/>
        <v>1,2</v>
      </c>
      <c r="N814" s="421" t="s">
        <v>81</v>
      </c>
      <c r="O814" s="421"/>
      <c r="P814" s="421"/>
      <c r="Q814" s="2"/>
      <c r="R814" s="2"/>
      <c r="S814" s="2"/>
      <c r="T814" s="2"/>
      <c r="U814" s="2"/>
      <c r="V814" s="2"/>
      <c r="W814" s="2"/>
      <c r="X814" s="26"/>
      <c r="Y814" s="26"/>
    </row>
    <row r="815" spans="1:25" ht="14.45" customHeight="1" x14ac:dyDescent="0.25">
      <c r="A815" s="9"/>
      <c r="B815" s="9"/>
      <c r="C815" s="262" t="str">
        <f t="shared" si="44"/>
        <v>Chromium</v>
      </c>
      <c r="D815" s="55" t="s">
        <v>1203</v>
      </c>
      <c r="E815" s="270">
        <v>1</v>
      </c>
      <c r="F815" s="269" t="s">
        <v>41</v>
      </c>
      <c r="G815" s="51">
        <f t="shared" si="41"/>
        <v>5.4386298884045708E-10</v>
      </c>
      <c r="H815" s="335" t="s">
        <v>489</v>
      </c>
      <c r="I815" s="198">
        <f t="shared" si="45"/>
        <v>5.4386298884045708E-10</v>
      </c>
      <c r="J815" s="270" t="s">
        <v>41</v>
      </c>
      <c r="K815" s="271"/>
      <c r="L815" s="50" t="s">
        <v>94</v>
      </c>
      <c r="M815" s="379">
        <f t="shared" si="43"/>
        <v>1</v>
      </c>
      <c r="N815" s="421" t="s">
        <v>81</v>
      </c>
      <c r="O815" s="421"/>
      <c r="P815" s="421"/>
      <c r="Q815" s="2"/>
      <c r="R815" s="2"/>
      <c r="S815" s="2"/>
      <c r="T815" s="2"/>
      <c r="U815" s="2"/>
      <c r="V815" s="2"/>
      <c r="W815" s="2"/>
      <c r="X815" s="26"/>
      <c r="Y815" s="26"/>
    </row>
    <row r="816" spans="1:25" x14ac:dyDescent="0.25">
      <c r="A816" s="2"/>
      <c r="B816" s="9"/>
      <c r="C816" s="262" t="str">
        <f t="shared" si="44"/>
        <v>Arsenic</v>
      </c>
      <c r="D816" s="55" t="s">
        <v>1204</v>
      </c>
      <c r="E816" s="270">
        <v>1</v>
      </c>
      <c r="F816" s="270" t="s">
        <v>41</v>
      </c>
      <c r="G816" s="51">
        <f t="shared" si="41"/>
        <v>7.3325595581690846E-10</v>
      </c>
      <c r="H816" s="335" t="s">
        <v>489</v>
      </c>
      <c r="I816" s="198">
        <f t="shared" si="45"/>
        <v>7.3325595581690846E-10</v>
      </c>
      <c r="J816" s="270" t="s">
        <v>41</v>
      </c>
      <c r="K816" s="271"/>
      <c r="L816" s="50" t="s">
        <v>94</v>
      </c>
      <c r="M816" s="379">
        <f t="shared" si="43"/>
        <v>2</v>
      </c>
      <c r="N816" s="421" t="s">
        <v>81</v>
      </c>
      <c r="O816" s="421"/>
      <c r="P816" s="421"/>
      <c r="Q816" s="2"/>
      <c r="R816" s="2"/>
      <c r="S816" s="2"/>
      <c r="T816" s="2"/>
      <c r="U816" s="2"/>
      <c r="V816" s="2"/>
      <c r="W816" s="2"/>
      <c r="X816" s="26"/>
      <c r="Y816" s="26"/>
    </row>
    <row r="817" spans="1:25" x14ac:dyDescent="0.25">
      <c r="A817" s="2"/>
      <c r="B817" s="9"/>
      <c r="C817" s="262" t="str">
        <f t="shared" si="44"/>
        <v>Acetaldehyd</v>
      </c>
      <c r="D817" s="55" t="s">
        <v>1205</v>
      </c>
      <c r="E817" s="270">
        <v>1</v>
      </c>
      <c r="F817" s="270" t="s">
        <v>41</v>
      </c>
      <c r="G817" s="51">
        <f t="shared" si="41"/>
        <v>3.8441816081372128E-8</v>
      </c>
      <c r="H817" s="335" t="s">
        <v>489</v>
      </c>
      <c r="I817" s="198">
        <f t="shared" si="45"/>
        <v>3.8441816081372128E-8</v>
      </c>
      <c r="J817" s="270" t="s">
        <v>41</v>
      </c>
      <c r="K817" s="271"/>
      <c r="L817" s="50" t="s">
        <v>94</v>
      </c>
      <c r="M817" s="379">
        <v>2</v>
      </c>
      <c r="N817" s="421" t="s">
        <v>81</v>
      </c>
      <c r="O817" s="421"/>
      <c r="P817" s="421"/>
      <c r="Q817" s="2"/>
      <c r="R817" s="2"/>
      <c r="S817" s="2"/>
      <c r="T817" s="2"/>
      <c r="U817" s="2"/>
      <c r="V817" s="2"/>
      <c r="W817" s="2"/>
      <c r="X817" s="26"/>
      <c r="Y817" s="26"/>
    </row>
    <row r="818" spans="1:25" x14ac:dyDescent="0.25">
      <c r="A818" s="2"/>
      <c r="B818" s="9"/>
      <c r="C818" s="262" t="str">
        <f t="shared" si="44"/>
        <v>Formaldehyd</v>
      </c>
      <c r="D818" s="55" t="s">
        <v>1206</v>
      </c>
      <c r="E818" s="270">
        <v>1</v>
      </c>
      <c r="F818" s="270" t="s">
        <v>41</v>
      </c>
      <c r="G818" s="51">
        <f t="shared" si="41"/>
        <v>9.3424214553324862E-7</v>
      </c>
      <c r="H818" s="335" t="s">
        <v>489</v>
      </c>
      <c r="I818" s="198">
        <f t="shared" si="45"/>
        <v>9.3424214553324862E-7</v>
      </c>
      <c r="J818" s="270" t="s">
        <v>41</v>
      </c>
      <c r="K818" s="271"/>
      <c r="L818" s="50" t="s">
        <v>94</v>
      </c>
      <c r="M818" s="379" t="str">
        <f>VLOOKUP(C818,$C$23:$I$790,7)</f>
        <v>1,2</v>
      </c>
      <c r="N818" s="421" t="s">
        <v>81</v>
      </c>
      <c r="O818" s="421"/>
      <c r="P818" s="421"/>
      <c r="Q818" s="2"/>
      <c r="R818" s="2"/>
      <c r="S818" s="2"/>
      <c r="T818" s="2"/>
      <c r="U818" s="2"/>
      <c r="V818" s="2"/>
      <c r="W818" s="2"/>
      <c r="X818" s="26"/>
      <c r="Y818" s="26"/>
    </row>
    <row r="819" spans="1:25" x14ac:dyDescent="0.25">
      <c r="A819" s="2"/>
      <c r="B819" s="9"/>
      <c r="C819" s="262" t="str">
        <f t="shared" si="44"/>
        <v>Acrolein</v>
      </c>
      <c r="D819" s="55" t="s">
        <v>1207</v>
      </c>
      <c r="E819" s="61">
        <v>1</v>
      </c>
      <c r="F819" s="61" t="s">
        <v>41</v>
      </c>
      <c r="G819" s="51">
        <f t="shared" si="41"/>
        <v>7.4783795566016347E-8</v>
      </c>
      <c r="H819" s="335" t="s">
        <v>489</v>
      </c>
      <c r="I819" s="198">
        <f t="shared" si="45"/>
        <v>7.4783795566016347E-8</v>
      </c>
      <c r="J819" s="270" t="s">
        <v>41</v>
      </c>
      <c r="K819" s="271"/>
      <c r="L819" s="50" t="s">
        <v>94</v>
      </c>
      <c r="M819" s="379">
        <f>VLOOKUP(C819,$C$23:$I$790,7)</f>
        <v>2</v>
      </c>
      <c r="N819" s="421" t="s">
        <v>81</v>
      </c>
      <c r="O819" s="421"/>
      <c r="P819" s="421"/>
      <c r="Q819" s="2"/>
      <c r="R819" s="2"/>
      <c r="S819" s="2"/>
      <c r="T819" s="2"/>
      <c r="U819" s="2"/>
      <c r="V819" s="2"/>
      <c r="W819" s="2"/>
      <c r="X819" s="26"/>
      <c r="Y819" s="26"/>
    </row>
    <row r="820" spans="1:25" x14ac:dyDescent="0.25">
      <c r="A820" s="2"/>
      <c r="B820" s="9"/>
      <c r="C820" s="262" t="str">
        <f t="shared" si="44"/>
        <v>13_Butad</v>
      </c>
      <c r="D820" s="55" t="s">
        <v>1208</v>
      </c>
      <c r="E820" s="61">
        <v>1</v>
      </c>
      <c r="F820" s="61" t="s">
        <v>41</v>
      </c>
      <c r="G820" s="51">
        <f t="shared" si="41"/>
        <v>8.4992652551866642E-8</v>
      </c>
      <c r="H820" s="335" t="s">
        <v>489</v>
      </c>
      <c r="I820" s="198">
        <f t="shared" si="45"/>
        <v>8.4992652551866642E-8</v>
      </c>
      <c r="J820" s="270" t="s">
        <v>41</v>
      </c>
      <c r="K820" s="271"/>
      <c r="L820" s="50" t="s">
        <v>94</v>
      </c>
      <c r="M820" s="379">
        <v>2</v>
      </c>
      <c r="N820" s="421" t="s">
        <v>81</v>
      </c>
      <c r="O820" s="421"/>
      <c r="P820" s="421"/>
      <c r="Q820" s="2"/>
      <c r="R820" s="2"/>
      <c r="S820" s="2"/>
      <c r="T820" s="2"/>
      <c r="U820" s="2"/>
      <c r="V820" s="2"/>
      <c r="W820" s="2"/>
      <c r="X820" s="26"/>
      <c r="Y820" s="26"/>
    </row>
    <row r="821" spans="1:25" x14ac:dyDescent="0.25">
      <c r="A821" s="2"/>
      <c r="B821" s="9"/>
      <c r="C821" s="262" t="str">
        <f t="shared" si="44"/>
        <v>Tetrach</v>
      </c>
      <c r="D821" s="55" t="s">
        <v>1231</v>
      </c>
      <c r="E821" s="61">
        <v>1</v>
      </c>
      <c r="F821" s="61" t="s">
        <v>41</v>
      </c>
      <c r="G821" s="51">
        <f t="shared" si="41"/>
        <v>3.3453084396297714E-8</v>
      </c>
      <c r="H821" s="335" t="s">
        <v>489</v>
      </c>
      <c r="I821" s="198">
        <f t="shared" si="45"/>
        <v>3.3453084396297714E-8</v>
      </c>
      <c r="J821" s="56" t="s">
        <v>41</v>
      </c>
      <c r="K821" s="53"/>
      <c r="L821" s="50" t="s">
        <v>94</v>
      </c>
      <c r="M821" s="379" t="str">
        <f t="shared" ref="M821:M852" si="46">VLOOKUP(C821,$C$23:$I$790,7)</f>
        <v>1,2</v>
      </c>
      <c r="N821" s="421" t="s">
        <v>81</v>
      </c>
      <c r="O821" s="421"/>
      <c r="P821" s="421"/>
      <c r="Q821" s="2"/>
      <c r="R821" s="2"/>
      <c r="S821" s="2"/>
      <c r="T821" s="2"/>
      <c r="U821" s="2"/>
      <c r="V821" s="2"/>
      <c r="W821" s="2"/>
      <c r="X821" s="26"/>
      <c r="Y821" s="26"/>
    </row>
    <row r="822" spans="1:25" x14ac:dyDescent="0.25">
      <c r="A822" s="2"/>
      <c r="B822" s="9"/>
      <c r="C822" s="262" t="str">
        <f t="shared" si="44"/>
        <v>CO2</v>
      </c>
      <c r="D822" s="331" t="s">
        <v>1179</v>
      </c>
      <c r="E822" s="61">
        <v>1</v>
      </c>
      <c r="F822" s="61" t="s">
        <v>41</v>
      </c>
      <c r="G822" s="51">
        <f t="shared" si="41"/>
        <v>1.2252333090932497E-3</v>
      </c>
      <c r="H822" s="335" t="s">
        <v>489</v>
      </c>
      <c r="I822" s="198">
        <f t="shared" si="45"/>
        <v>1.2252333090932497E-3</v>
      </c>
      <c r="J822" s="56" t="s">
        <v>41</v>
      </c>
      <c r="K822" s="53"/>
      <c r="L822" s="50" t="s">
        <v>94</v>
      </c>
      <c r="M822" s="379">
        <f t="shared" si="46"/>
        <v>1</v>
      </c>
      <c r="N822" s="421" t="s">
        <v>81</v>
      </c>
      <c r="O822" s="421"/>
      <c r="P822" s="421"/>
      <c r="Q822" s="2"/>
      <c r="R822" s="2"/>
      <c r="S822" s="2"/>
      <c r="T822" s="2"/>
      <c r="U822" s="2"/>
      <c r="V822" s="2"/>
      <c r="W822" s="2"/>
      <c r="X822" s="26"/>
      <c r="Y822" s="26"/>
    </row>
    <row r="823" spans="1:25" x14ac:dyDescent="0.25">
      <c r="A823" s="2"/>
      <c r="B823" s="9"/>
      <c r="C823" s="262" t="str">
        <f>C160</f>
        <v>N2O</v>
      </c>
      <c r="D823" s="55" t="s">
        <v>1209</v>
      </c>
      <c r="E823" s="61">
        <v>1</v>
      </c>
      <c r="F823" s="61" t="s">
        <v>41</v>
      </c>
      <c r="G823" s="51">
        <f t="shared" si="41"/>
        <v>2.1279189097597579E-9</v>
      </c>
      <c r="H823" s="335" t="s">
        <v>489</v>
      </c>
      <c r="I823" s="198">
        <f t="shared" si="45"/>
        <v>2.1279189097597579E-9</v>
      </c>
      <c r="J823" s="56" t="s">
        <v>41</v>
      </c>
      <c r="K823" s="53"/>
      <c r="L823" s="50" t="s">
        <v>94</v>
      </c>
      <c r="M823" s="379" t="str">
        <f t="shared" si="46"/>
        <v>1,2</v>
      </c>
      <c r="N823" s="421" t="s">
        <v>81</v>
      </c>
      <c r="O823" s="421"/>
      <c r="P823" s="421"/>
      <c r="Q823" s="2"/>
      <c r="R823" s="2"/>
      <c r="S823" s="2"/>
      <c r="T823" s="2"/>
      <c r="U823" s="2"/>
      <c r="V823" s="2"/>
      <c r="W823" s="2"/>
      <c r="X823" s="26"/>
      <c r="Y823" s="26"/>
    </row>
    <row r="824" spans="1:25" x14ac:dyDescent="0.25">
      <c r="A824" s="2"/>
      <c r="B824" s="9"/>
      <c r="C824" s="262" t="str">
        <f>C162</f>
        <v>CH4</v>
      </c>
      <c r="D824" s="55" t="s">
        <v>476</v>
      </c>
      <c r="E824" s="61">
        <v>1</v>
      </c>
      <c r="F824" s="61" t="s">
        <v>41</v>
      </c>
      <c r="G824" s="51">
        <f t="shared" si="41"/>
        <v>1.91988744487101E-8</v>
      </c>
      <c r="H824" s="335" t="s">
        <v>489</v>
      </c>
      <c r="I824" s="198">
        <f t="shared" si="45"/>
        <v>1.91988744487101E-8</v>
      </c>
      <c r="J824" s="56" t="s">
        <v>41</v>
      </c>
      <c r="K824" s="53"/>
      <c r="L824" s="50" t="s">
        <v>94</v>
      </c>
      <c r="M824" s="379">
        <f t="shared" si="46"/>
        <v>1</v>
      </c>
      <c r="N824" s="421" t="s">
        <v>81</v>
      </c>
      <c r="O824" s="421"/>
      <c r="P824" s="421"/>
      <c r="Q824" s="2"/>
      <c r="R824" s="2"/>
      <c r="S824" s="2"/>
      <c r="T824" s="2"/>
      <c r="U824" s="2"/>
      <c r="V824" s="2"/>
      <c r="W824" s="2"/>
      <c r="X824" s="26"/>
      <c r="Y824" s="26"/>
    </row>
    <row r="825" spans="1:25" x14ac:dyDescent="0.25">
      <c r="A825" s="2"/>
      <c r="B825" s="9"/>
      <c r="C825" s="262" t="str">
        <f t="shared" ref="C825:C856" si="47">C219</f>
        <v>trimetben124</v>
      </c>
      <c r="D825" s="55" t="str">
        <f>VLOOKUP(C825,'Species Data'!$E$6:$F$92,2,FALSE)</f>
        <v>1,2,4-Trimethylbenzene [Group NMVOC to air]</v>
      </c>
      <c r="E825" s="61">
        <v>1</v>
      </c>
      <c r="F825" s="61" t="s">
        <v>41</v>
      </c>
      <c r="G825" s="51">
        <f t="shared" ca="1" si="41"/>
        <v>3.532396301311506E-7</v>
      </c>
      <c r="H825" s="335" t="s">
        <v>489</v>
      </c>
      <c r="I825" s="198">
        <f t="shared" ca="1" si="45"/>
        <v>3.532396301311506E-7</v>
      </c>
      <c r="J825" s="56" t="s">
        <v>41</v>
      </c>
      <c r="K825" s="53"/>
      <c r="L825" s="50" t="s">
        <v>94</v>
      </c>
      <c r="M825" s="379" t="str">
        <f t="shared" si="46"/>
        <v>1,2</v>
      </c>
      <c r="N825" s="421" t="s">
        <v>81</v>
      </c>
      <c r="O825" s="421"/>
      <c r="P825" s="421"/>
      <c r="Q825" s="2"/>
      <c r="R825" s="2"/>
      <c r="S825" s="2"/>
      <c r="T825" s="2"/>
      <c r="U825" s="2"/>
      <c r="V825" s="2"/>
      <c r="W825" s="2"/>
      <c r="X825" s="26"/>
      <c r="Y825" s="26"/>
    </row>
    <row r="826" spans="1:25" x14ac:dyDescent="0.25">
      <c r="A826" s="2"/>
      <c r="B826" s="9"/>
      <c r="C826" s="262" t="str">
        <f t="shared" si="47"/>
        <v>trimethben135</v>
      </c>
      <c r="D826" s="55" t="str">
        <f>VLOOKUP(C826,'Species Data'!$E$6:$F$92,2,FALSE)</f>
        <v>1,3,5-Trimethylbenzene [Group NMVOC to air]</v>
      </c>
      <c r="E826" s="61">
        <v>1</v>
      </c>
      <c r="F826" s="61" t="s">
        <v>41</v>
      </c>
      <c r="G826" s="51">
        <f t="shared" ca="1" si="41"/>
        <v>1.9371205523321157E-7</v>
      </c>
      <c r="H826" s="335" t="s">
        <v>489</v>
      </c>
      <c r="I826" s="198">
        <f t="shared" ca="1" si="45"/>
        <v>1.9371205523321157E-7</v>
      </c>
      <c r="J826" s="56" t="s">
        <v>41</v>
      </c>
      <c r="K826" s="53"/>
      <c r="L826" s="50" t="s">
        <v>94</v>
      </c>
      <c r="M826" s="379" t="str">
        <f t="shared" si="46"/>
        <v>1,2</v>
      </c>
      <c r="N826" s="421" t="s">
        <v>81</v>
      </c>
      <c r="O826" s="421"/>
      <c r="P826" s="421"/>
      <c r="Q826" s="2"/>
      <c r="R826" s="2"/>
      <c r="S826" s="2"/>
      <c r="T826" s="2"/>
      <c r="U826" s="2"/>
      <c r="V826" s="2"/>
      <c r="W826" s="2"/>
      <c r="X826" s="26"/>
      <c r="Y826" s="26"/>
    </row>
    <row r="827" spans="1:25" x14ac:dyDescent="0.25">
      <c r="A827" s="2"/>
      <c r="B827" s="9"/>
      <c r="C827" s="262" t="str">
        <f t="shared" si="47"/>
        <v>ethben12</v>
      </c>
      <c r="D827" s="55" t="str">
        <f>VLOOKUP(C827,'Species Data'!$E$6:$F$92,2,FALSE)</f>
        <v>ortho-Ethyltoluene [Group NMVOC to air]</v>
      </c>
      <c r="E827" s="61">
        <v>1</v>
      </c>
      <c r="F827" s="61" t="s">
        <v>41</v>
      </c>
      <c r="G827" s="51">
        <f t="shared" ca="1" si="41"/>
        <v>1.1394826778424209E-7</v>
      </c>
      <c r="H827" s="335" t="s">
        <v>489</v>
      </c>
      <c r="I827" s="198">
        <f t="shared" ca="1" si="45"/>
        <v>1.1394826778424209E-7</v>
      </c>
      <c r="J827" s="56" t="s">
        <v>41</v>
      </c>
      <c r="K827" s="53"/>
      <c r="L827" s="50" t="s">
        <v>94</v>
      </c>
      <c r="M827" s="379" t="str">
        <f t="shared" si="46"/>
        <v>1,2</v>
      </c>
      <c r="N827" s="421" t="s">
        <v>81</v>
      </c>
      <c r="O827" s="421"/>
      <c r="P827" s="421"/>
      <c r="Q827" s="2"/>
      <c r="R827" s="2"/>
      <c r="S827" s="2"/>
      <c r="T827" s="2"/>
      <c r="U827" s="2"/>
      <c r="V827" s="2"/>
      <c r="W827" s="2"/>
      <c r="X827" s="26"/>
      <c r="Y827" s="26"/>
    </row>
    <row r="828" spans="1:25" x14ac:dyDescent="0.25">
      <c r="A828" s="2"/>
      <c r="B828" s="9"/>
      <c r="C828" s="262" t="str">
        <f t="shared" si="47"/>
        <v>ethben13</v>
      </c>
      <c r="D828" s="55" t="str">
        <f>VLOOKUP(C828,'Species Data'!$E$6:$F$92,2,FALSE)</f>
        <v>meta-Ethyltoluene [Group NMVOC to air]</v>
      </c>
      <c r="E828" s="61">
        <v>1</v>
      </c>
      <c r="F828" s="61" t="s">
        <v>41</v>
      </c>
      <c r="G828" s="51">
        <f t="shared" ca="1" si="41"/>
        <v>2.5068618912533258E-7</v>
      </c>
      <c r="H828" s="335" t="s">
        <v>489</v>
      </c>
      <c r="I828" s="198">
        <f t="shared" ca="1" si="45"/>
        <v>2.5068618912533258E-7</v>
      </c>
      <c r="J828" s="56" t="s">
        <v>41</v>
      </c>
      <c r="K828" s="53"/>
      <c r="L828" s="50" t="s">
        <v>94</v>
      </c>
      <c r="M828" s="379" t="str">
        <f t="shared" si="46"/>
        <v>1,2</v>
      </c>
      <c r="N828" s="421" t="s">
        <v>81</v>
      </c>
      <c r="O828" s="421"/>
      <c r="P828" s="421"/>
      <c r="Q828" s="2"/>
      <c r="R828" s="2"/>
      <c r="S828" s="2"/>
      <c r="T828" s="2"/>
      <c r="U828" s="2"/>
      <c r="V828" s="2"/>
      <c r="W828" s="2"/>
      <c r="X828" s="26"/>
      <c r="Y828" s="26"/>
    </row>
    <row r="829" spans="1:25" x14ac:dyDescent="0.25">
      <c r="A829" s="2"/>
      <c r="B829" s="9"/>
      <c r="C829" s="262" t="str">
        <f t="shared" si="47"/>
        <v>trimetpen2</v>
      </c>
      <c r="D829" s="55" t="str">
        <f>VLOOKUP(C829,'Species Data'!$E$6:$F$92,2,FALSE)</f>
        <v>2,2,4-Trimethylpentane [Group NMVOC to air]</v>
      </c>
      <c r="E829" s="61">
        <v>1</v>
      </c>
      <c r="F829" s="61" t="s">
        <v>41</v>
      </c>
      <c r="G829" s="51">
        <f t="shared" ca="1" si="41"/>
        <v>0</v>
      </c>
      <c r="H829" s="335" t="s">
        <v>489</v>
      </c>
      <c r="I829" s="198">
        <f t="shared" ca="1" si="45"/>
        <v>0</v>
      </c>
      <c r="J829" s="56" t="s">
        <v>41</v>
      </c>
      <c r="K829" s="53"/>
      <c r="L829" s="50" t="s">
        <v>94</v>
      </c>
      <c r="M829" s="379" t="str">
        <f t="shared" si="46"/>
        <v>1,2</v>
      </c>
      <c r="N829" s="421" t="s">
        <v>81</v>
      </c>
      <c r="O829" s="421"/>
      <c r="P829" s="421"/>
      <c r="Q829" s="2"/>
      <c r="R829" s="2"/>
      <c r="S829" s="2"/>
      <c r="T829" s="2"/>
      <c r="U829" s="2"/>
      <c r="V829" s="2"/>
      <c r="W829" s="2"/>
      <c r="X829" s="26"/>
      <c r="Y829" s="26"/>
    </row>
    <row r="830" spans="1:25" x14ac:dyDescent="0.25">
      <c r="A830" s="2"/>
      <c r="B830" s="9"/>
      <c r="C830" s="262" t="str">
        <f t="shared" si="47"/>
        <v>dimetbut22</v>
      </c>
      <c r="D830" s="55" t="str">
        <f>VLOOKUP(C830,'Species Data'!$E$6:$F$92,2,FALSE)</f>
        <v>2,2-Dimethylbutane [Group NMVOC to air]</v>
      </c>
      <c r="E830" s="61">
        <v>1</v>
      </c>
      <c r="F830" s="61" t="s">
        <v>41</v>
      </c>
      <c r="G830" s="51">
        <f t="shared" ca="1" si="41"/>
        <v>7.9763787448969477E-8</v>
      </c>
      <c r="H830" s="335" t="s">
        <v>489</v>
      </c>
      <c r="I830" s="198">
        <f t="shared" ca="1" si="45"/>
        <v>7.9763787448969477E-8</v>
      </c>
      <c r="J830" s="56" t="s">
        <v>41</v>
      </c>
      <c r="K830" s="53"/>
      <c r="L830" s="50" t="s">
        <v>94</v>
      </c>
      <c r="M830" s="379" t="str">
        <f t="shared" si="46"/>
        <v>1,2</v>
      </c>
      <c r="N830" s="421" t="s">
        <v>81</v>
      </c>
      <c r="O830" s="421"/>
      <c r="P830" s="421"/>
      <c r="Q830" s="2"/>
      <c r="R830" s="2"/>
      <c r="S830" s="2"/>
      <c r="T830" s="2"/>
      <c r="U830" s="2"/>
      <c r="V830" s="2"/>
      <c r="W830" s="2"/>
      <c r="X830" s="26"/>
      <c r="Y830" s="26"/>
    </row>
    <row r="831" spans="1:25" x14ac:dyDescent="0.25">
      <c r="A831" s="2"/>
      <c r="B831" s="9"/>
      <c r="C831" s="262" t="str">
        <f t="shared" si="47"/>
        <v>trimentpen3</v>
      </c>
      <c r="D831" s="55" t="str">
        <f>VLOOKUP(C831,'Species Data'!$E$6:$F$92,2,FALSE)</f>
        <v>2,3,4-Trimethylpentane [Group NMVOC to air]</v>
      </c>
      <c r="E831" s="61">
        <v>1</v>
      </c>
      <c r="F831" s="61" t="s">
        <v>41</v>
      </c>
      <c r="G831" s="51">
        <f t="shared" ca="1" si="41"/>
        <v>6.8368960670545266E-7</v>
      </c>
      <c r="H831" s="335" t="s">
        <v>489</v>
      </c>
      <c r="I831" s="198">
        <f t="shared" ca="1" si="45"/>
        <v>6.8368960670545266E-7</v>
      </c>
      <c r="J831" s="56" t="s">
        <v>41</v>
      </c>
      <c r="K831" s="53"/>
      <c r="L831" s="50" t="s">
        <v>94</v>
      </c>
      <c r="M831" s="379" t="str">
        <f t="shared" si="46"/>
        <v>1,2</v>
      </c>
      <c r="N831" s="421" t="s">
        <v>81</v>
      </c>
      <c r="O831" s="421"/>
      <c r="P831" s="421"/>
      <c r="Q831" s="2"/>
      <c r="R831" s="2"/>
      <c r="S831" s="2"/>
      <c r="T831" s="2"/>
      <c r="U831" s="2"/>
      <c r="V831" s="2"/>
      <c r="W831" s="2"/>
      <c r="X831" s="26"/>
      <c r="Y831" s="26"/>
    </row>
    <row r="832" spans="1:25" ht="15" customHeight="1" x14ac:dyDescent="0.25">
      <c r="A832" s="2"/>
      <c r="B832" s="9"/>
      <c r="C832" s="262" t="str">
        <f t="shared" si="47"/>
        <v>dimetbut</v>
      </c>
      <c r="D832" s="55" t="str">
        <f>VLOOKUP(C832,'Species Data'!$E$6:$F$92,2,FALSE)</f>
        <v>2,3-Dimethylbutane [Group NMVOC to air]</v>
      </c>
      <c r="E832" s="61">
        <v>1</v>
      </c>
      <c r="F832" s="61" t="s">
        <v>41</v>
      </c>
      <c r="G832" s="51">
        <f t="shared" ca="1" si="41"/>
        <v>3.532396301311506E-7</v>
      </c>
      <c r="H832" s="335" t="s">
        <v>489</v>
      </c>
      <c r="I832" s="198">
        <f t="shared" ca="1" si="45"/>
        <v>3.532396301311506E-7</v>
      </c>
      <c r="J832" s="56" t="s">
        <v>41</v>
      </c>
      <c r="K832" s="53"/>
      <c r="L832" s="50" t="s">
        <v>94</v>
      </c>
      <c r="M832" s="379" t="str">
        <f t="shared" si="46"/>
        <v>1,2</v>
      </c>
      <c r="N832" s="421" t="s">
        <v>81</v>
      </c>
      <c r="O832" s="421"/>
      <c r="P832" s="421"/>
      <c r="Q832" s="2"/>
      <c r="R832" s="2"/>
      <c r="S832" s="2"/>
      <c r="T832" s="2"/>
      <c r="U832" s="2"/>
      <c r="V832" s="2"/>
      <c r="W832" s="2"/>
      <c r="X832" s="26"/>
      <c r="Y832" s="26"/>
    </row>
    <row r="833" spans="1:25" ht="15" customHeight="1" x14ac:dyDescent="0.25">
      <c r="A833" s="2"/>
      <c r="B833" s="9"/>
      <c r="C833" s="262" t="str">
        <f t="shared" si="47"/>
        <v>dimethhex23</v>
      </c>
      <c r="D833" s="55" t="str">
        <f>VLOOKUP(C833,'Species Data'!$E$6:$F$92,2,FALSE)</f>
        <v>2,3-Dimethylhexane [Group NMVOC to air]</v>
      </c>
      <c r="E833" s="61">
        <v>1</v>
      </c>
      <c r="F833" s="61" t="s">
        <v>41</v>
      </c>
      <c r="G833" s="51">
        <f t="shared" ca="1" si="41"/>
        <v>0</v>
      </c>
      <c r="H833" s="335" t="s">
        <v>489</v>
      </c>
      <c r="I833" s="198">
        <f t="shared" ca="1" si="45"/>
        <v>0</v>
      </c>
      <c r="J833" s="56" t="s">
        <v>41</v>
      </c>
      <c r="K833" s="53"/>
      <c r="L833" s="50" t="s">
        <v>94</v>
      </c>
      <c r="M833" s="379" t="str">
        <f t="shared" si="46"/>
        <v>1,2</v>
      </c>
      <c r="N833" s="421" t="s">
        <v>81</v>
      </c>
      <c r="O833" s="421"/>
      <c r="P833" s="421"/>
      <c r="Q833" s="2"/>
      <c r="R833" s="2"/>
      <c r="S833" s="2"/>
      <c r="T833" s="2"/>
      <c r="U833" s="2"/>
      <c r="V833" s="2"/>
      <c r="W833" s="2"/>
      <c r="X833" s="26"/>
      <c r="Y833" s="26"/>
    </row>
    <row r="834" spans="1:25" ht="15" customHeight="1" x14ac:dyDescent="0.25">
      <c r="A834" s="2"/>
      <c r="B834" s="9"/>
      <c r="C834" s="262" t="str">
        <f t="shared" si="47"/>
        <v>dimetpen3</v>
      </c>
      <c r="D834" s="55" t="str">
        <f>VLOOKUP(C834,'Species Data'!$E$6:$F$92,2,FALSE)</f>
        <v>2,3 Dimethylpentane [Group NMVOC to air]</v>
      </c>
      <c r="E834" s="61">
        <v>1</v>
      </c>
      <c r="F834" s="61" t="s">
        <v>41</v>
      </c>
      <c r="G834" s="51">
        <f t="shared" ca="1" si="41"/>
        <v>1.1052981975071484E-6</v>
      </c>
      <c r="H834" s="335" t="s">
        <v>489</v>
      </c>
      <c r="I834" s="198">
        <f t="shared" ca="1" si="45"/>
        <v>1.1052981975071484E-6</v>
      </c>
      <c r="J834" s="56" t="s">
        <v>41</v>
      </c>
      <c r="K834" s="53"/>
      <c r="L834" s="50" t="s">
        <v>94</v>
      </c>
      <c r="M834" s="379" t="str">
        <f t="shared" si="46"/>
        <v>1,2</v>
      </c>
      <c r="N834" s="421" t="s">
        <v>81</v>
      </c>
      <c r="O834" s="421"/>
      <c r="P834" s="421"/>
      <c r="Q834" s="2"/>
      <c r="R834" s="2"/>
      <c r="S834" s="2"/>
      <c r="T834" s="2"/>
      <c r="U834" s="2"/>
      <c r="V834" s="2"/>
      <c r="W834" s="2"/>
      <c r="X834" s="26"/>
      <c r="Y834" s="26"/>
    </row>
    <row r="835" spans="1:25" ht="15" customHeight="1" x14ac:dyDescent="0.25">
      <c r="A835" s="2"/>
      <c r="B835" s="9"/>
      <c r="C835" s="262" t="str">
        <f t="shared" si="47"/>
        <v>dimethhex24</v>
      </c>
      <c r="D835" s="55" t="str">
        <f>VLOOKUP(C835,'Species Data'!$E$6:$F$92,2,FALSE)</f>
        <v>2,4-Dimethylhexane [Group NMVOC to air]</v>
      </c>
      <c r="E835" s="61">
        <v>1</v>
      </c>
      <c r="F835" s="61" t="s">
        <v>41</v>
      </c>
      <c r="G835" s="51">
        <f t="shared" ca="1" si="41"/>
        <v>0</v>
      </c>
      <c r="H835" s="335" t="s">
        <v>489</v>
      </c>
      <c r="I835" s="198">
        <f t="shared" ca="1" si="45"/>
        <v>0</v>
      </c>
      <c r="J835" s="56" t="s">
        <v>41</v>
      </c>
      <c r="K835" s="53"/>
      <c r="L835" s="50" t="s">
        <v>94</v>
      </c>
      <c r="M835" s="379" t="str">
        <f t="shared" si="46"/>
        <v>1,2</v>
      </c>
      <c r="N835" s="421" t="s">
        <v>81</v>
      </c>
      <c r="O835" s="421"/>
      <c r="P835" s="421"/>
      <c r="Q835" s="2"/>
      <c r="R835" s="2"/>
      <c r="S835" s="2"/>
      <c r="T835" s="2"/>
      <c r="U835" s="2"/>
      <c r="V835" s="2"/>
      <c r="W835" s="2"/>
      <c r="X835" s="26"/>
      <c r="Y835" s="26"/>
    </row>
    <row r="836" spans="1:25" ht="15" customHeight="1" x14ac:dyDescent="0.25">
      <c r="A836" s="2"/>
      <c r="B836" s="9"/>
      <c r="C836" s="262" t="str">
        <f t="shared" si="47"/>
        <v>dimetpen4</v>
      </c>
      <c r="D836" s="55" t="str">
        <f>VLOOKUP(C836,'Species Data'!$E$6:$F$92,2,FALSE)</f>
        <v>2,4-Dimethylpentane [Group NMVOC to air]</v>
      </c>
      <c r="E836" s="61">
        <v>1</v>
      </c>
      <c r="F836" s="61" t="s">
        <v>41</v>
      </c>
      <c r="G836" s="51">
        <f t="shared" ca="1" si="41"/>
        <v>6.1532064603490728E-7</v>
      </c>
      <c r="H836" s="335" t="s">
        <v>489</v>
      </c>
      <c r="I836" s="198">
        <f t="shared" ca="1" si="45"/>
        <v>6.1532064603490728E-7</v>
      </c>
      <c r="J836" s="56" t="s">
        <v>41</v>
      </c>
      <c r="K836" s="53"/>
      <c r="L836" s="50" t="s">
        <v>94</v>
      </c>
      <c r="M836" s="379" t="str">
        <f t="shared" si="46"/>
        <v>1,2</v>
      </c>
      <c r="N836" s="421" t="s">
        <v>81</v>
      </c>
      <c r="O836" s="421"/>
      <c r="P836" s="421"/>
      <c r="Q836" s="2"/>
      <c r="R836" s="2"/>
      <c r="S836" s="2"/>
      <c r="T836" s="2"/>
      <c r="U836" s="2"/>
      <c r="V836" s="2"/>
      <c r="W836" s="2"/>
      <c r="X836" s="26"/>
      <c r="Y836" s="26"/>
    </row>
    <row r="837" spans="1:25" ht="15" customHeight="1" x14ac:dyDescent="0.25">
      <c r="A837" s="2"/>
      <c r="B837" s="9"/>
      <c r="C837" s="262" t="str">
        <f t="shared" si="47"/>
        <v>methep2</v>
      </c>
      <c r="D837" s="55" t="str">
        <f>VLOOKUP(C837,'Species Data'!$E$6:$F$92,2,FALSE)</f>
        <v>2-Methylheptane [Group NMVOC to air]</v>
      </c>
      <c r="E837" s="61">
        <v>1</v>
      </c>
      <c r="F837" s="61" t="s">
        <v>41</v>
      </c>
      <c r="G837" s="51">
        <f t="shared" ref="G837:G868" ca="1" si="48">IF($C837="",1,VLOOKUP($C837,$C$22:$H$790,3,FALSE))</f>
        <v>3.646344569095747E-7</v>
      </c>
      <c r="H837" s="335" t="s">
        <v>489</v>
      </c>
      <c r="I837" s="198">
        <f t="shared" ca="1" si="45"/>
        <v>3.646344569095747E-7</v>
      </c>
      <c r="J837" s="56" t="s">
        <v>41</v>
      </c>
      <c r="K837" s="53"/>
      <c r="L837" s="50" t="s">
        <v>94</v>
      </c>
      <c r="M837" s="379" t="str">
        <f t="shared" si="46"/>
        <v>1,2</v>
      </c>
      <c r="N837" s="421" t="s">
        <v>81</v>
      </c>
      <c r="O837" s="421"/>
      <c r="P837" s="421"/>
      <c r="Q837" s="2"/>
      <c r="R837" s="2"/>
      <c r="S837" s="2"/>
      <c r="T837" s="2"/>
      <c r="U837" s="2"/>
      <c r="V837" s="2"/>
      <c r="W837" s="2"/>
      <c r="X837" s="26"/>
      <c r="Y837" s="26"/>
    </row>
    <row r="838" spans="1:25" ht="15" customHeight="1" x14ac:dyDescent="0.25">
      <c r="A838" s="2"/>
      <c r="B838" s="9"/>
      <c r="C838" s="262" t="str">
        <f t="shared" si="47"/>
        <v>twomethex</v>
      </c>
      <c r="D838" s="55" t="str">
        <f>VLOOKUP(C838,'Species Data'!$E$6:$F$92,2,FALSE)</f>
        <v>2-Methylhexane [Group NMVOC to air]</v>
      </c>
      <c r="E838" s="61">
        <v>1</v>
      </c>
      <c r="F838" s="61" t="s">
        <v>41</v>
      </c>
      <c r="G838" s="51">
        <f t="shared" ca="1" si="48"/>
        <v>5.0137237825066515E-7</v>
      </c>
      <c r="H838" s="335" t="s">
        <v>489</v>
      </c>
      <c r="I838" s="198">
        <f t="shared" ca="1" si="45"/>
        <v>5.0137237825066515E-7</v>
      </c>
      <c r="J838" s="56" t="s">
        <v>41</v>
      </c>
      <c r="K838" s="53"/>
      <c r="L838" s="50" t="s">
        <v>94</v>
      </c>
      <c r="M838" s="379" t="str">
        <f t="shared" si="46"/>
        <v>1,2</v>
      </c>
      <c r="N838" s="421" t="s">
        <v>81</v>
      </c>
      <c r="O838" s="421"/>
      <c r="P838" s="421"/>
      <c r="Q838" s="2"/>
      <c r="R838" s="2"/>
      <c r="S838" s="2"/>
      <c r="T838" s="2"/>
      <c r="U838" s="2"/>
      <c r="V838" s="2"/>
      <c r="W838" s="2"/>
      <c r="X838" s="26"/>
      <c r="Y838" s="26"/>
    </row>
    <row r="839" spans="1:25" ht="15" customHeight="1" x14ac:dyDescent="0.25">
      <c r="A839" s="2"/>
      <c r="B839" s="9"/>
      <c r="C839" s="262" t="str">
        <f t="shared" si="47"/>
        <v>twometpen</v>
      </c>
      <c r="D839" s="55" t="str">
        <f>VLOOKUP(C839,'Species Data'!$E$6:$F$92,2,FALSE)</f>
        <v>2-Methylpentane [Group NMVOC to air]</v>
      </c>
      <c r="E839" s="61">
        <v>1</v>
      </c>
      <c r="F839" s="61" t="s">
        <v>41</v>
      </c>
      <c r="G839" s="51">
        <f t="shared" ca="1" si="48"/>
        <v>1.3331947330756327E-6</v>
      </c>
      <c r="H839" s="335" t="s">
        <v>489</v>
      </c>
      <c r="I839" s="198">
        <f t="shared" ca="1" si="45"/>
        <v>1.3331947330756327E-6</v>
      </c>
      <c r="J839" s="56" t="s">
        <v>41</v>
      </c>
      <c r="K839" s="53"/>
      <c r="L839" s="50" t="s">
        <v>94</v>
      </c>
      <c r="M839" s="379" t="str">
        <f t="shared" si="46"/>
        <v>1,2</v>
      </c>
      <c r="N839" s="421" t="s">
        <v>81</v>
      </c>
      <c r="O839" s="421"/>
      <c r="P839" s="421"/>
      <c r="Q839" s="2"/>
      <c r="R839" s="2"/>
      <c r="S839" s="2"/>
      <c r="T839" s="2"/>
      <c r="U839" s="2"/>
      <c r="V839" s="2"/>
      <c r="W839" s="2"/>
      <c r="X839" s="26"/>
      <c r="Y839" s="26"/>
    </row>
    <row r="840" spans="1:25" ht="15" customHeight="1" x14ac:dyDescent="0.25">
      <c r="A840" s="2"/>
      <c r="B840" s="9"/>
      <c r="C840" s="262" t="str">
        <f t="shared" si="47"/>
        <v>methep3</v>
      </c>
      <c r="D840" s="55" t="str">
        <f>VLOOKUP(C840,'Species Data'!$E$6:$F$92,2,FALSE)</f>
        <v>3-Methylheptane [Group NMVOC to air]</v>
      </c>
      <c r="E840" s="61">
        <v>1</v>
      </c>
      <c r="F840" s="61" t="s">
        <v>41</v>
      </c>
      <c r="G840" s="51">
        <f t="shared" ca="1" si="48"/>
        <v>2.1650170879005996E-7</v>
      </c>
      <c r="H840" s="335" t="s">
        <v>489</v>
      </c>
      <c r="I840" s="198">
        <f t="shared" ca="1" si="45"/>
        <v>2.1650170879005996E-7</v>
      </c>
      <c r="J840" s="56" t="s">
        <v>41</v>
      </c>
      <c r="K840" s="53"/>
      <c r="L840" s="50" t="s">
        <v>94</v>
      </c>
      <c r="M840" s="379" t="str">
        <f t="shared" si="46"/>
        <v>1,2</v>
      </c>
      <c r="N840" s="421" t="s">
        <v>81</v>
      </c>
      <c r="O840" s="421"/>
      <c r="P840" s="421"/>
      <c r="Q840" s="2"/>
      <c r="R840" s="2"/>
      <c r="S840" s="2"/>
      <c r="T840" s="2"/>
      <c r="U840" s="2"/>
      <c r="V840" s="2"/>
      <c r="W840" s="2"/>
      <c r="X840" s="26"/>
      <c r="Y840" s="26"/>
    </row>
    <row r="841" spans="1:25" ht="15" customHeight="1" x14ac:dyDescent="0.25">
      <c r="A841" s="2"/>
      <c r="B841" s="9"/>
      <c r="C841" s="262" t="str">
        <f t="shared" si="47"/>
        <v>threemethex</v>
      </c>
      <c r="D841" s="55" t="str">
        <f>VLOOKUP(C841,'Species Data'!$E$6:$F$92,2,FALSE)</f>
        <v>3-Methylhexane [Group NMVOC to air]</v>
      </c>
      <c r="E841" s="61">
        <v>1</v>
      </c>
      <c r="F841" s="61" t="s">
        <v>41</v>
      </c>
      <c r="G841" s="51">
        <f t="shared" ca="1" si="48"/>
        <v>5.355568585859379E-7</v>
      </c>
      <c r="H841" s="335" t="s">
        <v>489</v>
      </c>
      <c r="I841" s="198">
        <f t="shared" ca="1" si="45"/>
        <v>5.355568585859379E-7</v>
      </c>
      <c r="J841" s="56" t="s">
        <v>41</v>
      </c>
      <c r="K841" s="53"/>
      <c r="L841" s="50" t="s">
        <v>94</v>
      </c>
      <c r="M841" s="379" t="str">
        <f t="shared" si="46"/>
        <v>1,2</v>
      </c>
      <c r="N841" s="421" t="s">
        <v>81</v>
      </c>
      <c r="O841" s="421"/>
      <c r="P841" s="421"/>
      <c r="Q841" s="2"/>
      <c r="R841" s="2"/>
      <c r="S841" s="2"/>
      <c r="T841" s="2"/>
      <c r="U841" s="2"/>
      <c r="V841" s="2"/>
      <c r="W841" s="2"/>
      <c r="X841" s="26"/>
      <c r="Y841" s="26"/>
    </row>
    <row r="842" spans="1:25" ht="15" customHeight="1" x14ac:dyDescent="0.25">
      <c r="A842" s="2"/>
      <c r="B842" s="9"/>
      <c r="C842" s="262" t="str">
        <f t="shared" si="47"/>
        <v>threemetpen</v>
      </c>
      <c r="D842" s="55" t="str">
        <f>VLOOKUP(C842,'Species Data'!$E$6:$F$92,2,FALSE)</f>
        <v>3-Methylpentane [Group NMVOC to air]</v>
      </c>
      <c r="E842" s="61">
        <v>1</v>
      </c>
      <c r="F842" s="61" t="s">
        <v>41</v>
      </c>
      <c r="G842" s="51">
        <f t="shared" ca="1" si="48"/>
        <v>7.7484822093284626E-7</v>
      </c>
      <c r="H842" s="335" t="s">
        <v>489</v>
      </c>
      <c r="I842" s="198">
        <f t="shared" ca="1" si="45"/>
        <v>7.7484822093284626E-7</v>
      </c>
      <c r="J842" s="56" t="s">
        <v>41</v>
      </c>
      <c r="K842" s="53"/>
      <c r="L842" s="50" t="s">
        <v>94</v>
      </c>
      <c r="M842" s="379" t="str">
        <f t="shared" si="46"/>
        <v>1,2</v>
      </c>
      <c r="N842" s="421" t="s">
        <v>81</v>
      </c>
      <c r="O842" s="421"/>
      <c r="P842" s="421"/>
      <c r="Q842" s="2"/>
      <c r="R842" s="2"/>
      <c r="S842" s="2"/>
      <c r="T842" s="2"/>
      <c r="U842" s="2"/>
      <c r="V842" s="2"/>
      <c r="W842" s="2"/>
      <c r="X842" s="26"/>
      <c r="Y842" s="26"/>
    </row>
    <row r="843" spans="1:25" ht="15" customHeight="1" x14ac:dyDescent="0.25">
      <c r="A843" s="2"/>
      <c r="B843" s="9"/>
      <c r="C843" s="262" t="str">
        <f t="shared" si="47"/>
        <v>benzene</v>
      </c>
      <c r="D843" s="55" t="str">
        <f>VLOOKUP(C843,'Species Data'!$E$6:$F$92,2,FALSE)</f>
        <v>Benzene [Group NMVOC to air]</v>
      </c>
      <c r="E843" s="61">
        <v>1</v>
      </c>
      <c r="F843" s="61" t="s">
        <v>41</v>
      </c>
      <c r="G843" s="51">
        <f t="shared" ca="1" si="48"/>
        <v>1.1736671581776935E-6</v>
      </c>
      <c r="H843" s="335" t="s">
        <v>489</v>
      </c>
      <c r="I843" s="198">
        <f t="shared" ca="1" si="45"/>
        <v>1.1736671581776935E-6</v>
      </c>
      <c r="J843" s="56" t="s">
        <v>41</v>
      </c>
      <c r="K843" s="53"/>
      <c r="L843" s="50" t="s">
        <v>94</v>
      </c>
      <c r="M843" s="379">
        <f t="shared" si="46"/>
        <v>2</v>
      </c>
      <c r="N843" s="421" t="s">
        <v>81</v>
      </c>
      <c r="O843" s="421"/>
      <c r="P843" s="421"/>
      <c r="Q843" s="2"/>
      <c r="R843" s="2"/>
      <c r="S843" s="2"/>
      <c r="T843" s="2"/>
      <c r="U843" s="2"/>
      <c r="V843" s="2"/>
      <c r="W843" s="2"/>
      <c r="X843" s="26"/>
      <c r="Y843" s="26"/>
    </row>
    <row r="844" spans="1:25" ht="15" customHeight="1" x14ac:dyDescent="0.25">
      <c r="A844" s="2"/>
      <c r="B844" s="9"/>
      <c r="C844" s="262" t="str">
        <f t="shared" si="47"/>
        <v>cyclohexane</v>
      </c>
      <c r="D844" s="55" t="str">
        <f>VLOOKUP(C844,'Species Data'!$E$6:$F$92,2,FALSE)</f>
        <v>Cyclohexane (hexahydro benzene) [Group NMVOC to air]</v>
      </c>
      <c r="E844" s="61">
        <v>1</v>
      </c>
      <c r="F844" s="61" t="s">
        <v>41</v>
      </c>
      <c r="G844" s="51">
        <f t="shared" ca="1" si="48"/>
        <v>5.4695168536436211E-7</v>
      </c>
      <c r="H844" s="335" t="s">
        <v>489</v>
      </c>
      <c r="I844" s="198">
        <f t="shared" ca="1" si="45"/>
        <v>5.4695168536436211E-7</v>
      </c>
      <c r="J844" s="56" t="s">
        <v>41</v>
      </c>
      <c r="K844" s="53"/>
      <c r="L844" s="50" t="s">
        <v>94</v>
      </c>
      <c r="M844" s="379" t="str">
        <f t="shared" si="46"/>
        <v>1,2</v>
      </c>
      <c r="N844" s="421" t="s">
        <v>81</v>
      </c>
      <c r="O844" s="421"/>
      <c r="P844" s="421"/>
      <c r="Q844" s="2"/>
      <c r="R844" s="2"/>
      <c r="S844" s="2"/>
      <c r="T844" s="2"/>
      <c r="U844" s="2"/>
      <c r="V844" s="2"/>
      <c r="W844" s="2"/>
      <c r="X844" s="26"/>
      <c r="Y844" s="26"/>
    </row>
    <row r="845" spans="1:25" ht="15" customHeight="1" x14ac:dyDescent="0.25">
      <c r="A845" s="2"/>
      <c r="B845" s="9"/>
      <c r="C845" s="262" t="str">
        <f t="shared" si="47"/>
        <v>cyclopentane</v>
      </c>
      <c r="D845" s="55" t="str">
        <f>VLOOKUP(C845,'Species Data'!$E$6:$F$92,2,FALSE)</f>
        <v>Cyclopentane [Group NMVOC to air]</v>
      </c>
      <c r="E845" s="61">
        <v>1</v>
      </c>
      <c r="F845" s="61" t="s">
        <v>41</v>
      </c>
      <c r="G845" s="51">
        <f t="shared" ca="1" si="48"/>
        <v>4.3300341758011993E-7</v>
      </c>
      <c r="H845" s="335" t="s">
        <v>489</v>
      </c>
      <c r="I845" s="198">
        <f t="shared" ca="1" si="45"/>
        <v>4.3300341758011993E-7</v>
      </c>
      <c r="J845" s="56" t="s">
        <v>41</v>
      </c>
      <c r="K845" s="53"/>
      <c r="L845" s="50" t="s">
        <v>94</v>
      </c>
      <c r="M845" s="379" t="str">
        <f t="shared" si="46"/>
        <v>1,2</v>
      </c>
      <c r="N845" s="421" t="s">
        <v>81</v>
      </c>
      <c r="O845" s="421"/>
      <c r="P845" s="421"/>
      <c r="Q845" s="2"/>
      <c r="R845" s="2"/>
      <c r="S845" s="2"/>
      <c r="T845" s="2"/>
      <c r="U845" s="2"/>
      <c r="V845" s="2"/>
      <c r="W845" s="2"/>
      <c r="X845" s="26"/>
      <c r="Y845" s="26"/>
    </row>
    <row r="846" spans="1:25" ht="15" customHeight="1" x14ac:dyDescent="0.25">
      <c r="A846" s="2"/>
      <c r="B846" s="9"/>
      <c r="C846" s="262" t="str">
        <f t="shared" si="47"/>
        <v>ethyl_benz</v>
      </c>
      <c r="D846" s="55" t="str">
        <f>VLOOKUP(C846,'Species Data'!$E$6:$F$92,2,FALSE)</f>
        <v>Ethyl benzene [Group NMVOC to air]</v>
      </c>
      <c r="E846" s="61">
        <v>1</v>
      </c>
      <c r="F846" s="61" t="s">
        <v>41</v>
      </c>
      <c r="G846" s="51">
        <f t="shared" ca="1" si="48"/>
        <v>4.2160859080169582E-7</v>
      </c>
      <c r="H846" s="335" t="s">
        <v>489</v>
      </c>
      <c r="I846" s="198">
        <f t="shared" ca="1" si="45"/>
        <v>4.2160859080169582E-7</v>
      </c>
      <c r="J846" s="56" t="s">
        <v>41</v>
      </c>
      <c r="K846" s="53"/>
      <c r="L846" s="50" t="s">
        <v>94</v>
      </c>
      <c r="M846" s="379" t="str">
        <f t="shared" si="46"/>
        <v>1,2</v>
      </c>
      <c r="N846" s="421" t="s">
        <v>81</v>
      </c>
      <c r="O846" s="421"/>
      <c r="P846" s="421"/>
      <c r="Q846" s="2"/>
      <c r="R846" s="2"/>
      <c r="S846" s="2"/>
      <c r="T846" s="2"/>
      <c r="U846" s="2"/>
      <c r="V846" s="2"/>
      <c r="W846" s="2"/>
      <c r="X846" s="26"/>
      <c r="Y846" s="26"/>
    </row>
    <row r="847" spans="1:25" ht="15" customHeight="1" x14ac:dyDescent="0.25">
      <c r="A847" s="2"/>
      <c r="B847" s="9"/>
      <c r="C847" s="262" t="str">
        <f t="shared" si="47"/>
        <v>ethcyclhex</v>
      </c>
      <c r="D847" s="55" t="str">
        <f>VLOOKUP(C847,'Species Data'!$E$6:$F$92,2,FALSE)</f>
        <v>Ethyl cyclohexane [Group NMVOC to air]</v>
      </c>
      <c r="E847" s="61">
        <v>1</v>
      </c>
      <c r="F847" s="61" t="s">
        <v>41</v>
      </c>
      <c r="G847" s="51">
        <f t="shared" ca="1" si="48"/>
        <v>0</v>
      </c>
      <c r="H847" s="335" t="s">
        <v>489</v>
      </c>
      <c r="I847" s="198">
        <f t="shared" ca="1" si="45"/>
        <v>0</v>
      </c>
      <c r="J847" s="56" t="s">
        <v>41</v>
      </c>
      <c r="K847" s="53"/>
      <c r="L847" s="50" t="s">
        <v>94</v>
      </c>
      <c r="M847" s="379" t="str">
        <f t="shared" si="46"/>
        <v>1,2</v>
      </c>
      <c r="N847" s="421" t="s">
        <v>81</v>
      </c>
      <c r="O847" s="421"/>
      <c r="P847" s="421"/>
      <c r="Q847" s="2"/>
      <c r="R847" s="2"/>
      <c r="S847" s="2"/>
      <c r="T847" s="2"/>
      <c r="U847" s="2"/>
      <c r="V847" s="2"/>
      <c r="W847" s="2"/>
      <c r="X847" s="26"/>
      <c r="Y847" s="26"/>
    </row>
    <row r="848" spans="1:25" ht="15" customHeight="1" x14ac:dyDescent="0.25">
      <c r="A848" s="2"/>
      <c r="B848" s="9"/>
      <c r="C848" s="262" t="str">
        <f t="shared" si="47"/>
        <v>isobut</v>
      </c>
      <c r="D848" s="55" t="str">
        <f>VLOOKUP(C848,'Species Data'!$E$6:$F$92,2,FALSE)</f>
        <v>iso-Butane [Group NMVOC to air]</v>
      </c>
      <c r="E848" s="61">
        <v>1</v>
      </c>
      <c r="F848" s="61" t="s">
        <v>41</v>
      </c>
      <c r="G848" s="51">
        <f t="shared" ca="1" si="48"/>
        <v>4.0793479866758665E-6</v>
      </c>
      <c r="H848" s="335" t="s">
        <v>489</v>
      </c>
      <c r="I848" s="198">
        <f t="shared" ca="1" si="45"/>
        <v>4.0793479866758665E-6</v>
      </c>
      <c r="J848" s="56" t="s">
        <v>41</v>
      </c>
      <c r="K848" s="53"/>
      <c r="L848" s="50" t="s">
        <v>94</v>
      </c>
      <c r="M848" s="379" t="str">
        <f t="shared" si="46"/>
        <v>1,2</v>
      </c>
      <c r="N848" s="421" t="s">
        <v>81</v>
      </c>
      <c r="O848" s="421"/>
      <c r="P848" s="421"/>
      <c r="Q848" s="2"/>
      <c r="R848" s="2"/>
      <c r="S848" s="2"/>
      <c r="T848" s="2"/>
      <c r="U848" s="2"/>
      <c r="V848" s="2"/>
      <c r="W848" s="2"/>
      <c r="X848" s="26"/>
      <c r="Y848" s="26"/>
    </row>
    <row r="849" spans="1:25" ht="15" customHeight="1" x14ac:dyDescent="0.25">
      <c r="A849" s="2"/>
      <c r="B849" s="9"/>
      <c r="C849" s="262" t="str">
        <f t="shared" si="47"/>
        <v>isopentane</v>
      </c>
      <c r="D849" s="55" t="str">
        <f>VLOOKUP(C849,'Species Data'!$E$6:$F$92,2,FALSE)</f>
        <v>iso-Pentane [Group NMVOC to air]</v>
      </c>
      <c r="E849" s="61">
        <v>1</v>
      </c>
      <c r="F849" s="61" t="s">
        <v>41</v>
      </c>
      <c r="G849" s="51">
        <f t="shared" ca="1" si="48"/>
        <v>3.3728687264135666E-6</v>
      </c>
      <c r="H849" s="335" t="s">
        <v>489</v>
      </c>
      <c r="I849" s="198">
        <f t="shared" ca="1" si="45"/>
        <v>3.3728687264135666E-6</v>
      </c>
      <c r="J849" s="56" t="s">
        <v>41</v>
      </c>
      <c r="K849" s="53"/>
      <c r="L849" s="50" t="s">
        <v>94</v>
      </c>
      <c r="M849" s="379" t="str">
        <f t="shared" si="46"/>
        <v>1,2</v>
      </c>
      <c r="N849" s="421" t="s">
        <v>81</v>
      </c>
      <c r="O849" s="421"/>
      <c r="P849" s="421"/>
      <c r="Q849" s="2"/>
      <c r="R849" s="2"/>
      <c r="S849" s="2"/>
      <c r="T849" s="2"/>
      <c r="U849" s="2"/>
      <c r="V849" s="2"/>
      <c r="W849" s="2"/>
      <c r="X849" s="26"/>
      <c r="Y849" s="26"/>
    </row>
    <row r="850" spans="1:25" ht="15" customHeight="1" x14ac:dyDescent="0.25">
      <c r="A850" s="2"/>
      <c r="B850" s="9"/>
      <c r="C850" s="262" t="str">
        <f t="shared" si="47"/>
        <v>isopben</v>
      </c>
      <c r="D850" s="55" t="str">
        <f>VLOOKUP(C850,'Species Data'!$E$6:$F$92,2,FALSE)</f>
        <v>Cumene (isopropylbenzene) [Group NMVOC to air]</v>
      </c>
      <c r="E850" s="61">
        <v>1</v>
      </c>
      <c r="F850" s="61" t="s">
        <v>41</v>
      </c>
      <c r="G850" s="51">
        <f t="shared" ca="1" si="48"/>
        <v>1.5952757489793895E-7</v>
      </c>
      <c r="H850" s="335" t="s">
        <v>489</v>
      </c>
      <c r="I850" s="198">
        <f t="shared" ca="1" si="45"/>
        <v>1.5952757489793895E-7</v>
      </c>
      <c r="J850" s="56" t="s">
        <v>41</v>
      </c>
      <c r="K850" s="53"/>
      <c r="L850" s="50" t="s">
        <v>94</v>
      </c>
      <c r="M850" s="379" t="str">
        <f t="shared" si="46"/>
        <v>1,2</v>
      </c>
      <c r="N850" s="421" t="s">
        <v>81</v>
      </c>
      <c r="O850" s="421"/>
      <c r="P850" s="421"/>
      <c r="Q850" s="2"/>
      <c r="R850" s="2"/>
      <c r="S850" s="2"/>
      <c r="T850" s="2"/>
      <c r="U850" s="2"/>
      <c r="V850" s="2"/>
      <c r="W850" s="2"/>
      <c r="X850" s="26"/>
      <c r="Y850" s="26"/>
    </row>
    <row r="851" spans="1:25" x14ac:dyDescent="0.25">
      <c r="A851" s="2"/>
      <c r="B851" s="9"/>
      <c r="C851" s="262" t="str">
        <f t="shared" si="47"/>
        <v>xylene</v>
      </c>
      <c r="D851" s="55" t="str">
        <f>VLOOKUP(C851,'Species Data'!$E$6:$F$92,2,FALSE)</f>
        <v>Xylene (dimethyl benzene) [Group NMVOC to air]</v>
      </c>
      <c r="E851" s="61">
        <v>1</v>
      </c>
      <c r="F851" s="61" t="s">
        <v>41</v>
      </c>
      <c r="G851" s="51">
        <f t="shared" ca="1" si="48"/>
        <v>8.4321718160339164E-7</v>
      </c>
      <c r="H851" s="335" t="s">
        <v>489</v>
      </c>
      <c r="I851" s="198">
        <f t="shared" ca="1" si="45"/>
        <v>8.4321718160339164E-7</v>
      </c>
      <c r="J851" s="56" t="s">
        <v>41</v>
      </c>
      <c r="K851" s="53"/>
      <c r="L851" s="50" t="s">
        <v>94</v>
      </c>
      <c r="M851" s="379" t="str">
        <f t="shared" si="46"/>
        <v>3,4,8</v>
      </c>
      <c r="N851" s="421" t="s">
        <v>81</v>
      </c>
      <c r="O851" s="421"/>
      <c r="P851" s="421"/>
      <c r="Q851" s="2"/>
      <c r="R851" s="2"/>
      <c r="S851" s="2"/>
      <c r="T851" s="2"/>
      <c r="U851" s="2"/>
      <c r="V851" s="2"/>
      <c r="W851" s="2"/>
      <c r="X851" s="26"/>
      <c r="Y851" s="26"/>
    </row>
    <row r="852" spans="1:25" x14ac:dyDescent="0.25">
      <c r="A852" s="2"/>
      <c r="B852" s="9"/>
      <c r="C852" s="262" t="str">
        <f t="shared" si="47"/>
        <v>M_xylene</v>
      </c>
      <c r="D852" s="55" t="str">
        <f>VLOOKUP(C852,'Species Data'!$E$6:$F$92,2,FALSE)</f>
        <v>m-Xylene [unspecified]</v>
      </c>
      <c r="E852" s="61">
        <v>1</v>
      </c>
      <c r="F852" s="61" t="s">
        <v>41</v>
      </c>
      <c r="G852" s="51">
        <f t="shared" ca="1" si="48"/>
        <v>0</v>
      </c>
      <c r="H852" s="335" t="s">
        <v>489</v>
      </c>
      <c r="I852" s="198">
        <f t="shared" ca="1" si="45"/>
        <v>0</v>
      </c>
      <c r="J852" s="56" t="s">
        <v>41</v>
      </c>
      <c r="K852" s="53"/>
      <c r="L852" s="50" t="s">
        <v>94</v>
      </c>
      <c r="M852" s="379" t="str">
        <f t="shared" si="46"/>
        <v>1,2</v>
      </c>
      <c r="N852" s="421" t="s">
        <v>81</v>
      </c>
      <c r="O852" s="421"/>
      <c r="P852" s="421"/>
      <c r="Q852" s="2"/>
      <c r="R852" s="2"/>
      <c r="S852" s="2"/>
      <c r="T852" s="2"/>
      <c r="U852" s="2"/>
      <c r="V852" s="2"/>
      <c r="W852" s="2"/>
      <c r="X852" s="26"/>
      <c r="Y852" s="26"/>
    </row>
    <row r="853" spans="1:25" x14ac:dyDescent="0.25">
      <c r="A853" s="2"/>
      <c r="B853" s="9"/>
      <c r="C853" s="262" t="str">
        <f t="shared" si="47"/>
        <v>methcychex</v>
      </c>
      <c r="D853" s="55" t="str">
        <f>VLOOKUP(C853,'Species Data'!$E$6:$F$92,2,FALSE)</f>
        <v>Methyl cyclohexane [Group NMVOC to air]</v>
      </c>
      <c r="E853" s="61">
        <v>1</v>
      </c>
      <c r="F853" s="61" t="s">
        <v>41</v>
      </c>
      <c r="G853" s="51">
        <f t="shared" ca="1" si="48"/>
        <v>7.064792602623012E-7</v>
      </c>
      <c r="H853" s="335" t="s">
        <v>489</v>
      </c>
      <c r="I853" s="198">
        <f t="shared" ca="1" si="45"/>
        <v>7.064792602623012E-7</v>
      </c>
      <c r="J853" s="56" t="s">
        <v>41</v>
      </c>
      <c r="K853" s="53"/>
      <c r="L853" s="50" t="s">
        <v>94</v>
      </c>
      <c r="M853" s="379" t="str">
        <f t="shared" ref="M853:M872" si="49">VLOOKUP(C853,$C$23:$I$790,7)</f>
        <v>1,2</v>
      </c>
      <c r="N853" s="421" t="s">
        <v>81</v>
      </c>
      <c r="O853" s="421"/>
      <c r="P853" s="421"/>
      <c r="Q853" s="2"/>
      <c r="R853" s="2"/>
      <c r="S853" s="2"/>
      <c r="T853" s="2"/>
      <c r="U853" s="2"/>
      <c r="V853" s="2"/>
      <c r="W853" s="2"/>
      <c r="X853" s="26"/>
      <c r="Y853" s="26"/>
    </row>
    <row r="854" spans="1:25" x14ac:dyDescent="0.25">
      <c r="A854" s="2"/>
      <c r="B854" s="9"/>
      <c r="C854" s="262" t="str">
        <f t="shared" si="47"/>
        <v>methcycpen</v>
      </c>
      <c r="D854" s="55" t="str">
        <f>VLOOKUP(C854,'Species Data'!$E$6:$F$92,2,FALSE)</f>
        <v>Methyl cyclopentane [Group NMVOC to air]</v>
      </c>
      <c r="E854" s="61">
        <v>1</v>
      </c>
      <c r="F854" s="61" t="s">
        <v>41</v>
      </c>
      <c r="G854" s="51">
        <f t="shared" ca="1" si="48"/>
        <v>1.0825085439502998E-6</v>
      </c>
      <c r="H854" s="335" t="s">
        <v>489</v>
      </c>
      <c r="I854" s="198">
        <f t="shared" ca="1" si="45"/>
        <v>1.0825085439502998E-6</v>
      </c>
      <c r="J854" s="56" t="s">
        <v>41</v>
      </c>
      <c r="K854" s="53"/>
      <c r="L854" s="50" t="s">
        <v>94</v>
      </c>
      <c r="M854" s="379" t="str">
        <f t="shared" si="49"/>
        <v>1,2</v>
      </c>
      <c r="N854" s="421" t="s">
        <v>81</v>
      </c>
      <c r="O854" s="421"/>
      <c r="P854" s="421"/>
      <c r="Q854" s="2"/>
      <c r="R854" s="2"/>
      <c r="S854" s="2"/>
      <c r="T854" s="2"/>
      <c r="U854" s="2"/>
      <c r="V854" s="2"/>
      <c r="W854" s="2"/>
      <c r="X854" s="26"/>
      <c r="Y854" s="26"/>
    </row>
    <row r="855" spans="1:25" x14ac:dyDescent="0.25">
      <c r="A855" s="2"/>
      <c r="B855" s="9"/>
      <c r="C855" s="262" t="str">
        <f t="shared" si="47"/>
        <v>methpent</v>
      </c>
      <c r="D855" s="55" t="str">
        <f>VLOOKUP(C855,'Species Data'!$E$6:$F$92,2,FALSE)</f>
        <v>2-Methyl-1-pentene [Group NMVOC to air]</v>
      </c>
      <c r="E855" s="61">
        <v>1</v>
      </c>
      <c r="F855" s="61" t="s">
        <v>41</v>
      </c>
      <c r="G855" s="51">
        <f t="shared" ca="1" si="48"/>
        <v>0</v>
      </c>
      <c r="H855" s="335" t="s">
        <v>489</v>
      </c>
      <c r="I855" s="198">
        <f t="shared" ca="1" si="45"/>
        <v>0</v>
      </c>
      <c r="J855" s="56" t="s">
        <v>41</v>
      </c>
      <c r="K855" s="53"/>
      <c r="L855" s="50" t="s">
        <v>94</v>
      </c>
      <c r="M855" s="379" t="str">
        <f t="shared" si="49"/>
        <v>1,2</v>
      </c>
      <c r="N855" s="421" t="s">
        <v>81</v>
      </c>
      <c r="O855" s="421"/>
      <c r="P855" s="421"/>
      <c r="Q855" s="2"/>
      <c r="R855" s="2"/>
      <c r="S855" s="2"/>
      <c r="T855" s="2"/>
      <c r="U855" s="2"/>
      <c r="V855" s="2"/>
      <c r="W855" s="2"/>
      <c r="X855" s="26"/>
      <c r="Y855" s="26"/>
    </row>
    <row r="856" spans="1:25" x14ac:dyDescent="0.25">
      <c r="A856" s="2"/>
      <c r="B856" s="9"/>
      <c r="C856" s="262" t="str">
        <f t="shared" si="47"/>
        <v>N_but</v>
      </c>
      <c r="D856" s="55" t="str">
        <f>VLOOKUP(C856,'Species Data'!$E$6:$F$92,2,FALSE)</f>
        <v>Butane (n-butane) [Group NMVOC to air]</v>
      </c>
      <c r="E856" s="61">
        <v>1</v>
      </c>
      <c r="F856" s="61" t="s">
        <v>41</v>
      </c>
      <c r="G856" s="51">
        <f t="shared" ca="1" si="48"/>
        <v>1.0779506132389305E-5</v>
      </c>
      <c r="H856" s="335" t="s">
        <v>489</v>
      </c>
      <c r="I856" s="198">
        <f t="shared" ca="1" si="45"/>
        <v>1.0779506132389305E-5</v>
      </c>
      <c r="J856" s="56" t="s">
        <v>41</v>
      </c>
      <c r="K856" s="53"/>
      <c r="L856" s="50" t="s">
        <v>94</v>
      </c>
      <c r="M856" s="379" t="str">
        <f t="shared" si="49"/>
        <v>1,2</v>
      </c>
      <c r="N856" s="421" t="s">
        <v>81</v>
      </c>
      <c r="O856" s="421"/>
      <c r="P856" s="421"/>
      <c r="Q856" s="2"/>
      <c r="R856" s="2"/>
      <c r="S856" s="2"/>
      <c r="T856" s="2"/>
      <c r="U856" s="2"/>
      <c r="V856" s="2"/>
      <c r="W856" s="2"/>
      <c r="X856" s="26"/>
      <c r="Y856" s="26"/>
    </row>
    <row r="857" spans="1:25" x14ac:dyDescent="0.25">
      <c r="A857" s="2"/>
      <c r="B857" s="9"/>
      <c r="C857" s="262" t="str">
        <f t="shared" ref="C857:C880" si="50">C251</f>
        <v>N_dec</v>
      </c>
      <c r="D857" s="55" t="str">
        <f>VLOOKUP(C857,'Species Data'!$E$6:$F$92,2,FALSE)</f>
        <v>Decane [Group NMVOC to air]</v>
      </c>
      <c r="E857" s="61">
        <v>1</v>
      </c>
      <c r="F857" s="61" t="s">
        <v>41</v>
      </c>
      <c r="G857" s="51">
        <f t="shared" ca="1" si="48"/>
        <v>5.2416203180751368E-7</v>
      </c>
      <c r="H857" s="335" t="s">
        <v>489</v>
      </c>
      <c r="I857" s="198">
        <f t="shared" ca="1" si="45"/>
        <v>5.2416203180751368E-7</v>
      </c>
      <c r="J857" s="56" t="s">
        <v>41</v>
      </c>
      <c r="K857" s="53"/>
      <c r="L857" s="50" t="s">
        <v>94</v>
      </c>
      <c r="M857" s="379" t="str">
        <f t="shared" si="49"/>
        <v>1,2</v>
      </c>
      <c r="N857" s="421" t="s">
        <v>81</v>
      </c>
      <c r="O857" s="421"/>
      <c r="P857" s="421"/>
      <c r="Q857" s="2"/>
      <c r="R857" s="2"/>
      <c r="S857" s="2"/>
      <c r="T857" s="2"/>
      <c r="U857" s="2"/>
      <c r="V857" s="2"/>
      <c r="W857" s="2"/>
      <c r="X857" s="26"/>
      <c r="Y857" s="26"/>
    </row>
    <row r="858" spans="1:25" x14ac:dyDescent="0.25">
      <c r="A858" s="2"/>
      <c r="B858" s="9"/>
      <c r="C858" s="262" t="str">
        <f t="shared" si="50"/>
        <v>N_hep</v>
      </c>
      <c r="D858" s="55" t="str">
        <f>VLOOKUP(C858,'Species Data'!$E$6:$F$92,2,FALSE)</f>
        <v>Heptane (isomers) [Group NMVOC to air]</v>
      </c>
      <c r="E858" s="61">
        <v>1</v>
      </c>
      <c r="F858" s="61" t="s">
        <v>41</v>
      </c>
      <c r="G858" s="51">
        <f t="shared" ca="1" si="48"/>
        <v>1.2306412920698146E-6</v>
      </c>
      <c r="H858" s="335" t="s">
        <v>489</v>
      </c>
      <c r="I858" s="198">
        <f t="shared" ca="1" si="45"/>
        <v>1.2306412920698146E-6</v>
      </c>
      <c r="J858" s="56" t="s">
        <v>41</v>
      </c>
      <c r="K858" s="53"/>
      <c r="L858" s="50" t="s">
        <v>94</v>
      </c>
      <c r="M858" s="379" t="str">
        <f t="shared" si="49"/>
        <v>1,2</v>
      </c>
      <c r="N858" s="421" t="s">
        <v>81</v>
      </c>
      <c r="O858" s="421"/>
      <c r="P858" s="421"/>
      <c r="Q858" s="2"/>
      <c r="R858" s="2"/>
      <c r="S858" s="2"/>
      <c r="T858" s="2"/>
      <c r="U858" s="2"/>
      <c r="V858" s="2"/>
      <c r="W858" s="2"/>
      <c r="X858" s="26"/>
      <c r="Y858" s="26"/>
    </row>
    <row r="859" spans="1:25" x14ac:dyDescent="0.25">
      <c r="A859" s="2"/>
      <c r="B859" s="9"/>
      <c r="C859" s="262" t="str">
        <f t="shared" si="50"/>
        <v>N_hex</v>
      </c>
      <c r="D859" s="55" t="str">
        <f>VLOOKUP(C859,'Species Data'!$E$6:$F$92,2,FALSE)</f>
        <v>Hexane (isomers) [Group NMVOC to air]</v>
      </c>
      <c r="E859" s="61">
        <v>1</v>
      </c>
      <c r="F859" s="61" t="s">
        <v>41</v>
      </c>
      <c r="G859" s="51">
        <f t="shared" ca="1" si="48"/>
        <v>1.8687515916615703E-6</v>
      </c>
      <c r="H859" s="335" t="s">
        <v>489</v>
      </c>
      <c r="I859" s="198">
        <f t="shared" ca="1" si="45"/>
        <v>1.8687515916615703E-6</v>
      </c>
      <c r="J859" s="56" t="s">
        <v>41</v>
      </c>
      <c r="K859" s="53"/>
      <c r="L859" s="50" t="s">
        <v>94</v>
      </c>
      <c r="M859" s="379" t="str">
        <f t="shared" si="49"/>
        <v>1,2</v>
      </c>
      <c r="N859" s="421" t="s">
        <v>81</v>
      </c>
      <c r="O859" s="421"/>
      <c r="P859" s="421"/>
      <c r="Q859" s="2"/>
      <c r="R859" s="2"/>
      <c r="S859" s="2"/>
      <c r="T859" s="2"/>
      <c r="U859" s="2"/>
      <c r="V859" s="2"/>
      <c r="W859" s="2"/>
      <c r="X859" s="26"/>
      <c r="Y859" s="26"/>
    </row>
    <row r="860" spans="1:25" x14ac:dyDescent="0.25">
      <c r="A860" s="2"/>
      <c r="B860" s="9"/>
      <c r="C860" s="262" t="str">
        <f t="shared" si="50"/>
        <v>N_nonane</v>
      </c>
      <c r="D860" s="55" t="str">
        <f>VLOOKUP(C860,'Species Data'!$E$6:$F$92,2,FALSE)</f>
        <v>Nonane [Group NMVOC to air]</v>
      </c>
      <c r="E860" s="61">
        <v>1</v>
      </c>
      <c r="F860" s="61" t="s">
        <v>41</v>
      </c>
      <c r="G860" s="51">
        <f t="shared" ca="1" si="48"/>
        <v>7.064792602623012E-7</v>
      </c>
      <c r="H860" s="335" t="s">
        <v>489</v>
      </c>
      <c r="I860" s="198">
        <f t="shared" ca="1" si="45"/>
        <v>7.064792602623012E-7</v>
      </c>
      <c r="J860" s="56" t="s">
        <v>41</v>
      </c>
      <c r="K860" s="53"/>
      <c r="L860" s="50" t="s">
        <v>94</v>
      </c>
      <c r="M860" s="379" t="str">
        <f t="shared" si="49"/>
        <v>1,2</v>
      </c>
      <c r="N860" s="421" t="s">
        <v>81</v>
      </c>
      <c r="O860" s="421"/>
      <c r="P860" s="421"/>
      <c r="Q860" s="2"/>
      <c r="R860" s="2"/>
      <c r="S860" s="2"/>
      <c r="T860" s="2"/>
      <c r="U860" s="2"/>
      <c r="V860" s="2"/>
      <c r="W860" s="2"/>
      <c r="X860" s="26"/>
      <c r="Y860" s="26"/>
    </row>
    <row r="861" spans="1:25" x14ac:dyDescent="0.25">
      <c r="A861" s="2"/>
      <c r="B861" s="9"/>
      <c r="C861" s="262" t="str">
        <f t="shared" si="50"/>
        <v>N_octane</v>
      </c>
      <c r="D861" s="55" t="str">
        <f>VLOOKUP(C861,'Species Data'!$E$6:$F$92,2,FALSE)</f>
        <v>Octane (n-Octane) [Organic intermediate products]</v>
      </c>
      <c r="E861" s="61">
        <v>1</v>
      </c>
      <c r="F861" s="61" t="s">
        <v>41</v>
      </c>
      <c r="G861" s="51">
        <f t="shared" ca="1" si="48"/>
        <v>9.1158614227393671E-7</v>
      </c>
      <c r="H861" s="335" t="s">
        <v>489</v>
      </c>
      <c r="I861" s="198">
        <f t="shared" ca="1" si="45"/>
        <v>9.1158614227393671E-7</v>
      </c>
      <c r="J861" s="56" t="s">
        <v>41</v>
      </c>
      <c r="K861" s="53"/>
      <c r="L861" s="50" t="s">
        <v>94</v>
      </c>
      <c r="M861" s="379" t="str">
        <f t="shared" si="49"/>
        <v>1,2</v>
      </c>
      <c r="N861" s="421" t="s">
        <v>81</v>
      </c>
      <c r="O861" s="421"/>
      <c r="P861" s="421"/>
      <c r="Q861" s="2"/>
      <c r="R861" s="2"/>
      <c r="S861" s="2"/>
      <c r="T861" s="2"/>
      <c r="U861" s="2"/>
      <c r="V861" s="2"/>
      <c r="W861" s="2"/>
      <c r="X861" s="26"/>
      <c r="Y861" s="26"/>
    </row>
    <row r="862" spans="1:25" x14ac:dyDescent="0.25">
      <c r="A862" s="2"/>
      <c r="B862" s="9"/>
      <c r="C862" s="262" t="str">
        <f t="shared" si="50"/>
        <v>N_pentane</v>
      </c>
      <c r="D862" s="55" t="str">
        <f>VLOOKUP(C862,'Species Data'!$E$6:$F$92,2,FALSE)</f>
        <v>Pentane (n-pentane) [Group NMVOC to air]</v>
      </c>
      <c r="E862" s="61">
        <v>1</v>
      </c>
      <c r="F862" s="61" t="s">
        <v>41</v>
      </c>
      <c r="G862" s="51">
        <f t="shared" ca="1" si="48"/>
        <v>3.7488980101015647E-6</v>
      </c>
      <c r="H862" s="335" t="s">
        <v>489</v>
      </c>
      <c r="I862" s="198">
        <f t="shared" ca="1" si="45"/>
        <v>3.7488980101015647E-6</v>
      </c>
      <c r="J862" s="56" t="s">
        <v>41</v>
      </c>
      <c r="K862" s="53"/>
      <c r="L862" s="50" t="s">
        <v>94</v>
      </c>
      <c r="M862" s="379" t="str">
        <f t="shared" si="49"/>
        <v>1,2</v>
      </c>
      <c r="N862" s="421" t="s">
        <v>81</v>
      </c>
      <c r="O862" s="421"/>
      <c r="P862" s="421"/>
      <c r="Q862" s="2"/>
      <c r="R862" s="2"/>
      <c r="S862" s="2"/>
      <c r="T862" s="2"/>
      <c r="U862" s="2"/>
      <c r="V862" s="2"/>
      <c r="W862" s="2"/>
      <c r="X862" s="26"/>
      <c r="Y862" s="26"/>
    </row>
    <row r="863" spans="1:25" x14ac:dyDescent="0.25">
      <c r="A863" s="2"/>
      <c r="B863" s="9"/>
      <c r="C863" s="262" t="str">
        <f t="shared" si="50"/>
        <v>N_proben</v>
      </c>
      <c r="D863" s="55" t="str">
        <f>VLOOKUP(C863,'Species Data'!$E$6:$F$92,2,FALSE)</f>
        <v>1-Propylbenzene [Group NMVOC to air]</v>
      </c>
      <c r="E863" s="61">
        <v>1</v>
      </c>
      <c r="F863" s="61" t="s">
        <v>41</v>
      </c>
      <c r="G863" s="51">
        <f t="shared" ca="1" si="48"/>
        <v>1.2534309456266629E-7</v>
      </c>
      <c r="H863" s="335" t="s">
        <v>489</v>
      </c>
      <c r="I863" s="198">
        <f t="shared" ca="1" si="45"/>
        <v>1.2534309456266629E-7</v>
      </c>
      <c r="J863" s="56" t="s">
        <v>41</v>
      </c>
      <c r="K863" s="53"/>
      <c r="L863" s="50" t="s">
        <v>94</v>
      </c>
      <c r="M863" s="379" t="str">
        <f t="shared" si="49"/>
        <v>1,2</v>
      </c>
      <c r="N863" s="421" t="s">
        <v>81</v>
      </c>
      <c r="O863" s="421"/>
      <c r="P863" s="421"/>
      <c r="Q863" s="2"/>
      <c r="R863" s="2"/>
      <c r="S863" s="2"/>
      <c r="T863" s="2"/>
      <c r="U863" s="2"/>
      <c r="V863" s="2"/>
      <c r="W863" s="2"/>
      <c r="X863" s="26"/>
      <c r="Y863" s="26"/>
    </row>
    <row r="864" spans="1:25" x14ac:dyDescent="0.25">
      <c r="A864" s="2"/>
      <c r="B864" s="9"/>
      <c r="C864" s="262" t="str">
        <f t="shared" si="50"/>
        <v>O_xylene</v>
      </c>
      <c r="D864" s="55" t="str">
        <f>VLOOKUP(C864,'Species Data'!$E$6:$F$92,2,FALSE)</f>
        <v>o-Xylene [unspecified]</v>
      </c>
      <c r="E864" s="61">
        <v>1</v>
      </c>
      <c r="F864" s="61" t="s">
        <v>41</v>
      </c>
      <c r="G864" s="51">
        <f t="shared" ca="1" si="48"/>
        <v>5.1276720502908937E-7</v>
      </c>
      <c r="H864" s="335" t="s">
        <v>489</v>
      </c>
      <c r="I864" s="198">
        <f t="shared" ca="1" si="45"/>
        <v>5.1276720502908937E-7</v>
      </c>
      <c r="J864" s="56" t="s">
        <v>41</v>
      </c>
      <c r="K864" s="53"/>
      <c r="L864" s="50" t="s">
        <v>94</v>
      </c>
      <c r="M864" s="379" t="str">
        <f t="shared" si="49"/>
        <v>1,2</v>
      </c>
      <c r="N864" s="421" t="s">
        <v>81</v>
      </c>
      <c r="O864" s="421"/>
      <c r="P864" s="421"/>
      <c r="Q864" s="2"/>
      <c r="R864" s="2"/>
      <c r="S864" s="2"/>
      <c r="T864" s="2"/>
      <c r="U864" s="2"/>
      <c r="V864" s="2"/>
      <c r="W864" s="2"/>
      <c r="X864" s="26"/>
      <c r="Y864" s="26"/>
    </row>
    <row r="865" spans="1:25" x14ac:dyDescent="0.25">
      <c r="A865" s="2"/>
      <c r="B865" s="9"/>
      <c r="C865" s="262" t="str">
        <f t="shared" si="50"/>
        <v>P_xylene</v>
      </c>
      <c r="D865" s="55" t="str">
        <f>VLOOKUP(C865,'Species Data'!$E$6:$F$92,2,FALSE)</f>
        <v>Xylene (para-Xylene; 1,4-Dimethylbenzene) [Group NMVOC to air]</v>
      </c>
      <c r="E865" s="61">
        <v>1</v>
      </c>
      <c r="F865" s="61" t="s">
        <v>41</v>
      </c>
      <c r="G865" s="51">
        <f t="shared" ca="1" si="48"/>
        <v>0</v>
      </c>
      <c r="H865" s="335" t="s">
        <v>489</v>
      </c>
      <c r="I865" s="198">
        <f t="shared" ca="1" si="45"/>
        <v>0</v>
      </c>
      <c r="J865" s="56" t="s">
        <v>41</v>
      </c>
      <c r="K865" s="53"/>
      <c r="L865" s="50" t="s">
        <v>94</v>
      </c>
      <c r="M865" s="379" t="str">
        <f t="shared" si="49"/>
        <v>1,2</v>
      </c>
      <c r="N865" s="421" t="s">
        <v>81</v>
      </c>
      <c r="O865" s="421"/>
      <c r="P865" s="421"/>
      <c r="Q865" s="2"/>
      <c r="R865" s="2"/>
      <c r="S865" s="2"/>
      <c r="T865" s="2"/>
      <c r="U865" s="2"/>
      <c r="V865" s="2"/>
      <c r="W865" s="2"/>
      <c r="X865" s="26"/>
      <c r="Y865" s="26"/>
    </row>
    <row r="866" spans="1:25" x14ac:dyDescent="0.25">
      <c r="A866" s="2"/>
      <c r="B866" s="9"/>
      <c r="C866" s="262" t="str">
        <f t="shared" si="50"/>
        <v>propane</v>
      </c>
      <c r="D866" s="55" t="str">
        <f>VLOOKUP(C866,'Species Data'!$E$6:$F$92,2,FALSE)</f>
        <v>Propane [Group NMVOC to air]</v>
      </c>
      <c r="E866" s="61">
        <v>1</v>
      </c>
      <c r="F866" s="61" t="s">
        <v>41</v>
      </c>
      <c r="G866" s="51">
        <f t="shared" ca="1" si="48"/>
        <v>0</v>
      </c>
      <c r="H866" s="335" t="s">
        <v>489</v>
      </c>
      <c r="I866" s="198">
        <f t="shared" ca="1" si="45"/>
        <v>0</v>
      </c>
      <c r="J866" s="56" t="s">
        <v>41</v>
      </c>
      <c r="K866" s="53"/>
      <c r="L866" s="50" t="s">
        <v>94</v>
      </c>
      <c r="M866" s="379" t="str">
        <f t="shared" si="49"/>
        <v>1,2</v>
      </c>
      <c r="N866" s="421" t="s">
        <v>81</v>
      </c>
      <c r="O866" s="421"/>
      <c r="P866" s="421"/>
      <c r="Q866" s="2"/>
      <c r="R866" s="2"/>
      <c r="S866" s="2"/>
      <c r="T866" s="2"/>
      <c r="U866" s="2"/>
      <c r="V866" s="2"/>
      <c r="W866" s="2"/>
      <c r="X866" s="26"/>
      <c r="Y866" s="26"/>
    </row>
    <row r="867" spans="1:25" x14ac:dyDescent="0.25">
      <c r="A867" s="2"/>
      <c r="B867" s="9"/>
      <c r="C867" s="262" t="str">
        <f t="shared" si="50"/>
        <v>propylene</v>
      </c>
      <c r="D867" s="55" t="str">
        <f>VLOOKUP(C867,'Species Data'!$E$6:$F$92,2,FALSE)</f>
        <v>Propene (propylene) [Group NMVOC to air]</v>
      </c>
      <c r="E867" s="61">
        <v>1</v>
      </c>
      <c r="F867" s="61" t="s">
        <v>41</v>
      </c>
      <c r="G867" s="51">
        <f t="shared" ca="1" si="48"/>
        <v>0</v>
      </c>
      <c r="H867" s="335" t="s">
        <v>489</v>
      </c>
      <c r="I867" s="198">
        <f t="shared" ca="1" si="45"/>
        <v>0</v>
      </c>
      <c r="J867" s="56" t="s">
        <v>41</v>
      </c>
      <c r="K867" s="53"/>
      <c r="L867" s="50" t="s">
        <v>94</v>
      </c>
      <c r="M867" s="379" t="str">
        <f t="shared" si="49"/>
        <v>1,2</v>
      </c>
      <c r="N867" s="421" t="s">
        <v>81</v>
      </c>
      <c r="O867" s="421"/>
      <c r="P867" s="421"/>
      <c r="Q867" s="2"/>
      <c r="R867" s="2"/>
      <c r="S867" s="2"/>
      <c r="T867" s="2"/>
      <c r="U867" s="2"/>
      <c r="V867" s="2"/>
      <c r="W867" s="2"/>
      <c r="X867" s="26"/>
      <c r="Y867" s="26"/>
    </row>
    <row r="868" spans="1:25" x14ac:dyDescent="0.25">
      <c r="A868" s="2"/>
      <c r="B868" s="9"/>
      <c r="C868" s="262" t="str">
        <f t="shared" si="50"/>
        <v>toluene</v>
      </c>
      <c r="D868" s="55" t="str">
        <f>VLOOKUP(C868,'Species Data'!$E$6:$F$92,2,FALSE)</f>
        <v>Toluene (methyl benzene) [Group NMVOC to air]</v>
      </c>
      <c r="E868" s="61">
        <v>1</v>
      </c>
      <c r="F868" s="61" t="s">
        <v>41</v>
      </c>
      <c r="G868" s="51">
        <f t="shared" ca="1" si="48"/>
        <v>2.1308326075653274E-6</v>
      </c>
      <c r="H868" s="335" t="s">
        <v>489</v>
      </c>
      <c r="I868" s="198">
        <f t="shared" ca="1" si="45"/>
        <v>2.1308326075653274E-6</v>
      </c>
      <c r="J868" s="56" t="s">
        <v>41</v>
      </c>
      <c r="K868" s="53"/>
      <c r="L868" s="50" t="s">
        <v>94</v>
      </c>
      <c r="M868" s="379" t="str">
        <f t="shared" si="49"/>
        <v>1,2</v>
      </c>
      <c r="N868" s="421" t="s">
        <v>81</v>
      </c>
      <c r="O868" s="421"/>
      <c r="P868" s="421"/>
      <c r="Q868" s="2"/>
      <c r="R868" s="2"/>
      <c r="S868" s="2"/>
      <c r="T868" s="2"/>
      <c r="U868" s="2"/>
      <c r="V868" s="2"/>
      <c r="W868" s="2"/>
      <c r="X868" s="26"/>
      <c r="Y868" s="26"/>
    </row>
    <row r="869" spans="1:25" x14ac:dyDescent="0.25">
      <c r="A869" s="2"/>
      <c r="B869" s="9"/>
      <c r="C869" s="262" t="str">
        <f t="shared" si="50"/>
        <v>isompentane</v>
      </c>
      <c r="D869" s="55" t="str">
        <f>VLOOKUP(C869,'Species Data'!$E$6:$F$92,2,FALSE)</f>
        <v>iso-Pentane [Group NMVOC to air]</v>
      </c>
      <c r="E869" s="61">
        <v>1</v>
      </c>
      <c r="F869" s="61" t="s">
        <v>41</v>
      </c>
      <c r="G869" s="51">
        <f t="shared" ref="G869:G900" ca="1" si="51">IF($C869="",1,VLOOKUP($C869,$C$22:$H$790,3,FALSE))</f>
        <v>0</v>
      </c>
      <c r="H869" s="335" t="s">
        <v>489</v>
      </c>
      <c r="I869" s="198">
        <f t="shared" ca="1" si="45"/>
        <v>0</v>
      </c>
      <c r="J869" s="56" t="s">
        <v>41</v>
      </c>
      <c r="K869" s="53"/>
      <c r="L869" s="50" t="s">
        <v>94</v>
      </c>
      <c r="M869" s="379" t="str">
        <f t="shared" si="49"/>
        <v>1,2</v>
      </c>
      <c r="N869" s="421" t="s">
        <v>81</v>
      </c>
      <c r="O869" s="421"/>
      <c r="P869" s="421"/>
      <c r="Q869" s="2"/>
      <c r="R869" s="2"/>
      <c r="S869" s="2"/>
      <c r="T869" s="2"/>
      <c r="U869" s="2"/>
      <c r="V869" s="2"/>
      <c r="W869" s="2"/>
      <c r="X869" s="26"/>
      <c r="Y869" s="26"/>
    </row>
    <row r="870" spans="1:25" x14ac:dyDescent="0.25">
      <c r="A870" s="2"/>
      <c r="B870" s="9"/>
      <c r="C870" s="262" t="str">
        <f t="shared" si="50"/>
        <v>undef_VOC</v>
      </c>
      <c r="D870" s="55" t="str">
        <f>VLOOKUP(C870,'Species Data'!$E$6:$F$92,2,FALSE)</f>
        <v>NMVOC (unspecified) [Group NMVOC to air]</v>
      </c>
      <c r="E870" s="61">
        <v>1</v>
      </c>
      <c r="F870" s="61" t="s">
        <v>41</v>
      </c>
      <c r="G870" s="51">
        <f t="shared" ca="1" si="51"/>
        <v>1.9656076192781765E-5</v>
      </c>
      <c r="H870" s="335" t="s">
        <v>489</v>
      </c>
      <c r="I870" s="198">
        <f t="shared" ref="I870:I933" ca="1" si="52">IF(D870="","",E870*G870*$D$5)</f>
        <v>1.9656076192781765E-5</v>
      </c>
      <c r="J870" s="56" t="s">
        <v>41</v>
      </c>
      <c r="K870" s="53"/>
      <c r="L870" s="50" t="s">
        <v>94</v>
      </c>
      <c r="M870" s="379" t="str">
        <f t="shared" si="49"/>
        <v>1,2</v>
      </c>
      <c r="N870" s="421" t="s">
        <v>81</v>
      </c>
      <c r="O870" s="421"/>
      <c r="P870" s="421"/>
      <c r="Q870" s="2"/>
      <c r="R870" s="2"/>
      <c r="S870" s="2"/>
      <c r="T870" s="2"/>
      <c r="U870" s="2"/>
      <c r="V870" s="2"/>
      <c r="W870" s="2"/>
      <c r="X870" s="26"/>
      <c r="Y870" s="26"/>
    </row>
    <row r="871" spans="1:25" x14ac:dyDescent="0.25">
      <c r="A871" s="2"/>
      <c r="B871" s="9"/>
      <c r="C871" s="262" t="str">
        <f t="shared" si="50"/>
        <v>i_hexanes</v>
      </c>
      <c r="D871" s="55" t="str">
        <f>VLOOKUP(C871,'Species Data'!$E$6:$F$92,2,FALSE)</f>
        <v>Hexane (isomers) [Group NMVOC to air]</v>
      </c>
      <c r="E871" s="61">
        <v>1</v>
      </c>
      <c r="F871" s="61" t="s">
        <v>41</v>
      </c>
      <c r="G871" s="51">
        <f t="shared" ca="1" si="51"/>
        <v>0</v>
      </c>
      <c r="H871" s="335" t="s">
        <v>489</v>
      </c>
      <c r="I871" s="198">
        <f t="shared" ca="1" si="52"/>
        <v>0</v>
      </c>
      <c r="J871" s="56" t="s">
        <v>41</v>
      </c>
      <c r="K871" s="53"/>
      <c r="L871" s="50" t="s">
        <v>94</v>
      </c>
      <c r="M871" s="379" t="str">
        <f t="shared" si="49"/>
        <v>1,2</v>
      </c>
      <c r="N871" s="421" t="s">
        <v>81</v>
      </c>
      <c r="O871" s="421"/>
      <c r="P871" s="421"/>
      <c r="Q871" s="2"/>
      <c r="R871" s="2"/>
      <c r="S871" s="2"/>
      <c r="T871" s="2"/>
      <c r="U871" s="2"/>
      <c r="V871" s="2"/>
      <c r="W871" s="2"/>
      <c r="X871" s="26"/>
      <c r="Y871" s="26"/>
    </row>
    <row r="872" spans="1:25" x14ac:dyDescent="0.25">
      <c r="A872" s="2"/>
      <c r="B872" s="9"/>
      <c r="C872" s="262" t="str">
        <f t="shared" si="50"/>
        <v>i_heptanes</v>
      </c>
      <c r="D872" s="55" t="str">
        <f>VLOOKUP(C872,'Species Data'!$E$6:$F$92,2,FALSE)</f>
        <v>Heptane (isomers) [Group NMVOC to air]</v>
      </c>
      <c r="E872" s="61">
        <v>1</v>
      </c>
      <c r="F872" s="61" t="s">
        <v>41</v>
      </c>
      <c r="G872" s="51">
        <f t="shared" ca="1" si="51"/>
        <v>0</v>
      </c>
      <c r="H872" s="335" t="s">
        <v>489</v>
      </c>
      <c r="I872" s="198">
        <f t="shared" ca="1" si="52"/>
        <v>0</v>
      </c>
      <c r="J872" s="56" t="s">
        <v>41</v>
      </c>
      <c r="K872" s="53"/>
      <c r="L872" s="50" t="s">
        <v>94</v>
      </c>
      <c r="M872" s="379" t="str">
        <f t="shared" si="49"/>
        <v>1,2</v>
      </c>
      <c r="N872" s="421" t="s">
        <v>81</v>
      </c>
      <c r="O872" s="421"/>
      <c r="P872" s="421"/>
      <c r="Q872" s="2"/>
      <c r="R872" s="2"/>
      <c r="S872" s="2"/>
      <c r="T872" s="2"/>
      <c r="U872" s="2"/>
      <c r="V872" s="2"/>
      <c r="W872" s="2"/>
      <c r="X872" s="26"/>
      <c r="Y872" s="26"/>
    </row>
    <row r="873" spans="1:25" x14ac:dyDescent="0.25">
      <c r="A873" s="2"/>
      <c r="B873" s="9"/>
      <c r="C873" s="262" t="str">
        <f t="shared" si="50"/>
        <v>1_butene</v>
      </c>
      <c r="D873" s="55" t="str">
        <f>VLOOKUP(C873,'Species Data'!$E$6:$F$92,2,FALSE)</f>
        <v>Butene [Group NMVOC to air]</v>
      </c>
      <c r="E873" s="61">
        <v>1</v>
      </c>
      <c r="F873" s="61" t="s">
        <v>41</v>
      </c>
      <c r="G873" s="51">
        <f t="shared" ca="1" si="51"/>
        <v>1.0141395832797545E-6</v>
      </c>
      <c r="H873" s="335" t="s">
        <v>489</v>
      </c>
      <c r="I873" s="198">
        <f t="shared" ca="1" si="52"/>
        <v>1.0141395832797545E-6</v>
      </c>
      <c r="J873" s="56" t="s">
        <v>41</v>
      </c>
      <c r="K873" s="53"/>
      <c r="L873" s="50" t="s">
        <v>94</v>
      </c>
      <c r="M873" s="379" t="s">
        <v>2235</v>
      </c>
      <c r="N873" s="421" t="s">
        <v>81</v>
      </c>
      <c r="O873" s="421"/>
      <c r="P873" s="421"/>
      <c r="Q873" s="2"/>
      <c r="R873" s="2"/>
      <c r="S873" s="2"/>
      <c r="T873" s="2"/>
      <c r="U873" s="2"/>
      <c r="V873" s="2"/>
      <c r="W873" s="2"/>
      <c r="X873" s="26"/>
      <c r="Y873" s="26"/>
    </row>
    <row r="874" spans="1:25" x14ac:dyDescent="0.25">
      <c r="A874" s="2"/>
      <c r="B874" s="9"/>
      <c r="C874" s="262" t="str">
        <f t="shared" si="50"/>
        <v>1_pentene</v>
      </c>
      <c r="D874" s="55" t="str">
        <f>VLOOKUP(C874,'Species Data'!$E$6:$F$92,2,FALSE)</f>
        <v>1-Pentene [Group NMVOC to air]</v>
      </c>
      <c r="E874" s="61">
        <v>1</v>
      </c>
      <c r="F874" s="61" t="s">
        <v>41</v>
      </c>
      <c r="G874" s="51">
        <f t="shared" ca="1" si="51"/>
        <v>4.1021376402327156E-7</v>
      </c>
      <c r="H874" s="335" t="s">
        <v>489</v>
      </c>
      <c r="I874" s="198">
        <f t="shared" ca="1" si="52"/>
        <v>4.1021376402327156E-7</v>
      </c>
      <c r="J874" s="56" t="s">
        <v>41</v>
      </c>
      <c r="K874" s="53"/>
      <c r="L874" s="50" t="s">
        <v>94</v>
      </c>
      <c r="M874" s="379" t="s">
        <v>2235</v>
      </c>
      <c r="N874" s="421" t="s">
        <v>81</v>
      </c>
      <c r="O874" s="421"/>
      <c r="P874" s="421"/>
      <c r="Q874" s="2"/>
      <c r="R874" s="2"/>
      <c r="S874" s="2"/>
      <c r="T874" s="2"/>
      <c r="U874" s="2"/>
      <c r="V874" s="2"/>
      <c r="W874" s="2"/>
      <c r="X874" s="26"/>
      <c r="Y874" s="26"/>
    </row>
    <row r="875" spans="1:25" x14ac:dyDescent="0.25">
      <c r="A875" s="2"/>
      <c r="B875" s="9"/>
      <c r="C875" s="262" t="str">
        <f t="shared" si="50"/>
        <v>C_2_butene</v>
      </c>
      <c r="D875" s="55" t="str">
        <f>VLOOKUP(C875,'Species Data'!$E$6:$F$92,2,FALSE)</f>
        <v>cis-2-Butene [Group NMVOC to air]</v>
      </c>
      <c r="E875" s="61">
        <v>1</v>
      </c>
      <c r="F875" s="61" t="s">
        <v>41</v>
      </c>
      <c r="G875" s="51">
        <f t="shared" ca="1" si="51"/>
        <v>2.7347584268218105E-7</v>
      </c>
      <c r="H875" s="335" t="s">
        <v>489</v>
      </c>
      <c r="I875" s="198">
        <f t="shared" ca="1" si="52"/>
        <v>2.7347584268218105E-7</v>
      </c>
      <c r="J875" s="56" t="s">
        <v>41</v>
      </c>
      <c r="K875" s="53"/>
      <c r="L875" s="50" t="s">
        <v>94</v>
      </c>
      <c r="M875" s="379">
        <f t="shared" ref="M875:M880" si="53">VLOOKUP(C875,$C$23:$I$790,7)</f>
        <v>2</v>
      </c>
      <c r="N875" s="421" t="s">
        <v>81</v>
      </c>
      <c r="O875" s="421"/>
      <c r="P875" s="421"/>
      <c r="Q875" s="2"/>
      <c r="R875" s="2"/>
      <c r="S875" s="2"/>
      <c r="T875" s="2"/>
      <c r="U875" s="2"/>
      <c r="V875" s="2"/>
      <c r="W875" s="2"/>
      <c r="X875" s="26"/>
      <c r="Y875" s="26"/>
    </row>
    <row r="876" spans="1:25" x14ac:dyDescent="0.25">
      <c r="A876" s="2"/>
      <c r="B876" s="9"/>
      <c r="C876" s="262" t="str">
        <f t="shared" si="50"/>
        <v>C_2_pentene</v>
      </c>
      <c r="D876" s="55" t="str">
        <f>VLOOKUP(C876,'Species Data'!$E$6:$F$92,2,FALSE)</f>
        <v>cis-2-Pentene [Group NMVOC to air]</v>
      </c>
      <c r="E876" s="61">
        <v>1</v>
      </c>
      <c r="F876" s="61" t="s">
        <v>41</v>
      </c>
      <c r="G876" s="51">
        <f t="shared" ca="1" si="51"/>
        <v>1.3673792134109053E-7</v>
      </c>
      <c r="H876" s="335" t="s">
        <v>489</v>
      </c>
      <c r="I876" s="198">
        <f t="shared" ca="1" si="52"/>
        <v>1.3673792134109053E-7</v>
      </c>
      <c r="J876" s="56" t="s">
        <v>41</v>
      </c>
      <c r="K876" s="53"/>
      <c r="L876" s="50" t="s">
        <v>94</v>
      </c>
      <c r="M876" s="379">
        <f t="shared" si="53"/>
        <v>2</v>
      </c>
      <c r="N876" s="421" t="s">
        <v>81</v>
      </c>
      <c r="O876" s="421"/>
      <c r="P876" s="421"/>
      <c r="Q876" s="2"/>
      <c r="R876" s="2"/>
      <c r="S876" s="2"/>
      <c r="T876" s="2"/>
      <c r="U876" s="2"/>
      <c r="V876" s="2"/>
      <c r="W876" s="2"/>
      <c r="X876" s="26"/>
      <c r="Y876" s="26"/>
    </row>
    <row r="877" spans="1:25" x14ac:dyDescent="0.25">
      <c r="A877" s="2"/>
      <c r="B877" s="9"/>
      <c r="C877" s="262" t="str">
        <f t="shared" si="50"/>
        <v>Isoprene</v>
      </c>
      <c r="D877" s="55" t="str">
        <f>VLOOKUP(C877,'Species Data'!$E$6:$F$92,2,FALSE)</f>
        <v>Isoprene [Group NMVOC to air]</v>
      </c>
      <c r="E877" s="61">
        <v>1</v>
      </c>
      <c r="F877" s="61" t="s">
        <v>41</v>
      </c>
      <c r="G877" s="51">
        <f t="shared" ca="1" si="51"/>
        <v>2.2789653556848419E-8</v>
      </c>
      <c r="H877" s="335" t="s">
        <v>489</v>
      </c>
      <c r="I877" s="198">
        <f t="shared" ca="1" si="52"/>
        <v>2.2789653556848419E-8</v>
      </c>
      <c r="J877" s="56" t="s">
        <v>41</v>
      </c>
      <c r="K877" s="53"/>
      <c r="L877" s="50" t="s">
        <v>94</v>
      </c>
      <c r="M877" s="379" t="str">
        <f t="shared" si="53"/>
        <v>1,2</v>
      </c>
      <c r="N877" s="421" t="s">
        <v>81</v>
      </c>
      <c r="O877" s="421"/>
      <c r="P877" s="421"/>
      <c r="Q877" s="2"/>
      <c r="R877" s="2"/>
      <c r="S877" s="2"/>
      <c r="T877" s="2"/>
      <c r="U877" s="2"/>
      <c r="V877" s="2"/>
      <c r="W877" s="2"/>
      <c r="X877" s="26"/>
      <c r="Y877" s="26"/>
    </row>
    <row r="878" spans="1:25" x14ac:dyDescent="0.25">
      <c r="A878" s="2"/>
      <c r="B878" s="9"/>
      <c r="C878" s="262" t="str">
        <f t="shared" si="50"/>
        <v>Styrene</v>
      </c>
      <c r="D878" s="55" t="str">
        <f>VLOOKUP(C878,'Species Data'!$E$6:$F$92,2,FALSE)</f>
        <v>Styrene [Group NMVOC to air]</v>
      </c>
      <c r="E878" s="61">
        <v>1</v>
      </c>
      <c r="F878" s="61" t="s">
        <v>41</v>
      </c>
      <c r="G878" s="51">
        <f t="shared" ca="1" si="51"/>
        <v>2.5068618912533258E-7</v>
      </c>
      <c r="H878" s="335" t="s">
        <v>489</v>
      </c>
      <c r="I878" s="198">
        <f t="shared" ca="1" si="52"/>
        <v>2.5068618912533258E-7</v>
      </c>
      <c r="J878" s="56" t="s">
        <v>41</v>
      </c>
      <c r="K878" s="53"/>
      <c r="L878" s="50" t="s">
        <v>94</v>
      </c>
      <c r="M878" s="379" t="str">
        <f t="shared" si="53"/>
        <v>1,2</v>
      </c>
      <c r="N878" s="421" t="s">
        <v>81</v>
      </c>
      <c r="O878" s="421"/>
      <c r="P878" s="421"/>
      <c r="Q878" s="2"/>
      <c r="R878" s="2"/>
      <c r="S878" s="2"/>
      <c r="T878" s="2"/>
      <c r="U878" s="2"/>
      <c r="V878" s="2"/>
      <c r="W878" s="2"/>
      <c r="X878" s="26"/>
      <c r="Y878" s="26"/>
    </row>
    <row r="879" spans="1:25" x14ac:dyDescent="0.25">
      <c r="A879" s="2"/>
      <c r="B879" s="9"/>
      <c r="C879" s="262" t="str">
        <f t="shared" si="50"/>
        <v>T_2_butene</v>
      </c>
      <c r="D879" s="55" t="str">
        <f>VLOOKUP(C879,'Species Data'!$E$6:$F$92,2,FALSE)</f>
        <v>trans-2-Butene [Group NMVOC to air]</v>
      </c>
      <c r="E879" s="61">
        <v>1</v>
      </c>
      <c r="F879" s="61" t="s">
        <v>41</v>
      </c>
      <c r="G879" s="51">
        <f t="shared" ca="1" si="51"/>
        <v>2.9626549623902943E-7</v>
      </c>
      <c r="H879" s="335" t="s">
        <v>489</v>
      </c>
      <c r="I879" s="198">
        <f t="shared" ca="1" si="52"/>
        <v>2.9626549623902943E-7</v>
      </c>
      <c r="J879" s="56" t="s">
        <v>41</v>
      </c>
      <c r="K879" s="53"/>
      <c r="L879" s="50" t="s">
        <v>94</v>
      </c>
      <c r="M879" s="379" t="str">
        <f t="shared" si="53"/>
        <v>1,2</v>
      </c>
      <c r="N879" s="421" t="s">
        <v>81</v>
      </c>
      <c r="O879" s="421"/>
      <c r="P879" s="421"/>
      <c r="Q879" s="2"/>
      <c r="R879" s="2"/>
      <c r="S879" s="2"/>
      <c r="T879" s="2"/>
      <c r="U879" s="2"/>
      <c r="V879" s="2"/>
      <c r="W879" s="2"/>
      <c r="X879" s="26"/>
      <c r="Y879" s="26"/>
    </row>
    <row r="880" spans="1:25" x14ac:dyDescent="0.25">
      <c r="A880" s="2"/>
      <c r="B880" s="9"/>
      <c r="C880" s="262" t="str">
        <f t="shared" si="50"/>
        <v>T_2_pentene</v>
      </c>
      <c r="D880" s="55" t="str">
        <f>VLOOKUP(C880,'Species Data'!$E$6:$F$92,2,FALSE)</f>
        <v>trans-2-Pentene [Group NMVOC to air]</v>
      </c>
      <c r="E880" s="61">
        <v>1</v>
      </c>
      <c r="F880" s="61" t="s">
        <v>41</v>
      </c>
      <c r="G880" s="51">
        <f t="shared" ca="1" si="51"/>
        <v>2.7347584268218105E-7</v>
      </c>
      <c r="H880" s="335" t="s">
        <v>489</v>
      </c>
      <c r="I880" s="198">
        <f t="shared" ca="1" si="52"/>
        <v>2.7347584268218105E-7</v>
      </c>
      <c r="J880" s="56" t="s">
        <v>41</v>
      </c>
      <c r="K880" s="53"/>
      <c r="L880" s="50" t="s">
        <v>94</v>
      </c>
      <c r="M880" s="379" t="str">
        <f t="shared" si="53"/>
        <v>1,2</v>
      </c>
      <c r="N880" s="421" t="s">
        <v>81</v>
      </c>
      <c r="O880" s="421"/>
      <c r="P880" s="421"/>
      <c r="Q880" s="2"/>
      <c r="R880" s="2"/>
      <c r="S880" s="2"/>
      <c r="T880" s="2"/>
      <c r="U880" s="2"/>
      <c r="V880" s="2"/>
      <c r="W880" s="2"/>
      <c r="X880" s="26"/>
      <c r="Y880" s="26"/>
    </row>
    <row r="881" spans="1:25" x14ac:dyDescent="0.25">
      <c r="A881" s="2"/>
      <c r="B881" s="9"/>
      <c r="C881" s="369" t="str">
        <f>Water_emissions!CT16</f>
        <v>w_124TRIMET</v>
      </c>
      <c r="D881" s="370" t="str">
        <f>VLOOKUP(C881,'Species Data'!$E$93:$F$183,2,FALSE)</f>
        <v>1,2,4-Trimethylbenzene [Hydrocarbons to fresh water]</v>
      </c>
      <c r="E881" s="61">
        <v>1</v>
      </c>
      <c r="F881" s="61" t="s">
        <v>41</v>
      </c>
      <c r="G881" s="51">
        <f t="shared" si="51"/>
        <v>6.6936269875709004E-5</v>
      </c>
      <c r="H881" s="335" t="s">
        <v>489</v>
      </c>
      <c r="I881" s="198">
        <f t="shared" si="52"/>
        <v>6.6936269875709004E-5</v>
      </c>
      <c r="J881" s="56" t="s">
        <v>41</v>
      </c>
      <c r="K881" s="371"/>
      <c r="L881" s="50" t="s">
        <v>94</v>
      </c>
      <c r="M881" s="344" t="s">
        <v>2233</v>
      </c>
      <c r="N881" s="454" t="s">
        <v>2137</v>
      </c>
      <c r="O881" s="455"/>
      <c r="P881" s="456"/>
      <c r="Q881" s="2"/>
      <c r="R881" s="2"/>
      <c r="S881" s="2"/>
      <c r="T881" s="2"/>
      <c r="U881" s="2"/>
      <c r="V881" s="2"/>
      <c r="W881" s="2"/>
      <c r="X881" s="26"/>
      <c r="Y881" s="26"/>
    </row>
    <row r="882" spans="1:25" x14ac:dyDescent="0.25">
      <c r="A882" s="2"/>
      <c r="B882" s="9"/>
      <c r="C882" s="369" t="str">
        <f>Water_emissions!CT17</f>
        <v>w_12DICHLOR</v>
      </c>
      <c r="D882" s="370" t="str">
        <f>VLOOKUP(C882,'Species Data'!$E$93:$F$183,2,FALSE)</f>
        <v>Dichloroethane (ethylene dichloride) [Halogenated organic emissions to fresh water]</v>
      </c>
      <c r="E882" s="61">
        <v>1</v>
      </c>
      <c r="F882" s="61" t="s">
        <v>41</v>
      </c>
      <c r="G882" s="51">
        <f t="shared" si="51"/>
        <v>2.2352507836732221E-10</v>
      </c>
      <c r="H882" s="335" t="s">
        <v>489</v>
      </c>
      <c r="I882" s="198">
        <f t="shared" si="52"/>
        <v>2.2352507836732221E-10</v>
      </c>
      <c r="J882" s="56" t="s">
        <v>41</v>
      </c>
      <c r="K882" s="371"/>
      <c r="L882" s="50" t="s">
        <v>94</v>
      </c>
      <c r="M882" s="344" t="s">
        <v>2233</v>
      </c>
      <c r="N882" s="454" t="s">
        <v>2137</v>
      </c>
      <c r="O882" s="455"/>
      <c r="P882" s="456"/>
      <c r="Q882" s="2"/>
      <c r="R882" s="2"/>
      <c r="S882" s="2"/>
      <c r="T882" s="2"/>
      <c r="U882" s="2"/>
      <c r="V882" s="2"/>
      <c r="W882" s="2"/>
      <c r="X882" s="26"/>
      <c r="Y882" s="26"/>
    </row>
    <row r="883" spans="1:25" x14ac:dyDescent="0.25">
      <c r="A883" s="2"/>
      <c r="B883" s="9"/>
      <c r="C883" s="369" t="str">
        <f>Water_emissions!CT18</f>
        <v>w_13BUTADIE</v>
      </c>
      <c r="D883" s="370" t="str">
        <f>VLOOKUP(C883,'Species Data'!$E$93:$F$183,2,FALSE)</f>
        <v>Butadiene [Hydrocarbons to fresh water]</v>
      </c>
      <c r="E883" s="61">
        <v>1</v>
      </c>
      <c r="F883" s="61" t="s">
        <v>41</v>
      </c>
      <c r="G883" s="51">
        <f t="shared" si="51"/>
        <v>3.3861837194970921E-5</v>
      </c>
      <c r="H883" s="335" t="s">
        <v>489</v>
      </c>
      <c r="I883" s="198">
        <f t="shared" si="52"/>
        <v>3.3861837194970921E-5</v>
      </c>
      <c r="J883" s="56" t="s">
        <v>41</v>
      </c>
      <c r="K883" s="371"/>
      <c r="L883" s="50" t="s">
        <v>94</v>
      </c>
      <c r="M883" s="344" t="s">
        <v>2233</v>
      </c>
      <c r="N883" s="454" t="s">
        <v>2137</v>
      </c>
      <c r="O883" s="455"/>
      <c r="P883" s="456"/>
      <c r="Q883" s="2"/>
      <c r="R883" s="2"/>
      <c r="S883" s="2"/>
      <c r="T883" s="2"/>
      <c r="U883" s="2"/>
      <c r="V883" s="2"/>
      <c r="W883" s="2"/>
      <c r="X883" s="26"/>
      <c r="Y883" s="26"/>
    </row>
    <row r="884" spans="1:25" x14ac:dyDescent="0.25">
      <c r="A884" s="2"/>
      <c r="B884" s="9"/>
      <c r="C884" s="369" t="str">
        <f>Water_emissions!CT19</f>
        <v>w_24DIMETHY</v>
      </c>
      <c r="D884" s="370" t="str">
        <f>VLOOKUP(C884,'Species Data'!$E$93:$F$183,2,FALSE)</f>
        <v>2,4-dimethylphenol [Organic emissions to fresh water]</v>
      </c>
      <c r="E884" s="61">
        <v>1</v>
      </c>
      <c r="F884" s="61" t="s">
        <v>41</v>
      </c>
      <c r="G884" s="51">
        <f t="shared" si="51"/>
        <v>1.521918793764213E-4</v>
      </c>
      <c r="H884" s="335" t="s">
        <v>489</v>
      </c>
      <c r="I884" s="198">
        <f t="shared" si="52"/>
        <v>1.521918793764213E-4</v>
      </c>
      <c r="J884" s="56" t="s">
        <v>41</v>
      </c>
      <c r="K884" s="371"/>
      <c r="L884" s="50" t="s">
        <v>94</v>
      </c>
      <c r="M884" s="344" t="s">
        <v>2233</v>
      </c>
      <c r="N884" s="454" t="s">
        <v>2137</v>
      </c>
      <c r="O884" s="455"/>
      <c r="P884" s="456"/>
      <c r="Q884" s="2"/>
      <c r="R884" s="2"/>
      <c r="S884" s="2"/>
      <c r="T884" s="2"/>
      <c r="U884" s="2"/>
      <c r="V884" s="2"/>
      <c r="W884" s="2"/>
      <c r="X884" s="26"/>
      <c r="Y884" s="26"/>
    </row>
    <row r="885" spans="1:25" x14ac:dyDescent="0.25">
      <c r="A885" s="2"/>
      <c r="B885" s="9"/>
      <c r="C885" s="369" t="str">
        <f>Water_emissions!CT20</f>
        <v>w_2METHYLNA</v>
      </c>
      <c r="D885" s="370" t="str">
        <f>VLOOKUP(C885,'Species Data'!$E$93:$F$183,2,FALSE)</f>
        <v>2-Methylnaphthalene [Hydrocarbons to fresh water]</v>
      </c>
      <c r="E885" s="61">
        <v>1</v>
      </c>
      <c r="F885" s="61" t="s">
        <v>41</v>
      </c>
      <c r="G885" s="51">
        <f t="shared" si="51"/>
        <v>6.0867598263023464E-9</v>
      </c>
      <c r="H885" s="335" t="s">
        <v>489</v>
      </c>
      <c r="I885" s="198">
        <f t="shared" si="52"/>
        <v>6.0867598263023464E-9</v>
      </c>
      <c r="J885" s="56" t="s">
        <v>41</v>
      </c>
      <c r="K885" s="371"/>
      <c r="L885" s="50" t="s">
        <v>94</v>
      </c>
      <c r="M885" s="344" t="s">
        <v>2233</v>
      </c>
      <c r="N885" s="454" t="s">
        <v>2137</v>
      </c>
      <c r="O885" s="455"/>
      <c r="P885" s="456"/>
      <c r="Q885" s="2"/>
      <c r="R885" s="2"/>
      <c r="S885" s="2"/>
      <c r="T885" s="2"/>
      <c r="U885" s="2"/>
      <c r="V885" s="2"/>
      <c r="W885" s="2"/>
      <c r="X885" s="26"/>
      <c r="Y885" s="26"/>
    </row>
    <row r="886" spans="1:25" x14ac:dyDescent="0.25">
      <c r="A886" s="2"/>
      <c r="B886" s="9"/>
      <c r="C886" s="369" t="str">
        <f>Water_emissions!CT21</f>
        <v>w_ACETONITR</v>
      </c>
      <c r="D886" s="370" t="str">
        <f>VLOOKUP(C886,'Species Data'!$E$93:$F$183,2,FALSE)</f>
        <v>Acetonitrile [Hydrocarbons to fresh water]</v>
      </c>
      <c r="E886" s="61">
        <v>1</v>
      </c>
      <c r="F886" s="61" t="s">
        <v>41</v>
      </c>
      <c r="G886" s="51">
        <f t="shared" si="51"/>
        <v>3.4359546832390198E-3</v>
      </c>
      <c r="H886" s="335" t="s">
        <v>489</v>
      </c>
      <c r="I886" s="198">
        <f t="shared" si="52"/>
        <v>3.4359546832390198E-3</v>
      </c>
      <c r="J886" s="56" t="s">
        <v>41</v>
      </c>
      <c r="K886" s="371"/>
      <c r="L886" s="50" t="s">
        <v>94</v>
      </c>
      <c r="M886" s="344" t="s">
        <v>2233</v>
      </c>
      <c r="N886" s="454" t="s">
        <v>2137</v>
      </c>
      <c r="O886" s="455"/>
      <c r="P886" s="456"/>
      <c r="Q886" s="2"/>
      <c r="R886" s="2"/>
      <c r="S886" s="2"/>
      <c r="T886" s="2"/>
      <c r="U886" s="2"/>
      <c r="V886" s="2"/>
      <c r="W886" s="2"/>
      <c r="X886" s="26"/>
      <c r="Y886" s="26"/>
    </row>
    <row r="887" spans="1:25" x14ac:dyDescent="0.25">
      <c r="A887" s="2"/>
      <c r="B887" s="9"/>
      <c r="C887" s="369" t="str">
        <f>Water_emissions!CT22</f>
        <v>w_Aluminumt</v>
      </c>
      <c r="D887" s="370" t="str">
        <f>VLOOKUP(C887,'Species Data'!$E$93:$F$183,2,FALSE)</f>
        <v>Aluminium [Heavy metals to fresh water]</v>
      </c>
      <c r="E887" s="61">
        <v>1</v>
      </c>
      <c r="F887" s="61" t="s">
        <v>41</v>
      </c>
      <c r="G887" s="51">
        <f t="shared" si="51"/>
        <v>2.9022271722312253E-8</v>
      </c>
      <c r="H887" s="335" t="s">
        <v>489</v>
      </c>
      <c r="I887" s="198">
        <f t="shared" si="52"/>
        <v>2.9022271722312253E-8</v>
      </c>
      <c r="J887" s="56" t="s">
        <v>41</v>
      </c>
      <c r="K887" s="371"/>
      <c r="L887" s="50" t="s">
        <v>94</v>
      </c>
      <c r="M887" s="344" t="s">
        <v>2233</v>
      </c>
      <c r="N887" s="454" t="s">
        <v>2137</v>
      </c>
      <c r="O887" s="455"/>
      <c r="P887" s="456"/>
      <c r="Q887" s="2"/>
      <c r="R887" s="2"/>
      <c r="S887" s="2"/>
      <c r="T887" s="2"/>
      <c r="U887" s="2"/>
      <c r="V887" s="2"/>
      <c r="W887" s="2"/>
      <c r="X887" s="26"/>
      <c r="Y887" s="26"/>
    </row>
    <row r="888" spans="1:25" x14ac:dyDescent="0.25">
      <c r="A888" s="2"/>
      <c r="B888" s="9"/>
      <c r="C888" s="369" t="str">
        <f>Water_emissions!CT23</f>
        <v>w_AMMONIA</v>
      </c>
      <c r="D888" s="370" t="str">
        <f>VLOOKUP(C888,'Species Data'!$E$93:$F$183,2,FALSE)</f>
        <v>Ammonia [Inorganic emissions to fresh water]</v>
      </c>
      <c r="E888" s="61">
        <v>1</v>
      </c>
      <c r="F888" s="61" t="s">
        <v>41</v>
      </c>
      <c r="G888" s="51">
        <f t="shared" si="51"/>
        <v>1.7196795165223402E-2</v>
      </c>
      <c r="H888" s="335" t="s">
        <v>489</v>
      </c>
      <c r="I888" s="198">
        <f t="shared" si="52"/>
        <v>1.7196795165223402E-2</v>
      </c>
      <c r="J888" s="56" t="s">
        <v>41</v>
      </c>
      <c r="K888" s="371"/>
      <c r="L888" s="50" t="s">
        <v>94</v>
      </c>
      <c r="M888" s="344" t="s">
        <v>2233</v>
      </c>
      <c r="N888" s="454" t="s">
        <v>2137</v>
      </c>
      <c r="O888" s="455"/>
      <c r="P888" s="456"/>
      <c r="Q888" s="2"/>
      <c r="R888" s="2"/>
      <c r="S888" s="2"/>
      <c r="T888" s="2"/>
      <c r="U888" s="2"/>
      <c r="V888" s="2"/>
      <c r="W888" s="2"/>
      <c r="X888" s="26"/>
      <c r="Y888" s="26"/>
    </row>
    <row r="889" spans="1:25" x14ac:dyDescent="0.25">
      <c r="A889" s="2"/>
      <c r="B889" s="9"/>
      <c r="C889" s="369" t="str">
        <f>Water_emissions!CT24</f>
        <v>w_AMMONIUM</v>
      </c>
      <c r="D889" s="370" t="str">
        <f>VLOOKUP(C889,'Species Data'!$E$93:$F$183,2,FALSE)</f>
        <v>Ammonia, as N [Inorganic emissions to fresh water]</v>
      </c>
      <c r="E889" s="61">
        <v>1</v>
      </c>
      <c r="F889" s="61" t="s">
        <v>41</v>
      </c>
      <c r="G889" s="51">
        <f t="shared" si="51"/>
        <v>2.302653580420242E-6</v>
      </c>
      <c r="H889" s="335" t="s">
        <v>489</v>
      </c>
      <c r="I889" s="198">
        <f t="shared" si="52"/>
        <v>2.302653580420242E-6</v>
      </c>
      <c r="J889" s="56" t="s">
        <v>41</v>
      </c>
      <c r="K889" s="371"/>
      <c r="L889" s="50" t="s">
        <v>94</v>
      </c>
      <c r="M889" s="344" t="s">
        <v>2233</v>
      </c>
      <c r="N889" s="454" t="s">
        <v>2137</v>
      </c>
      <c r="O889" s="455"/>
      <c r="P889" s="456"/>
      <c r="Q889" s="2"/>
      <c r="R889" s="2"/>
      <c r="S889" s="2"/>
      <c r="T889" s="2"/>
      <c r="U889" s="2"/>
      <c r="V889" s="2"/>
      <c r="W889" s="2"/>
      <c r="X889" s="26"/>
      <c r="Y889" s="26"/>
    </row>
    <row r="890" spans="1:25" x14ac:dyDescent="0.25">
      <c r="A890" s="2"/>
      <c r="B890" s="9"/>
      <c r="C890" s="369" t="str">
        <f>Water_emissions!CT25</f>
        <v>w_ANTHRACEN</v>
      </c>
      <c r="D890" s="370" t="str">
        <f>VLOOKUP(C890,'Species Data'!$E$93:$F$183,2,FALSE)</f>
        <v>Anthracene [Hydrocarbons to fresh water]</v>
      </c>
      <c r="E890" s="61">
        <v>1</v>
      </c>
      <c r="F890" s="61" t="s">
        <v>41</v>
      </c>
      <c r="G890" s="51">
        <f t="shared" si="51"/>
        <v>3.9157067744009903E-5</v>
      </c>
      <c r="H890" s="335" t="s">
        <v>489</v>
      </c>
      <c r="I890" s="198">
        <f t="shared" si="52"/>
        <v>3.9157067744009903E-5</v>
      </c>
      <c r="J890" s="56" t="s">
        <v>41</v>
      </c>
      <c r="K890" s="371"/>
      <c r="L890" s="50" t="s">
        <v>94</v>
      </c>
      <c r="M890" s="344" t="s">
        <v>2233</v>
      </c>
      <c r="N890" s="454" t="s">
        <v>2137</v>
      </c>
      <c r="O890" s="455"/>
      <c r="P890" s="456"/>
      <c r="Q890" s="2"/>
      <c r="R890" s="2"/>
      <c r="S890" s="2"/>
      <c r="T890" s="2"/>
      <c r="U890" s="2"/>
      <c r="V890" s="2"/>
      <c r="W890" s="2"/>
      <c r="X890" s="26"/>
      <c r="Y890" s="26"/>
    </row>
    <row r="891" spans="1:25" x14ac:dyDescent="0.25">
      <c r="A891" s="2"/>
      <c r="B891" s="9"/>
      <c r="C891" s="369" t="str">
        <f>Water_emissions!CT26</f>
        <v>w_Arsenicto</v>
      </c>
      <c r="D891" s="370" t="str">
        <f>VLOOKUP(C891,'Species Data'!$E$93:$F$183,2,FALSE)</f>
        <v>Arsenic (+V) [Heavy metals to fresh water]</v>
      </c>
      <c r="E891" s="61">
        <v>1</v>
      </c>
      <c r="F891" s="61" t="s">
        <v>41</v>
      </c>
      <c r="G891" s="51">
        <f t="shared" si="51"/>
        <v>6.6372838409797464E-9</v>
      </c>
      <c r="H891" s="335" t="s">
        <v>489</v>
      </c>
      <c r="I891" s="198">
        <f t="shared" si="52"/>
        <v>6.6372838409797464E-9</v>
      </c>
      <c r="J891" s="56" t="s">
        <v>41</v>
      </c>
      <c r="K891" s="371"/>
      <c r="L891" s="50" t="s">
        <v>94</v>
      </c>
      <c r="M891" s="344" t="s">
        <v>2233</v>
      </c>
      <c r="N891" s="454" t="s">
        <v>2137</v>
      </c>
      <c r="O891" s="455"/>
      <c r="P891" s="456"/>
      <c r="Q891" s="2"/>
      <c r="R891" s="2"/>
      <c r="S891" s="2"/>
      <c r="T891" s="2"/>
      <c r="U891" s="2"/>
      <c r="V891" s="2"/>
      <c r="W891" s="2"/>
      <c r="X891" s="26"/>
      <c r="Y891" s="26"/>
    </row>
    <row r="892" spans="1:25" x14ac:dyDescent="0.25">
      <c r="A892" s="2"/>
      <c r="B892" s="9"/>
      <c r="C892" s="369" t="str">
        <f>Water_emissions!CT27</f>
        <v>w_Bariumtot</v>
      </c>
      <c r="D892" s="370" t="str">
        <f>VLOOKUP(C892,'Species Data'!$E$93:$F$183,2,FALSE)</f>
        <v>Barium [Inorganic emissions to fresh water]</v>
      </c>
      <c r="E892" s="61">
        <v>1</v>
      </c>
      <c r="F892" s="61" t="s">
        <v>41</v>
      </c>
      <c r="G892" s="51">
        <f t="shared" si="51"/>
        <v>1.0617703802719859E-7</v>
      </c>
      <c r="H892" s="335" t="s">
        <v>489</v>
      </c>
      <c r="I892" s="198">
        <f t="shared" si="52"/>
        <v>1.0617703802719859E-7</v>
      </c>
      <c r="J892" s="56" t="s">
        <v>41</v>
      </c>
      <c r="K892" s="371"/>
      <c r="L892" s="50" t="s">
        <v>94</v>
      </c>
      <c r="M892" s="344" t="s">
        <v>2233</v>
      </c>
      <c r="N892" s="454" t="s">
        <v>2137</v>
      </c>
      <c r="O892" s="455"/>
      <c r="P892" s="456"/>
      <c r="Q892" s="2"/>
      <c r="R892" s="2"/>
      <c r="S892" s="2"/>
      <c r="T892" s="2"/>
      <c r="U892" s="2"/>
      <c r="V892" s="2"/>
      <c r="W892" s="2"/>
      <c r="X892" s="26"/>
      <c r="Y892" s="26"/>
    </row>
    <row r="893" spans="1:25" x14ac:dyDescent="0.25">
      <c r="A893" s="2"/>
      <c r="B893" s="9"/>
      <c r="C893" s="369" t="str">
        <f>Water_emissions!CT28</f>
        <v>w_BENZENE</v>
      </c>
      <c r="D893" s="370" t="str">
        <f>VLOOKUP(C893,'Species Data'!$E$93:$F$183,2,FALSE)</f>
        <v>Benzene [Hydrocarbons to fresh water]</v>
      </c>
      <c r="E893" s="61">
        <v>1</v>
      </c>
      <c r="F893" s="61" t="s">
        <v>41</v>
      </c>
      <c r="G893" s="51">
        <f t="shared" si="51"/>
        <v>4.4525960841659564E-5</v>
      </c>
      <c r="H893" s="335" t="s">
        <v>489</v>
      </c>
      <c r="I893" s="198">
        <f t="shared" si="52"/>
        <v>4.4525960841659564E-5</v>
      </c>
      <c r="J893" s="56" t="s">
        <v>41</v>
      </c>
      <c r="K893" s="371"/>
      <c r="L893" s="50" t="s">
        <v>94</v>
      </c>
      <c r="M893" s="344" t="s">
        <v>2233</v>
      </c>
      <c r="N893" s="454" t="s">
        <v>2137</v>
      </c>
      <c r="O893" s="455"/>
      <c r="P893" s="456"/>
      <c r="Q893" s="2"/>
      <c r="R893" s="2"/>
      <c r="S893" s="2"/>
      <c r="T893" s="2"/>
      <c r="U893" s="2"/>
      <c r="V893" s="2"/>
      <c r="W893" s="2"/>
      <c r="X893" s="26"/>
      <c r="Y893" s="26"/>
    </row>
    <row r="894" spans="1:25" x14ac:dyDescent="0.25">
      <c r="A894" s="2"/>
      <c r="B894" s="9"/>
      <c r="C894" s="369" t="str">
        <f>Water_emissions!CT29</f>
        <v>w_BENZOGHIP</v>
      </c>
      <c r="D894" s="370" t="str">
        <f>VLOOKUP(C894,'Species Data'!$E$93:$F$183,2,FALSE)</f>
        <v>Benzo{ghi}perylene [Hydrocarbons to fresh water]</v>
      </c>
      <c r="E894" s="61">
        <v>1</v>
      </c>
      <c r="F894" s="61" t="s">
        <v>41</v>
      </c>
      <c r="G894" s="51">
        <f t="shared" si="51"/>
        <v>1.4380700071206819E-5</v>
      </c>
      <c r="H894" s="335" t="s">
        <v>489</v>
      </c>
      <c r="I894" s="198">
        <f t="shared" si="52"/>
        <v>1.4380700071206819E-5</v>
      </c>
      <c r="J894" s="56" t="s">
        <v>41</v>
      </c>
      <c r="K894" s="371"/>
      <c r="L894" s="50" t="s">
        <v>94</v>
      </c>
      <c r="M894" s="344" t="s">
        <v>2233</v>
      </c>
      <c r="N894" s="454" t="s">
        <v>2137</v>
      </c>
      <c r="O894" s="455"/>
      <c r="P894" s="456"/>
      <c r="Q894" s="2"/>
      <c r="R894" s="2"/>
      <c r="S894" s="2"/>
      <c r="T894" s="2"/>
      <c r="U894" s="2"/>
      <c r="V894" s="2"/>
      <c r="W894" s="2"/>
      <c r="X894" s="26"/>
      <c r="Y894" s="26"/>
    </row>
    <row r="895" spans="1:25" x14ac:dyDescent="0.25">
      <c r="A895" s="2"/>
      <c r="B895" s="9"/>
      <c r="C895" s="369" t="str">
        <f>Water_emissions!CT30</f>
        <v>w_BENZO_A_P</v>
      </c>
      <c r="D895" s="370" t="str">
        <f>VLOOKUP(C895,'Species Data'!$E$93:$F$183,2,FALSE)</f>
        <v>Benzo{a}pyrene [Hydrocarbons to fresh water]</v>
      </c>
      <c r="E895" s="61">
        <v>1</v>
      </c>
      <c r="F895" s="61" t="s">
        <v>41</v>
      </c>
      <c r="G895" s="51">
        <f t="shared" si="51"/>
        <v>1.7882006269385777E-10</v>
      </c>
      <c r="H895" s="335" t="s">
        <v>489</v>
      </c>
      <c r="I895" s="198">
        <f t="shared" si="52"/>
        <v>1.7882006269385777E-10</v>
      </c>
      <c r="J895" s="56" t="s">
        <v>41</v>
      </c>
      <c r="K895" s="371"/>
      <c r="L895" s="50" t="s">
        <v>94</v>
      </c>
      <c r="M895" s="344" t="s">
        <v>2233</v>
      </c>
      <c r="N895" s="454" t="s">
        <v>2137</v>
      </c>
      <c r="O895" s="455"/>
      <c r="P895" s="456"/>
      <c r="Q895" s="2"/>
      <c r="R895" s="2"/>
      <c r="S895" s="2"/>
      <c r="T895" s="2"/>
      <c r="U895" s="2"/>
      <c r="V895" s="2"/>
      <c r="W895" s="2"/>
      <c r="X895" s="26"/>
      <c r="Y895" s="26"/>
    </row>
    <row r="896" spans="1:25" x14ac:dyDescent="0.25">
      <c r="A896" s="2"/>
      <c r="B896" s="9"/>
      <c r="C896" s="369" t="str">
        <f>Water_emissions!CT31</f>
        <v>w_BIPHENYL</v>
      </c>
      <c r="D896" s="370" t="str">
        <f>VLOOKUP(C896,'Species Data'!$E$93:$F$183,2,FALSE)</f>
        <v>Biphenyl [Organic emissions to fresh water]</v>
      </c>
      <c r="E896" s="61">
        <v>1</v>
      </c>
      <c r="F896" s="61" t="s">
        <v>41</v>
      </c>
      <c r="G896" s="51">
        <f t="shared" si="51"/>
        <v>5.0330732761362432E-5</v>
      </c>
      <c r="H896" s="335" t="s">
        <v>489</v>
      </c>
      <c r="I896" s="198">
        <f t="shared" si="52"/>
        <v>5.0330732761362432E-5</v>
      </c>
      <c r="J896" s="56" t="s">
        <v>41</v>
      </c>
      <c r="K896" s="371"/>
      <c r="L896" s="50" t="s">
        <v>94</v>
      </c>
      <c r="M896" s="344" t="s">
        <v>2233</v>
      </c>
      <c r="N896" s="454" t="s">
        <v>2137</v>
      </c>
      <c r="O896" s="455"/>
      <c r="P896" s="456"/>
      <c r="Q896" s="2"/>
      <c r="R896" s="2"/>
      <c r="S896" s="2"/>
      <c r="T896" s="2"/>
      <c r="U896" s="2"/>
      <c r="V896" s="2"/>
      <c r="W896" s="2"/>
      <c r="X896" s="26"/>
      <c r="Y896" s="26"/>
    </row>
    <row r="897" spans="1:25" x14ac:dyDescent="0.25">
      <c r="A897" s="2"/>
      <c r="B897" s="9"/>
      <c r="C897" s="369" t="str">
        <f>Water_emissions!CT32</f>
        <v>w_Bromideas</v>
      </c>
      <c r="D897" s="370" t="str">
        <f>VLOOKUP(C897,'Species Data'!$E$93:$F$183,2,FALSE)</f>
        <v>Bromide [Emissions to fresh water]</v>
      </c>
      <c r="E897" s="61">
        <v>1</v>
      </c>
      <c r="F897" s="61" t="s">
        <v>41</v>
      </c>
      <c r="G897" s="51">
        <f t="shared" si="51"/>
        <v>8.2048068550783198E-7</v>
      </c>
      <c r="H897" s="335" t="s">
        <v>489</v>
      </c>
      <c r="I897" s="198">
        <f t="shared" si="52"/>
        <v>8.2048068550783198E-7</v>
      </c>
      <c r="J897" s="56" t="s">
        <v>41</v>
      </c>
      <c r="K897" s="371"/>
      <c r="L897" s="50" t="s">
        <v>94</v>
      </c>
      <c r="M897" s="344" t="s">
        <v>2233</v>
      </c>
      <c r="N897" s="454" t="s">
        <v>2137</v>
      </c>
      <c r="O897" s="455"/>
      <c r="P897" s="456"/>
      <c r="Q897" s="2"/>
      <c r="R897" s="2"/>
      <c r="S897" s="2"/>
      <c r="T897" s="2"/>
      <c r="U897" s="2"/>
      <c r="V897" s="2"/>
      <c r="W897" s="2"/>
      <c r="X897" s="26"/>
      <c r="Y897" s="26"/>
    </row>
    <row r="898" spans="1:25" x14ac:dyDescent="0.25">
      <c r="A898" s="2"/>
      <c r="B898" s="9"/>
      <c r="C898" s="369" t="str">
        <f>Water_emissions!CT33</f>
        <v>w_Cadmiumto</v>
      </c>
      <c r="D898" s="370" t="str">
        <f>VLOOKUP(C898,'Species Data'!$E$93:$F$183,2,FALSE)</f>
        <v>Cadmium (+II) [Heavy metals to fresh water]</v>
      </c>
      <c r="E898" s="61">
        <v>1</v>
      </c>
      <c r="F898" s="61" t="s">
        <v>41</v>
      </c>
      <c r="G898" s="51">
        <f t="shared" si="51"/>
        <v>0</v>
      </c>
      <c r="H898" s="335" t="s">
        <v>489</v>
      </c>
      <c r="I898" s="198">
        <f t="shared" si="52"/>
        <v>0</v>
      </c>
      <c r="J898" s="56" t="s">
        <v>41</v>
      </c>
      <c r="K898" s="371"/>
      <c r="L898" s="50" t="s">
        <v>94</v>
      </c>
      <c r="M898" s="344" t="s">
        <v>2233</v>
      </c>
      <c r="N898" s="454" t="s">
        <v>2137</v>
      </c>
      <c r="O898" s="455"/>
      <c r="P898" s="456"/>
      <c r="Q898" s="2"/>
      <c r="R898" s="2"/>
      <c r="S898" s="2"/>
      <c r="T898" s="2"/>
      <c r="U898" s="2"/>
      <c r="V898" s="2"/>
      <c r="W898" s="2"/>
      <c r="X898" s="26"/>
      <c r="Y898" s="26"/>
    </row>
    <row r="899" spans="1:25" x14ac:dyDescent="0.25">
      <c r="A899" s="2"/>
      <c r="B899" s="9"/>
      <c r="C899" s="369" t="str">
        <f>Water_emissions!CT34</f>
        <v>w_CARBONDIS</v>
      </c>
      <c r="D899" s="370" t="str">
        <f>VLOOKUP(C899,'Species Data'!$E$93:$F$183,2,FALSE)</f>
        <v>Carbon disulphide [Inorganic emissions to fresh water]</v>
      </c>
      <c r="E899" s="61">
        <v>1</v>
      </c>
      <c r="F899" s="61" t="s">
        <v>41</v>
      </c>
      <c r="G899" s="51">
        <f t="shared" si="51"/>
        <v>2.3467114423201179E-4</v>
      </c>
      <c r="H899" s="335" t="s">
        <v>489</v>
      </c>
      <c r="I899" s="198">
        <f t="shared" si="52"/>
        <v>2.3467114423201179E-4</v>
      </c>
      <c r="J899" s="56" t="s">
        <v>41</v>
      </c>
      <c r="K899" s="371"/>
      <c r="L899" s="50" t="s">
        <v>94</v>
      </c>
      <c r="M899" s="344" t="s">
        <v>2233</v>
      </c>
      <c r="N899" s="454" t="s">
        <v>2137</v>
      </c>
      <c r="O899" s="455"/>
      <c r="P899" s="456"/>
      <c r="Q899" s="2"/>
      <c r="R899" s="2"/>
      <c r="S899" s="2"/>
      <c r="T899" s="2"/>
      <c r="U899" s="2"/>
      <c r="V899" s="2"/>
      <c r="W899" s="2"/>
      <c r="X899" s="26"/>
      <c r="Y899" s="26"/>
    </row>
    <row r="900" spans="1:25" x14ac:dyDescent="0.25">
      <c r="A900" s="2"/>
      <c r="B900" s="9"/>
      <c r="C900" s="369" t="str">
        <f>Water_emissions!CT35</f>
        <v>w_CARBONYLS</v>
      </c>
      <c r="D900" s="370" t="str">
        <f>VLOOKUP(C900,'Species Data'!$E$93:$F$183,2,FALSE)</f>
        <v>Carbonyl sulfide [Inorganic emissions to fresh water]</v>
      </c>
      <c r="E900" s="61">
        <v>1</v>
      </c>
      <c r="F900" s="61" t="s">
        <v>41</v>
      </c>
      <c r="G900" s="51">
        <f t="shared" si="51"/>
        <v>1.4335851499929567E-3</v>
      </c>
      <c r="H900" s="335" t="s">
        <v>489</v>
      </c>
      <c r="I900" s="198">
        <f t="shared" si="52"/>
        <v>1.4335851499929567E-3</v>
      </c>
      <c r="J900" s="56" t="s">
        <v>41</v>
      </c>
      <c r="K900" s="371"/>
      <c r="L900" s="50" t="s">
        <v>94</v>
      </c>
      <c r="M900" s="344" t="s">
        <v>2233</v>
      </c>
      <c r="N900" s="454" t="s">
        <v>2137</v>
      </c>
      <c r="O900" s="455"/>
      <c r="P900" s="456"/>
      <c r="Q900" s="2"/>
      <c r="R900" s="2"/>
      <c r="S900" s="2"/>
      <c r="T900" s="2"/>
      <c r="U900" s="2"/>
      <c r="V900" s="2"/>
      <c r="W900" s="2"/>
      <c r="X900" s="26"/>
      <c r="Y900" s="26"/>
    </row>
    <row r="901" spans="1:25" x14ac:dyDescent="0.25">
      <c r="A901" s="2"/>
      <c r="B901" s="9"/>
      <c r="C901" s="369" t="str">
        <f>Water_emissions!CT36</f>
        <v>w_CERTAINGL</v>
      </c>
      <c r="D901" s="370" t="str">
        <f>VLOOKUP(C901,'Species Data'!$E$93:$F$183,2,FALSE)</f>
        <v>Ethylene glycol monoethyl ether [Organic emissions to fresh water]</v>
      </c>
      <c r="E901" s="61">
        <v>1</v>
      </c>
      <c r="F901" s="61" t="s">
        <v>41</v>
      </c>
      <c r="G901" s="51">
        <f t="shared" ref="G901:G932" si="54">IF($C901="",1,VLOOKUP($C901,$C$22:$H$790,3,FALSE))</f>
        <v>3.029579968323187E-4</v>
      </c>
      <c r="H901" s="335" t="s">
        <v>489</v>
      </c>
      <c r="I901" s="198">
        <f t="shared" si="52"/>
        <v>3.029579968323187E-4</v>
      </c>
      <c r="J901" s="56" t="s">
        <v>41</v>
      </c>
      <c r="K901" s="371"/>
      <c r="L901" s="50" t="s">
        <v>94</v>
      </c>
      <c r="M901" s="344" t="s">
        <v>2233</v>
      </c>
      <c r="N901" s="454" t="s">
        <v>2137</v>
      </c>
      <c r="O901" s="455"/>
      <c r="P901" s="456"/>
      <c r="Q901" s="2"/>
      <c r="R901" s="2"/>
      <c r="S901" s="2"/>
      <c r="T901" s="2"/>
      <c r="U901" s="2"/>
      <c r="V901" s="2"/>
      <c r="W901" s="2"/>
      <c r="X901" s="26"/>
      <c r="Y901" s="26"/>
    </row>
    <row r="902" spans="1:25" x14ac:dyDescent="0.25">
      <c r="A902" s="2"/>
      <c r="B902" s="9"/>
      <c r="C902" s="369" t="str">
        <f>Water_emissions!CT37</f>
        <v>w_ChemicalO</v>
      </c>
      <c r="D902" s="370" t="str">
        <f>VLOOKUP(C902,'Species Data'!$E$93:$F$183,2,FALSE)</f>
        <v>Chemical oxygen demand (COD) [Analytical measures to fresh water]</v>
      </c>
      <c r="E902" s="61">
        <v>1</v>
      </c>
      <c r="F902" s="61" t="s">
        <v>41</v>
      </c>
      <c r="G902" s="51">
        <f t="shared" si="54"/>
        <v>5.6337270840326193E-5</v>
      </c>
      <c r="H902" s="335" t="s">
        <v>489</v>
      </c>
      <c r="I902" s="198">
        <f t="shared" si="52"/>
        <v>5.6337270840326193E-5</v>
      </c>
      <c r="J902" s="56" t="s">
        <v>41</v>
      </c>
      <c r="K902" s="371"/>
      <c r="L902" s="50" t="s">
        <v>94</v>
      </c>
      <c r="M902" s="344" t="s">
        <v>2233</v>
      </c>
      <c r="N902" s="454" t="s">
        <v>2137</v>
      </c>
      <c r="O902" s="455"/>
      <c r="P902" s="456"/>
      <c r="Q902" s="2"/>
      <c r="R902" s="2"/>
      <c r="S902" s="2"/>
      <c r="T902" s="2"/>
      <c r="U902" s="2"/>
      <c r="V902" s="2"/>
      <c r="W902" s="2"/>
      <c r="X902" s="26"/>
      <c r="Y902" s="26"/>
    </row>
    <row r="903" spans="1:25" x14ac:dyDescent="0.25">
      <c r="A903" s="2"/>
      <c r="B903" s="9"/>
      <c r="C903" s="369" t="str">
        <f>Water_emissions!CT38</f>
        <v>w_Chloridea</v>
      </c>
      <c r="D903" s="370" t="str">
        <f>VLOOKUP(C903,'Species Data'!$E$93:$F$183,2,FALSE)</f>
        <v>Chloride [Inorganic emissions to fresh water]</v>
      </c>
      <c r="E903" s="61">
        <v>1</v>
      </c>
      <c r="F903" s="61" t="s">
        <v>41</v>
      </c>
      <c r="G903" s="51">
        <f t="shared" si="54"/>
        <v>1.1195994040717427E-4</v>
      </c>
      <c r="H903" s="335" t="s">
        <v>489</v>
      </c>
      <c r="I903" s="198">
        <f t="shared" si="52"/>
        <v>1.1195994040717427E-4</v>
      </c>
      <c r="J903" s="56" t="s">
        <v>41</v>
      </c>
      <c r="K903" s="371"/>
      <c r="L903" s="50" t="s">
        <v>94</v>
      </c>
      <c r="M903" s="344" t="s">
        <v>2233</v>
      </c>
      <c r="N903" s="454" t="s">
        <v>2137</v>
      </c>
      <c r="O903" s="455"/>
      <c r="P903" s="456"/>
      <c r="Q903" s="2"/>
      <c r="R903" s="2"/>
      <c r="S903" s="2"/>
      <c r="T903" s="2"/>
      <c r="U903" s="2"/>
      <c r="V903" s="2"/>
      <c r="W903" s="2"/>
      <c r="X903" s="26"/>
      <c r="Y903" s="26"/>
    </row>
    <row r="904" spans="1:25" x14ac:dyDescent="0.25">
      <c r="A904" s="2"/>
      <c r="B904" s="9"/>
      <c r="C904" s="369" t="str">
        <f>Water_emissions!CT39</f>
        <v>w_CHLORINE</v>
      </c>
      <c r="D904" s="370" t="str">
        <f>VLOOKUP(C904,'Species Data'!$E$93:$F$183,2,FALSE)</f>
        <v>Chlorine [Inorganic emissions to fresh water]</v>
      </c>
      <c r="E904" s="61">
        <v>1</v>
      </c>
      <c r="F904" s="61" t="s">
        <v>41</v>
      </c>
      <c r="G904" s="51">
        <f t="shared" si="54"/>
        <v>8.5327268317520081E-8</v>
      </c>
      <c r="H904" s="335" t="s">
        <v>489</v>
      </c>
      <c r="I904" s="198">
        <f t="shared" si="52"/>
        <v>8.5327268317520081E-8</v>
      </c>
      <c r="J904" s="56" t="s">
        <v>41</v>
      </c>
      <c r="K904" s="371"/>
      <c r="L904" s="50" t="s">
        <v>94</v>
      </c>
      <c r="M904" s="344" t="s">
        <v>2233</v>
      </c>
      <c r="N904" s="454" t="s">
        <v>2137</v>
      </c>
      <c r="O904" s="455"/>
      <c r="P904" s="456"/>
      <c r="Q904" s="2"/>
      <c r="R904" s="2"/>
      <c r="S904" s="2"/>
      <c r="T904" s="2"/>
      <c r="U904" s="2"/>
      <c r="V904" s="2"/>
      <c r="W904" s="2"/>
      <c r="X904" s="26"/>
      <c r="Y904" s="26"/>
    </row>
    <row r="905" spans="1:25" x14ac:dyDescent="0.25">
      <c r="A905" s="2"/>
      <c r="B905" s="9"/>
      <c r="C905" s="369" t="str">
        <f>Water_emissions!CT40</f>
        <v>w_Chromiumh</v>
      </c>
      <c r="D905" s="370" t="str">
        <f>VLOOKUP(C905,'Species Data'!$E$93:$F$183,2,FALSE)</f>
        <v>Chromium (+VI) [Heavy metals to fresh water]</v>
      </c>
      <c r="E905" s="61">
        <v>1</v>
      </c>
      <c r="F905" s="61" t="s">
        <v>41</v>
      </c>
      <c r="G905" s="51">
        <f t="shared" si="54"/>
        <v>5.4750262393941914E-10</v>
      </c>
      <c r="H905" s="335" t="s">
        <v>489</v>
      </c>
      <c r="I905" s="198">
        <f t="shared" si="52"/>
        <v>5.4750262393941914E-10</v>
      </c>
      <c r="J905" s="56" t="s">
        <v>41</v>
      </c>
      <c r="K905" s="371"/>
      <c r="L905" s="50" t="s">
        <v>94</v>
      </c>
      <c r="M905" s="344" t="s">
        <v>2233</v>
      </c>
      <c r="N905" s="454" t="s">
        <v>2137</v>
      </c>
      <c r="O905" s="455"/>
      <c r="P905" s="456"/>
      <c r="Q905" s="2"/>
      <c r="R905" s="2"/>
      <c r="S905" s="2"/>
      <c r="T905" s="2"/>
      <c r="U905" s="2"/>
      <c r="V905" s="2"/>
      <c r="W905" s="2"/>
      <c r="X905" s="26"/>
      <c r="Y905" s="26"/>
    </row>
    <row r="906" spans="1:25" x14ac:dyDescent="0.25">
      <c r="A906" s="2"/>
      <c r="B906" s="9"/>
      <c r="C906" s="369" t="str">
        <f>Water_emissions!CT41</f>
        <v>w_Chrysene</v>
      </c>
      <c r="D906" s="370" t="str">
        <f>VLOOKUP(C906,'Species Data'!$E$93:$F$183,2,FALSE)</f>
        <v>Chrysene [Hydrocarbons to fresh water]</v>
      </c>
      <c r="E906" s="61">
        <v>1</v>
      </c>
      <c r="F906" s="61" t="s">
        <v>41</v>
      </c>
      <c r="G906" s="51">
        <f t="shared" si="54"/>
        <v>4.4705015673464442E-10</v>
      </c>
      <c r="H906" s="335" t="s">
        <v>489</v>
      </c>
      <c r="I906" s="198">
        <f t="shared" si="52"/>
        <v>4.4705015673464442E-10</v>
      </c>
      <c r="J906" s="56" t="s">
        <v>41</v>
      </c>
      <c r="K906" s="371"/>
      <c r="L906" s="50" t="s">
        <v>94</v>
      </c>
      <c r="M906" s="344" t="s">
        <v>2233</v>
      </c>
      <c r="N906" s="454" t="s">
        <v>2137</v>
      </c>
      <c r="O906" s="455"/>
      <c r="P906" s="456"/>
      <c r="Q906" s="2"/>
      <c r="R906" s="2"/>
      <c r="S906" s="2"/>
      <c r="T906" s="2"/>
      <c r="U906" s="2"/>
      <c r="V906" s="2"/>
      <c r="W906" s="2"/>
      <c r="X906" s="26"/>
      <c r="Y906" s="26"/>
    </row>
    <row r="907" spans="1:25" x14ac:dyDescent="0.25">
      <c r="A907" s="2"/>
      <c r="B907" s="9"/>
      <c r="C907" s="369" t="str">
        <f>Water_emissions!CT42</f>
        <v>w_Coppertot</v>
      </c>
      <c r="D907" s="370" t="str">
        <f>VLOOKUP(C907,'Species Data'!$E$93:$F$183,2,FALSE)</f>
        <v>Copper (+II) [Heavy metals to fresh water]</v>
      </c>
      <c r="E907" s="61">
        <v>1</v>
      </c>
      <c r="F907" s="61" t="s">
        <v>41</v>
      </c>
      <c r="G907" s="51">
        <f t="shared" si="54"/>
        <v>3.4212666772221586E-9</v>
      </c>
      <c r="H907" s="335" t="s">
        <v>489</v>
      </c>
      <c r="I907" s="198">
        <f t="shared" si="52"/>
        <v>3.4212666772221586E-9</v>
      </c>
      <c r="J907" s="56" t="s">
        <v>41</v>
      </c>
      <c r="K907" s="371"/>
      <c r="L907" s="50" t="s">
        <v>94</v>
      </c>
      <c r="M907" s="344" t="s">
        <v>2233</v>
      </c>
      <c r="N907" s="454" t="s">
        <v>2137</v>
      </c>
      <c r="O907" s="455"/>
      <c r="P907" s="456"/>
      <c r="Q907" s="2"/>
      <c r="R907" s="2"/>
      <c r="S907" s="2"/>
      <c r="T907" s="2"/>
      <c r="U907" s="2"/>
      <c r="V907" s="2"/>
      <c r="W907" s="2"/>
      <c r="X907" s="26"/>
      <c r="Y907" s="26"/>
    </row>
    <row r="908" spans="1:25" x14ac:dyDescent="0.25">
      <c r="A908" s="2"/>
      <c r="B908" s="9"/>
      <c r="C908" s="369" t="str">
        <f>Water_emissions!CT43</f>
        <v>w_CRESOLS</v>
      </c>
      <c r="D908" s="370" t="str">
        <f>VLOOKUP(C908,'Species Data'!$E$93:$F$183,2,FALSE)</f>
        <v>Cresol (methyl phenol) [Hydrocarbons to fresh water]</v>
      </c>
      <c r="E908" s="61">
        <v>1</v>
      </c>
      <c r="F908" s="61" t="s">
        <v>41</v>
      </c>
      <c r="G908" s="51">
        <f t="shared" si="54"/>
        <v>1.7389355736822831E-4</v>
      </c>
      <c r="H908" s="335" t="s">
        <v>489</v>
      </c>
      <c r="I908" s="198">
        <f t="shared" si="52"/>
        <v>1.7389355736822831E-4</v>
      </c>
      <c r="J908" s="56" t="s">
        <v>41</v>
      </c>
      <c r="K908" s="371"/>
      <c r="L908" s="50" t="s">
        <v>94</v>
      </c>
      <c r="M908" s="344" t="s">
        <v>2233</v>
      </c>
      <c r="N908" s="454" t="s">
        <v>2137</v>
      </c>
      <c r="O908" s="455"/>
      <c r="P908" s="456"/>
      <c r="Q908" s="2"/>
      <c r="R908" s="2"/>
      <c r="S908" s="2"/>
      <c r="T908" s="2"/>
      <c r="U908" s="2"/>
      <c r="V908" s="2"/>
      <c r="W908" s="2"/>
      <c r="X908" s="26"/>
      <c r="Y908" s="26"/>
    </row>
    <row r="909" spans="1:25" x14ac:dyDescent="0.25">
      <c r="A909" s="2"/>
      <c r="B909" s="9"/>
      <c r="C909" s="369" t="str">
        <f>Water_emissions!CT44</f>
        <v>w_Cyanideto</v>
      </c>
      <c r="D909" s="370" t="str">
        <f>VLOOKUP(C909,'Species Data'!$E$93:$F$183,2,FALSE)</f>
        <v>Cyanide [Inorganic emissions to fresh water]</v>
      </c>
      <c r="E909" s="61">
        <v>1</v>
      </c>
      <c r="F909" s="61" t="s">
        <v>41</v>
      </c>
      <c r="G909" s="51">
        <f t="shared" si="54"/>
        <v>9.4332178133497065E-9</v>
      </c>
      <c r="H909" s="335" t="s">
        <v>489</v>
      </c>
      <c r="I909" s="198">
        <f t="shared" si="52"/>
        <v>9.4332178133497065E-9</v>
      </c>
      <c r="J909" s="56" t="s">
        <v>41</v>
      </c>
      <c r="K909" s="371"/>
      <c r="L909" s="50" t="s">
        <v>94</v>
      </c>
      <c r="M909" s="344" t="s">
        <v>2233</v>
      </c>
      <c r="N909" s="454" t="s">
        <v>2137</v>
      </c>
      <c r="O909" s="455"/>
      <c r="P909" s="456"/>
      <c r="Q909" s="2"/>
      <c r="R909" s="2"/>
      <c r="S909" s="2"/>
      <c r="T909" s="2"/>
      <c r="U909" s="2"/>
      <c r="V909" s="2"/>
      <c r="W909" s="2"/>
      <c r="X909" s="26"/>
      <c r="Y909" s="26"/>
    </row>
    <row r="910" spans="1:25" x14ac:dyDescent="0.25">
      <c r="A910" s="2"/>
      <c r="B910" s="9"/>
      <c r="C910" s="369" t="str">
        <f>Water_emissions!CT45</f>
        <v>w_CYCLOHEXA</v>
      </c>
      <c r="D910" s="370" t="str">
        <f>VLOOKUP(C910,'Species Data'!$E$93:$F$183,2,FALSE)</f>
        <v>Cyclohexane (hexahydro benzene) [Hydrocarbons to fresh water]</v>
      </c>
      <c r="E910" s="61">
        <v>1</v>
      </c>
      <c r="F910" s="61" t="s">
        <v>41</v>
      </c>
      <c r="G910" s="51">
        <f t="shared" si="54"/>
        <v>2.8537050249331942E-5</v>
      </c>
      <c r="H910" s="335" t="s">
        <v>489</v>
      </c>
      <c r="I910" s="198">
        <f t="shared" si="52"/>
        <v>2.8537050249331942E-5</v>
      </c>
      <c r="J910" s="56" t="s">
        <v>41</v>
      </c>
      <c r="K910" s="371"/>
      <c r="L910" s="50" t="s">
        <v>94</v>
      </c>
      <c r="M910" s="344" t="s">
        <v>2233</v>
      </c>
      <c r="N910" s="454" t="s">
        <v>2137</v>
      </c>
      <c r="O910" s="455"/>
      <c r="P910" s="456"/>
      <c r="Q910" s="2"/>
      <c r="R910" s="2"/>
      <c r="S910" s="2"/>
      <c r="T910" s="2"/>
      <c r="U910" s="2"/>
      <c r="V910" s="2"/>
      <c r="W910" s="2"/>
      <c r="X910" s="26"/>
      <c r="Y910" s="26"/>
    </row>
    <row r="911" spans="1:25" x14ac:dyDescent="0.25">
      <c r="A911" s="2"/>
      <c r="B911" s="9"/>
      <c r="C911" s="369" t="str">
        <f>Water_emissions!CT46</f>
        <v>w_DIBENZAHA</v>
      </c>
      <c r="D911" s="370" t="str">
        <f>VLOOKUP(C911,'Species Data'!$E$93:$F$183,2,FALSE)</f>
        <v>Dibenz(a)anthracene [Hydrocarbons to fresh water]</v>
      </c>
      <c r="E911" s="61">
        <v>1</v>
      </c>
      <c r="F911" s="61" t="s">
        <v>41</v>
      </c>
      <c r="G911" s="51">
        <f t="shared" si="54"/>
        <v>4.4705015673464442E-10</v>
      </c>
      <c r="H911" s="335" t="s">
        <v>489</v>
      </c>
      <c r="I911" s="198">
        <f t="shared" si="52"/>
        <v>4.4705015673464442E-10</v>
      </c>
      <c r="J911" s="56" t="s">
        <v>41</v>
      </c>
      <c r="K911" s="371"/>
      <c r="L911" s="50" t="s">
        <v>94</v>
      </c>
      <c r="M911" s="344" t="s">
        <v>2233</v>
      </c>
      <c r="N911" s="454" t="s">
        <v>2137</v>
      </c>
      <c r="O911" s="455"/>
      <c r="P911" s="456"/>
      <c r="Q911" s="2"/>
      <c r="R911" s="2"/>
      <c r="S911" s="2"/>
      <c r="T911" s="2"/>
      <c r="U911" s="2"/>
      <c r="V911" s="2"/>
      <c r="W911" s="2"/>
      <c r="X911" s="26"/>
      <c r="Y911" s="26"/>
    </row>
    <row r="912" spans="1:25" x14ac:dyDescent="0.25">
      <c r="A912" s="2"/>
      <c r="B912" s="9"/>
      <c r="C912" s="369" t="str">
        <f>Water_emissions!CT47</f>
        <v>w_DICYCLOPE</v>
      </c>
      <c r="D912" s="370" t="str">
        <f>VLOOKUP(C912,'Species Data'!$E$93:$F$183,2,FALSE)</f>
        <v>Dicyclopentadiene [Organic emissions to fresh water]</v>
      </c>
      <c r="E912" s="61">
        <v>1</v>
      </c>
      <c r="F912" s="61" t="s">
        <v>41</v>
      </c>
      <c r="G912" s="51">
        <f t="shared" si="54"/>
        <v>0</v>
      </c>
      <c r="H912" s="335" t="s">
        <v>489</v>
      </c>
      <c r="I912" s="198">
        <f t="shared" si="52"/>
        <v>0</v>
      </c>
      <c r="J912" s="56" t="s">
        <v>41</v>
      </c>
      <c r="K912" s="371"/>
      <c r="L912" s="50" t="s">
        <v>94</v>
      </c>
      <c r="M912" s="344" t="s">
        <v>2233</v>
      </c>
      <c r="N912" s="454" t="s">
        <v>2137</v>
      </c>
      <c r="O912" s="455"/>
      <c r="P912" s="456"/>
      <c r="Q912" s="2"/>
      <c r="R912" s="2"/>
      <c r="S912" s="2"/>
      <c r="T912" s="2"/>
      <c r="U912" s="2"/>
      <c r="V912" s="2"/>
      <c r="W912" s="2"/>
      <c r="X912" s="26"/>
      <c r="Y912" s="26"/>
    </row>
    <row r="913" spans="1:25" x14ac:dyDescent="0.25">
      <c r="A913" s="2"/>
      <c r="B913" s="9"/>
      <c r="C913" s="369" t="str">
        <f>Water_emissions!CT48</f>
        <v>w_DIETHANOL</v>
      </c>
      <c r="D913" s="370" t="str">
        <f>VLOOKUP(C913,'Species Data'!$E$93:$F$183,2,FALSE)</f>
        <v>Diethanolamine [Organic emissions to fresh water]</v>
      </c>
      <c r="E913" s="61">
        <v>1</v>
      </c>
      <c r="F913" s="61" t="s">
        <v>41</v>
      </c>
      <c r="G913" s="51">
        <f t="shared" si="54"/>
        <v>3.3056840892193144E-3</v>
      </c>
      <c r="H913" s="335" t="s">
        <v>489</v>
      </c>
      <c r="I913" s="198">
        <f t="shared" si="52"/>
        <v>3.3056840892193144E-3</v>
      </c>
      <c r="J913" s="56" t="s">
        <v>41</v>
      </c>
      <c r="K913" s="371"/>
      <c r="L913" s="50" t="s">
        <v>94</v>
      </c>
      <c r="M913" s="344" t="s">
        <v>2233</v>
      </c>
      <c r="N913" s="454" t="s">
        <v>2137</v>
      </c>
      <c r="O913" s="455"/>
      <c r="P913" s="456"/>
      <c r="Q913" s="2"/>
      <c r="R913" s="2"/>
      <c r="S913" s="2"/>
      <c r="T913" s="2"/>
      <c r="U913" s="2"/>
      <c r="V913" s="2"/>
      <c r="W913" s="2"/>
      <c r="X913" s="26"/>
      <c r="Y913" s="26"/>
    </row>
    <row r="914" spans="1:25" x14ac:dyDescent="0.25">
      <c r="A914" s="2"/>
      <c r="B914" s="9"/>
      <c r="C914" s="369" t="str">
        <f>Water_emissions!CT49</f>
        <v>w_DIOXINAND</v>
      </c>
      <c r="D914" s="370" t="str">
        <f>VLOOKUP(C914,'Species Data'!$E$93:$F$183,2,FALSE)</f>
        <v>Polychlorinated dibenzo-p-dioxins (2,3,7,8 - TCDD) [Halogenated organic emissions to fresh water]</v>
      </c>
      <c r="E914" s="61">
        <v>1</v>
      </c>
      <c r="F914" s="61" t="s">
        <v>41</v>
      </c>
      <c r="G914" s="51">
        <f t="shared" si="54"/>
        <v>1.1847471422302826E-9</v>
      </c>
      <c r="H914" s="335" t="s">
        <v>489</v>
      </c>
      <c r="I914" s="198">
        <f t="shared" si="52"/>
        <v>1.1847471422302826E-9</v>
      </c>
      <c r="J914" s="56" t="s">
        <v>41</v>
      </c>
      <c r="K914" s="371"/>
      <c r="L914" s="50" t="s">
        <v>94</v>
      </c>
      <c r="M914" s="344" t="s">
        <v>2233</v>
      </c>
      <c r="N914" s="454" t="s">
        <v>2137</v>
      </c>
      <c r="O914" s="455"/>
      <c r="P914" s="456"/>
      <c r="Q914" s="2"/>
      <c r="R914" s="2"/>
      <c r="S914" s="2"/>
      <c r="T914" s="2"/>
      <c r="U914" s="2"/>
      <c r="V914" s="2"/>
      <c r="W914" s="2"/>
      <c r="X914" s="26"/>
      <c r="Y914" s="26"/>
    </row>
    <row r="915" spans="1:25" x14ac:dyDescent="0.25">
      <c r="A915" s="2"/>
      <c r="B915" s="9"/>
      <c r="C915" s="369" t="str">
        <f>Water_emissions!CT50</f>
        <v>w_ETHENE</v>
      </c>
      <c r="D915" s="370" t="str">
        <f>VLOOKUP(C915,'Species Data'!$E$93:$F$183,2,FALSE)</f>
        <v>Ethene (ethylene) [Hydrocarbons to fresh water]</v>
      </c>
      <c r="E915" s="61">
        <v>1</v>
      </c>
      <c r="F915" s="61" t="s">
        <v>41</v>
      </c>
      <c r="G915" s="51">
        <f t="shared" si="54"/>
        <v>7.2952806806798496E-5</v>
      </c>
      <c r="H915" s="335" t="s">
        <v>489</v>
      </c>
      <c r="I915" s="198">
        <f t="shared" si="52"/>
        <v>7.2952806806798496E-5</v>
      </c>
      <c r="J915" s="56" t="s">
        <v>41</v>
      </c>
      <c r="K915" s="371"/>
      <c r="L915" s="50" t="s">
        <v>94</v>
      </c>
      <c r="M915" s="344" t="s">
        <v>2233</v>
      </c>
      <c r="N915" s="454" t="s">
        <v>2137</v>
      </c>
      <c r="O915" s="455"/>
      <c r="P915" s="456"/>
      <c r="Q915" s="2"/>
      <c r="R915" s="2"/>
      <c r="S915" s="2"/>
      <c r="T915" s="2"/>
      <c r="U915" s="2"/>
      <c r="V915" s="2"/>
      <c r="W915" s="2"/>
      <c r="X915" s="26"/>
      <c r="Y915" s="26"/>
    </row>
    <row r="916" spans="1:25" x14ac:dyDescent="0.25">
      <c r="A916" s="2"/>
      <c r="B916" s="9"/>
      <c r="C916" s="369" t="str">
        <f>Water_emissions!CT51</f>
        <v>w_ETHYLBENZ</v>
      </c>
      <c r="D916" s="370" t="str">
        <f>VLOOKUP(C916,'Species Data'!$E$93:$F$183,2,FALSE)</f>
        <v>Ethyl benzene [Hydrocarbons to fresh water]</v>
      </c>
      <c r="E916" s="61">
        <v>1</v>
      </c>
      <c r="F916" s="61" t="s">
        <v>41</v>
      </c>
      <c r="G916" s="51">
        <f t="shared" si="54"/>
        <v>4.9695536221668716E-5</v>
      </c>
      <c r="H916" s="335" t="s">
        <v>489</v>
      </c>
      <c r="I916" s="198">
        <f t="shared" si="52"/>
        <v>4.9695536221668716E-5</v>
      </c>
      <c r="J916" s="56" t="s">
        <v>41</v>
      </c>
      <c r="K916" s="371"/>
      <c r="L916" s="50" t="s">
        <v>94</v>
      </c>
      <c r="M916" s="344" t="s">
        <v>2233</v>
      </c>
      <c r="N916" s="454" t="s">
        <v>2137</v>
      </c>
      <c r="O916" s="455"/>
      <c r="P916" s="456"/>
      <c r="Q916" s="2"/>
      <c r="R916" s="2"/>
      <c r="S916" s="2"/>
      <c r="T916" s="2"/>
      <c r="U916" s="2"/>
      <c r="V916" s="2"/>
      <c r="W916" s="2"/>
      <c r="X916" s="26"/>
      <c r="Y916" s="26"/>
    </row>
    <row r="917" spans="1:25" x14ac:dyDescent="0.25">
      <c r="A917" s="2"/>
      <c r="B917" s="9"/>
      <c r="C917" s="369" t="str">
        <f>Water_emissions!CT52</f>
        <v>w_ETHYLENED</v>
      </c>
      <c r="D917" s="370" t="str">
        <f>VLOOKUP(C917,'Species Data'!$E$93:$F$183,2,FALSE)</f>
        <v>1,2-Dibromoethane [Halogenated organic emissions to fresh water]</v>
      </c>
      <c r="E917" s="61">
        <v>1</v>
      </c>
      <c r="F917" s="61" t="s">
        <v>41</v>
      </c>
      <c r="G917" s="51">
        <f t="shared" si="54"/>
        <v>1.1652230647396875E-6</v>
      </c>
      <c r="H917" s="335" t="s">
        <v>489</v>
      </c>
      <c r="I917" s="198">
        <f t="shared" si="52"/>
        <v>1.1652230647396875E-6</v>
      </c>
      <c r="J917" s="56" t="s">
        <v>41</v>
      </c>
      <c r="K917" s="371"/>
      <c r="L917" s="50" t="s">
        <v>94</v>
      </c>
      <c r="M917" s="344" t="s">
        <v>2233</v>
      </c>
      <c r="N917" s="454" t="s">
        <v>2137</v>
      </c>
      <c r="O917" s="455"/>
      <c r="P917" s="456"/>
      <c r="Q917" s="2"/>
      <c r="R917" s="2"/>
      <c r="S917" s="2"/>
      <c r="T917" s="2"/>
      <c r="U917" s="2"/>
      <c r="V917" s="2"/>
      <c r="W917" s="2"/>
      <c r="X917" s="26"/>
      <c r="Y917" s="26"/>
    </row>
    <row r="918" spans="1:25" x14ac:dyDescent="0.25">
      <c r="A918" s="2"/>
      <c r="B918" s="9"/>
      <c r="C918" s="369" t="str">
        <f>Water_emissions!CT53</f>
        <v>w_ETHYLENEG</v>
      </c>
      <c r="D918" s="370" t="str">
        <f>VLOOKUP(C918,'Species Data'!$E$93:$F$183,2,FALSE)</f>
        <v>Ethylene Glycol [Organic emissions to fresh water]</v>
      </c>
      <c r="E918" s="61">
        <v>1</v>
      </c>
      <c r="F918" s="61" t="s">
        <v>41</v>
      </c>
      <c r="G918" s="51">
        <f t="shared" si="54"/>
        <v>2.4494336308428344E-2</v>
      </c>
      <c r="H918" s="335" t="s">
        <v>489</v>
      </c>
      <c r="I918" s="198">
        <f t="shared" si="52"/>
        <v>2.4494336308428344E-2</v>
      </c>
      <c r="J918" s="56" t="s">
        <v>41</v>
      </c>
      <c r="K918" s="371"/>
      <c r="L918" s="50" t="s">
        <v>94</v>
      </c>
      <c r="M918" s="344" t="s">
        <v>2233</v>
      </c>
      <c r="N918" s="454" t="s">
        <v>2137</v>
      </c>
      <c r="O918" s="455"/>
      <c r="P918" s="456"/>
      <c r="Q918" s="2"/>
      <c r="R918" s="2"/>
      <c r="S918" s="2"/>
      <c r="T918" s="2"/>
      <c r="U918" s="2"/>
      <c r="V918" s="2"/>
      <c r="W918" s="2"/>
      <c r="X918" s="26"/>
      <c r="Y918" s="26"/>
    </row>
    <row r="919" spans="1:25" x14ac:dyDescent="0.25">
      <c r="A919" s="2"/>
      <c r="B919" s="9"/>
      <c r="C919" s="369" t="str">
        <f>Water_emissions!CT54</f>
        <v>w_FLUORANTH</v>
      </c>
      <c r="D919" s="370" t="str">
        <f>VLOOKUP(C919,'Species Data'!$E$93:$F$183,2,FALSE)</f>
        <v>Fluoranthene [Hydrocarbons to fresh water]</v>
      </c>
      <c r="E919" s="61">
        <v>1</v>
      </c>
      <c r="F919" s="61" t="s">
        <v>41</v>
      </c>
      <c r="G919" s="51">
        <f t="shared" si="54"/>
        <v>0</v>
      </c>
      <c r="H919" s="335" t="s">
        <v>489</v>
      </c>
      <c r="I919" s="198">
        <f t="shared" si="52"/>
        <v>0</v>
      </c>
      <c r="J919" s="56" t="s">
        <v>41</v>
      </c>
      <c r="K919" s="371"/>
      <c r="L919" s="50" t="s">
        <v>94</v>
      </c>
      <c r="M919" s="344" t="s">
        <v>2233</v>
      </c>
      <c r="N919" s="454" t="s">
        <v>2137</v>
      </c>
      <c r="O919" s="455"/>
      <c r="P919" s="456"/>
      <c r="Q919" s="2"/>
      <c r="R919" s="2"/>
      <c r="S919" s="2"/>
      <c r="T919" s="2"/>
      <c r="U919" s="2"/>
      <c r="V919" s="2"/>
      <c r="W919" s="2"/>
      <c r="X919" s="26"/>
      <c r="Y919" s="26"/>
    </row>
    <row r="920" spans="1:25" x14ac:dyDescent="0.25">
      <c r="A920" s="2"/>
      <c r="B920" s="9"/>
      <c r="C920" s="369" t="str">
        <f>Water_emissions!CT55</f>
        <v>w_Fluoridet</v>
      </c>
      <c r="D920" s="370" t="str">
        <f>VLOOKUP(C920,'Species Data'!$E$93:$F$183,2,FALSE)</f>
        <v>Fluoride [Inorganic emissions to fresh water]</v>
      </c>
      <c r="E920" s="61">
        <v>1</v>
      </c>
      <c r="F920" s="61" t="s">
        <v>41</v>
      </c>
      <c r="G920" s="51">
        <f t="shared" si="54"/>
        <v>3.6422456579147204E-7</v>
      </c>
      <c r="H920" s="335" t="s">
        <v>489</v>
      </c>
      <c r="I920" s="198">
        <f t="shared" si="52"/>
        <v>3.6422456579147204E-7</v>
      </c>
      <c r="J920" s="56" t="s">
        <v>41</v>
      </c>
      <c r="K920" s="371"/>
      <c r="L920" s="50" t="s">
        <v>94</v>
      </c>
      <c r="M920" s="344" t="s">
        <v>2233</v>
      </c>
      <c r="N920" s="454" t="s">
        <v>2137</v>
      </c>
      <c r="O920" s="455"/>
      <c r="P920" s="456"/>
      <c r="Q920" s="2"/>
      <c r="R920" s="2"/>
      <c r="S920" s="2"/>
      <c r="T920" s="2"/>
      <c r="U920" s="2"/>
      <c r="V920" s="2"/>
      <c r="W920" s="2"/>
      <c r="X920" s="26"/>
      <c r="Y920" s="26"/>
    </row>
    <row r="921" spans="1:25" x14ac:dyDescent="0.25">
      <c r="A921" s="2"/>
      <c r="B921" s="9"/>
      <c r="C921" s="369" t="str">
        <f>Water_emissions!CT56</f>
        <v>w_FORMALDEH</v>
      </c>
      <c r="D921" s="370" t="str">
        <f>VLOOKUP(C921,'Species Data'!$E$93:$F$183,2,FALSE)</f>
        <v>Formaldehyde (methanal) [Hydrocarbons to fresh water]</v>
      </c>
      <c r="E921" s="61">
        <v>1</v>
      </c>
      <c r="F921" s="61" t="s">
        <v>41</v>
      </c>
      <c r="G921" s="51">
        <f t="shared" si="54"/>
        <v>0</v>
      </c>
      <c r="H921" s="335" t="s">
        <v>489</v>
      </c>
      <c r="I921" s="198">
        <f t="shared" si="52"/>
        <v>0</v>
      </c>
      <c r="J921" s="56" t="s">
        <v>41</v>
      </c>
      <c r="K921" s="371"/>
      <c r="L921" s="50" t="s">
        <v>94</v>
      </c>
      <c r="M921" s="344" t="s">
        <v>2233</v>
      </c>
      <c r="N921" s="454" t="s">
        <v>2137</v>
      </c>
      <c r="O921" s="455"/>
      <c r="P921" s="456"/>
      <c r="Q921" s="2"/>
      <c r="R921" s="2"/>
      <c r="S921" s="2"/>
      <c r="T921" s="2"/>
      <c r="U921" s="2"/>
      <c r="V921" s="2"/>
      <c r="W921" s="2"/>
      <c r="X921" s="26"/>
      <c r="Y921" s="26"/>
    </row>
    <row r="922" spans="1:25" x14ac:dyDescent="0.25">
      <c r="A922" s="2"/>
      <c r="B922" s="9"/>
      <c r="C922" s="369" t="str">
        <f>Water_emissions!CT57</f>
        <v>w_FORMICACI</v>
      </c>
      <c r="D922" s="370" t="str">
        <f>VLOOKUP(C922,'Species Data'!$E$93:$F$183,2,FALSE)</f>
        <v>Formic acid [Organic emissions to fresh water]</v>
      </c>
      <c r="E922" s="61">
        <v>1</v>
      </c>
      <c r="F922" s="61" t="s">
        <v>41</v>
      </c>
      <c r="G922" s="51">
        <f t="shared" si="54"/>
        <v>0</v>
      </c>
      <c r="H922" s="335" t="s">
        <v>489</v>
      </c>
      <c r="I922" s="198">
        <f t="shared" si="52"/>
        <v>0</v>
      </c>
      <c r="J922" s="56" t="s">
        <v>41</v>
      </c>
      <c r="K922" s="371"/>
      <c r="L922" s="50" t="s">
        <v>94</v>
      </c>
      <c r="M922" s="344" t="s">
        <v>2233</v>
      </c>
      <c r="N922" s="454" t="s">
        <v>2137</v>
      </c>
      <c r="O922" s="455"/>
      <c r="P922" s="456"/>
      <c r="Q922" s="2"/>
      <c r="R922" s="2"/>
      <c r="S922" s="2"/>
      <c r="T922" s="2"/>
      <c r="U922" s="2"/>
      <c r="V922" s="2"/>
      <c r="W922" s="2"/>
      <c r="X922" s="26"/>
      <c r="Y922" s="26"/>
    </row>
    <row r="923" spans="1:25" x14ac:dyDescent="0.25">
      <c r="A923" s="2"/>
      <c r="B923" s="9"/>
      <c r="C923" s="369" t="str">
        <f>Water_emissions!CT58</f>
        <v>w_HEXACHLOR</v>
      </c>
      <c r="D923" s="370" t="str">
        <f>VLOOKUP(C923,'Species Data'!$E$93:$F$183,2,FALSE)</f>
        <v>Hexachlorobenzene (Perchlorobenzene) [Halogenated organic emissions to fresh water]</v>
      </c>
      <c r="E923" s="61">
        <v>1</v>
      </c>
      <c r="F923" s="61" t="s">
        <v>41</v>
      </c>
      <c r="G923" s="51">
        <f t="shared" si="54"/>
        <v>5.672819357547408E-5</v>
      </c>
      <c r="H923" s="335" t="s">
        <v>489</v>
      </c>
      <c r="I923" s="198">
        <f t="shared" si="52"/>
        <v>5.672819357547408E-5</v>
      </c>
      <c r="J923" s="56" t="s">
        <v>41</v>
      </c>
      <c r="K923" s="371"/>
      <c r="L923" s="50" t="s">
        <v>94</v>
      </c>
      <c r="M923" s="344" t="s">
        <v>2233</v>
      </c>
      <c r="N923" s="454" t="s">
        <v>2137</v>
      </c>
      <c r="O923" s="455"/>
      <c r="P923" s="456"/>
      <c r="Q923" s="2"/>
      <c r="R923" s="2"/>
      <c r="S923" s="2"/>
      <c r="T923" s="2"/>
      <c r="U923" s="2"/>
      <c r="V923" s="2"/>
      <c r="W923" s="2"/>
      <c r="X923" s="26"/>
      <c r="Y923" s="26"/>
    </row>
    <row r="924" spans="1:25" x14ac:dyDescent="0.25">
      <c r="A924" s="2"/>
      <c r="B924" s="9"/>
      <c r="C924" s="369" t="str">
        <f>Water_emissions!CT59</f>
        <v>w_Hydrocarb</v>
      </c>
      <c r="D924" s="370" t="str">
        <f>VLOOKUP(C924,'Species Data'!$E$93:$F$183,2,FALSE)</f>
        <v>Hydrocarbons (unspecified) [Hydrocarbons to fresh water]</v>
      </c>
      <c r="E924" s="61">
        <v>1</v>
      </c>
      <c r="F924" s="61" t="s">
        <v>41</v>
      </c>
      <c r="G924" s="51">
        <f t="shared" si="54"/>
        <v>1.7319218346887482E-8</v>
      </c>
      <c r="H924" s="335" t="s">
        <v>489</v>
      </c>
      <c r="I924" s="198">
        <f t="shared" si="52"/>
        <v>1.7319218346887482E-8</v>
      </c>
      <c r="J924" s="56" t="s">
        <v>41</v>
      </c>
      <c r="K924" s="371"/>
      <c r="L924" s="50" t="s">
        <v>94</v>
      </c>
      <c r="M924" s="344" t="s">
        <v>2233</v>
      </c>
      <c r="N924" s="454" t="s">
        <v>2137</v>
      </c>
      <c r="O924" s="455"/>
      <c r="P924" s="456"/>
      <c r="Q924" s="2"/>
      <c r="R924" s="2"/>
      <c r="S924" s="2"/>
      <c r="T924" s="2"/>
      <c r="U924" s="2"/>
      <c r="V924" s="2"/>
      <c r="W924" s="2"/>
      <c r="X924" s="26"/>
      <c r="Y924" s="26"/>
    </row>
    <row r="925" spans="1:25" x14ac:dyDescent="0.25">
      <c r="A925" s="2"/>
      <c r="B925" s="9"/>
      <c r="C925" s="369" t="str">
        <f>Water_emissions!CT60</f>
        <v>w_HYDROFLUO</v>
      </c>
      <c r="D925" s="370" t="str">
        <f>VLOOKUP(C925,'Species Data'!$E$93:$F$183,2,FALSE)</f>
        <v>Hydrogen fluoride (hydrofluoric acid) [Inorganic emissions to fresh water]</v>
      </c>
      <c r="E925" s="61">
        <v>1</v>
      </c>
      <c r="F925" s="61" t="s">
        <v>41</v>
      </c>
      <c r="G925" s="51">
        <f t="shared" si="54"/>
        <v>0</v>
      </c>
      <c r="H925" s="335" t="s">
        <v>489</v>
      </c>
      <c r="I925" s="198">
        <f t="shared" si="52"/>
        <v>0</v>
      </c>
      <c r="J925" s="56" t="s">
        <v>41</v>
      </c>
      <c r="K925" s="371"/>
      <c r="L925" s="50" t="s">
        <v>94</v>
      </c>
      <c r="M925" s="344" t="s">
        <v>2233</v>
      </c>
      <c r="N925" s="454" t="s">
        <v>2137</v>
      </c>
      <c r="O925" s="455"/>
      <c r="P925" s="456"/>
      <c r="Q925" s="2"/>
      <c r="R925" s="2"/>
      <c r="S925" s="2"/>
      <c r="T925" s="2"/>
      <c r="U925" s="2"/>
      <c r="V925" s="2"/>
      <c r="W925" s="2"/>
      <c r="X925" s="26"/>
      <c r="Y925" s="26"/>
    </row>
    <row r="926" spans="1:25" x14ac:dyDescent="0.25">
      <c r="A926" s="2"/>
      <c r="B926" s="9"/>
      <c r="C926" s="369" t="str">
        <f>Water_emissions!CT61</f>
        <v>w_HYDROGENC</v>
      </c>
      <c r="D926" s="370" t="str">
        <f>VLOOKUP(C926,'Species Data'!$E$93:$F$183,2,FALSE)</f>
        <v>Hydrogen cyanide (prussic acid) [Inorganic emissions to fresh water]</v>
      </c>
      <c r="E926" s="61">
        <v>1</v>
      </c>
      <c r="F926" s="61" t="s">
        <v>41</v>
      </c>
      <c r="G926" s="51">
        <f t="shared" si="54"/>
        <v>0</v>
      </c>
      <c r="H926" s="335" t="s">
        <v>489</v>
      </c>
      <c r="I926" s="198">
        <f t="shared" si="52"/>
        <v>0</v>
      </c>
      <c r="J926" s="56" t="s">
        <v>41</v>
      </c>
      <c r="K926" s="371"/>
      <c r="L926" s="50" t="s">
        <v>94</v>
      </c>
      <c r="M926" s="344" t="s">
        <v>2233</v>
      </c>
      <c r="N926" s="454" t="s">
        <v>2137</v>
      </c>
      <c r="O926" s="455"/>
      <c r="P926" s="456"/>
      <c r="Q926" s="2"/>
      <c r="R926" s="2"/>
      <c r="S926" s="2"/>
      <c r="T926" s="2"/>
      <c r="U926" s="2"/>
      <c r="V926" s="2"/>
      <c r="W926" s="2"/>
      <c r="X926" s="26"/>
      <c r="Y926" s="26"/>
    </row>
    <row r="927" spans="1:25" x14ac:dyDescent="0.25">
      <c r="A927" s="2"/>
      <c r="B927" s="9"/>
      <c r="C927" s="369" t="str">
        <f>Water_emissions!CT62</f>
        <v>w_Indeno123</v>
      </c>
      <c r="D927" s="370" t="str">
        <f>VLOOKUP(C927,'Species Data'!$E$93:$F$183,2,FALSE)</f>
        <v>Indeno[1,2,3-cd]pyrene [Hydrocarbons to fresh water]</v>
      </c>
      <c r="E927" s="61">
        <v>1</v>
      </c>
      <c r="F927" s="61" t="s">
        <v>41</v>
      </c>
      <c r="G927" s="51">
        <f t="shared" si="54"/>
        <v>0</v>
      </c>
      <c r="H927" s="335" t="s">
        <v>489</v>
      </c>
      <c r="I927" s="198">
        <f t="shared" si="52"/>
        <v>0</v>
      </c>
      <c r="J927" s="56" t="s">
        <v>41</v>
      </c>
      <c r="K927" s="371"/>
      <c r="L927" s="50" t="s">
        <v>94</v>
      </c>
      <c r="M927" s="344" t="s">
        <v>2233</v>
      </c>
      <c r="N927" s="454" t="s">
        <v>2137</v>
      </c>
      <c r="O927" s="455"/>
      <c r="P927" s="456"/>
      <c r="Q927" s="2"/>
      <c r="R927" s="2"/>
      <c r="S927" s="2"/>
      <c r="T927" s="2"/>
      <c r="U927" s="2"/>
      <c r="V927" s="2"/>
      <c r="W927" s="2"/>
      <c r="X927" s="26"/>
      <c r="Y927" s="26"/>
    </row>
    <row r="928" spans="1:25" x14ac:dyDescent="0.25">
      <c r="A928" s="2"/>
      <c r="B928" s="9"/>
      <c r="C928" s="369" t="str">
        <f>Water_emissions!CT63</f>
        <v>w_Irontotal</v>
      </c>
      <c r="D928" s="370" t="str">
        <f>VLOOKUP(C928,'Species Data'!$E$93:$F$183,2,FALSE)</f>
        <v>Iron [Heavy metals to fresh water]</v>
      </c>
      <c r="E928" s="61">
        <v>1</v>
      </c>
      <c r="F928" s="61" t="s">
        <v>41</v>
      </c>
      <c r="G928" s="51">
        <f t="shared" si="54"/>
        <v>1.3949740291635867E-6</v>
      </c>
      <c r="H928" s="335" t="s">
        <v>489</v>
      </c>
      <c r="I928" s="198">
        <f t="shared" si="52"/>
        <v>1.3949740291635867E-6</v>
      </c>
      <c r="J928" s="56" t="s">
        <v>41</v>
      </c>
      <c r="K928" s="371"/>
      <c r="L928" s="50" t="s">
        <v>94</v>
      </c>
      <c r="M928" s="344" t="s">
        <v>2233</v>
      </c>
      <c r="N928" s="454" t="s">
        <v>2137</v>
      </c>
      <c r="O928" s="455"/>
      <c r="P928" s="456"/>
      <c r="Q928" s="2"/>
      <c r="R928" s="2"/>
      <c r="S928" s="2"/>
      <c r="T928" s="2"/>
      <c r="U928" s="2"/>
      <c r="V928" s="2"/>
      <c r="W928" s="2"/>
      <c r="X928" s="26"/>
      <c r="Y928" s="26"/>
    </row>
    <row r="929" spans="1:25" x14ac:dyDescent="0.25">
      <c r="A929" s="2"/>
      <c r="B929" s="9"/>
      <c r="C929" s="369" t="str">
        <f>Water_emissions!CT64</f>
        <v>w_ISOPROPYL</v>
      </c>
      <c r="D929" s="370" t="str">
        <f>VLOOKUP(C929,'Species Data'!$E$93:$F$183,2,FALSE)</f>
        <v>Cumene (isopropylbenzene) [Organic emissions to fresh water]</v>
      </c>
      <c r="E929" s="61">
        <v>1</v>
      </c>
      <c r="F929" s="61" t="s">
        <v>41</v>
      </c>
      <c r="G929" s="51">
        <f t="shared" si="54"/>
        <v>2.3143213314103196E-5</v>
      </c>
      <c r="H929" s="335" t="s">
        <v>489</v>
      </c>
      <c r="I929" s="198">
        <f t="shared" si="52"/>
        <v>2.3143213314103196E-5</v>
      </c>
      <c r="J929" s="56" t="s">
        <v>41</v>
      </c>
      <c r="K929" s="371"/>
      <c r="L929" s="50" t="s">
        <v>94</v>
      </c>
      <c r="M929" s="344" t="s">
        <v>2233</v>
      </c>
      <c r="N929" s="454" t="s">
        <v>2137</v>
      </c>
      <c r="O929" s="455"/>
      <c r="P929" s="456"/>
      <c r="Q929" s="2"/>
      <c r="R929" s="2"/>
      <c r="S929" s="2"/>
      <c r="T929" s="2"/>
      <c r="U929" s="2"/>
      <c r="V929" s="2"/>
      <c r="W929" s="2"/>
      <c r="X929" s="26"/>
      <c r="Y929" s="26"/>
    </row>
    <row r="930" spans="1:25" x14ac:dyDescent="0.25">
      <c r="A930" s="2"/>
      <c r="B930" s="9"/>
      <c r="C930" s="369" t="str">
        <f>Water_emissions!CT65</f>
        <v>w_Leadtotal</v>
      </c>
      <c r="D930" s="370" t="str">
        <f>VLOOKUP(C930,'Species Data'!$E$93:$F$183,2,FALSE)</f>
        <v>Lead (+II) [Heavy metals to fresh water]</v>
      </c>
      <c r="E930" s="61">
        <v>1</v>
      </c>
      <c r="F930" s="61" t="s">
        <v>41</v>
      </c>
      <c r="G930" s="51">
        <f t="shared" si="54"/>
        <v>2.8632499340718151E-9</v>
      </c>
      <c r="H930" s="335" t="s">
        <v>489</v>
      </c>
      <c r="I930" s="198">
        <f t="shared" si="52"/>
        <v>2.8632499340718151E-9</v>
      </c>
      <c r="J930" s="56" t="s">
        <v>41</v>
      </c>
      <c r="K930" s="371"/>
      <c r="L930" s="50" t="s">
        <v>94</v>
      </c>
      <c r="M930" s="344" t="s">
        <v>2233</v>
      </c>
      <c r="N930" s="454" t="s">
        <v>2137</v>
      </c>
      <c r="O930" s="455"/>
      <c r="P930" s="456"/>
      <c r="Q930" s="2"/>
      <c r="R930" s="2"/>
      <c r="S930" s="2"/>
      <c r="T930" s="2"/>
      <c r="U930" s="2"/>
      <c r="V930" s="2"/>
      <c r="W930" s="2"/>
      <c r="X930" s="26"/>
      <c r="Y930" s="26"/>
    </row>
    <row r="931" spans="1:25" x14ac:dyDescent="0.25">
      <c r="A931" s="2"/>
      <c r="B931" s="9"/>
      <c r="C931" s="369" t="str">
        <f>Water_emissions!CT66</f>
        <v>w_Magnesium</v>
      </c>
      <c r="D931" s="370" t="str">
        <f>VLOOKUP(C931,'Species Data'!$E$93:$F$183,2,FALSE)</f>
        <v>Magnesium (+III) [Inorganic emissions to fresh water]</v>
      </c>
      <c r="E931" s="61">
        <v>1</v>
      </c>
      <c r="F931" s="61" t="s">
        <v>41</v>
      </c>
      <c r="G931" s="51">
        <f t="shared" si="54"/>
        <v>2.8736666820279599E-6</v>
      </c>
      <c r="H931" s="335" t="s">
        <v>489</v>
      </c>
      <c r="I931" s="198">
        <f t="shared" si="52"/>
        <v>2.8736666820279599E-6</v>
      </c>
      <c r="J931" s="56" t="s">
        <v>41</v>
      </c>
      <c r="K931" s="371"/>
      <c r="L931" s="50" t="s">
        <v>94</v>
      </c>
      <c r="M931" s="344" t="s">
        <v>2233</v>
      </c>
      <c r="N931" s="454" t="s">
        <v>2137</v>
      </c>
      <c r="O931" s="455"/>
      <c r="P931" s="456"/>
      <c r="Q931" s="2"/>
      <c r="R931" s="2"/>
      <c r="S931" s="2"/>
      <c r="T931" s="2"/>
      <c r="U931" s="2"/>
      <c r="V931" s="2"/>
      <c r="W931" s="2"/>
      <c r="X931" s="26"/>
      <c r="Y931" s="26"/>
    </row>
    <row r="932" spans="1:25" x14ac:dyDescent="0.25">
      <c r="A932" s="2"/>
      <c r="B932" s="9"/>
      <c r="C932" s="369" t="str">
        <f>Water_emissions!CT67</f>
        <v>w_Manganese</v>
      </c>
      <c r="D932" s="370" t="str">
        <f>VLOOKUP(C932,'Species Data'!$E$93:$F$183,2,FALSE)</f>
        <v>Manganese (+II) [Heavy metals to fresh water]</v>
      </c>
      <c r="E932" s="61">
        <v>1</v>
      </c>
      <c r="F932" s="61" t="s">
        <v>41</v>
      </c>
      <c r="G932" s="51">
        <f t="shared" si="54"/>
        <v>5.8608752536484467E-7</v>
      </c>
      <c r="H932" s="335" t="s">
        <v>489</v>
      </c>
      <c r="I932" s="198">
        <f t="shared" si="52"/>
        <v>5.8608752536484467E-7</v>
      </c>
      <c r="J932" s="56" t="s">
        <v>41</v>
      </c>
      <c r="K932" s="371"/>
      <c r="L932" s="50" t="s">
        <v>94</v>
      </c>
      <c r="M932" s="344" t="s">
        <v>2233</v>
      </c>
      <c r="N932" s="454" t="s">
        <v>2137</v>
      </c>
      <c r="O932" s="455"/>
      <c r="P932" s="456"/>
      <c r="Q932" s="2"/>
      <c r="R932" s="2"/>
      <c r="S932" s="2"/>
      <c r="T932" s="2"/>
      <c r="U932" s="2"/>
      <c r="V932" s="2"/>
      <c r="W932" s="2"/>
      <c r="X932" s="26"/>
      <c r="Y932" s="26"/>
    </row>
    <row r="933" spans="1:25" x14ac:dyDescent="0.25">
      <c r="A933" s="2"/>
      <c r="B933" s="9"/>
      <c r="C933" s="369" t="str">
        <f>Water_emissions!CT68</f>
        <v>w_Mercuryto</v>
      </c>
      <c r="D933" s="370" t="str">
        <f>VLOOKUP(C933,'Species Data'!$E$93:$F$183,2,FALSE)</f>
        <v>Mercury (+II) [Heavy metals to fresh water]</v>
      </c>
      <c r="E933" s="61">
        <v>1</v>
      </c>
      <c r="F933" s="61" t="s">
        <v>41</v>
      </c>
      <c r="G933" s="51">
        <f t="shared" ref="G933:G966" si="55">IF($C933="",1,VLOOKUP($C933,$C$22:$H$790,3,FALSE))</f>
        <v>4.3553390516058695E-12</v>
      </c>
      <c r="H933" s="335" t="s">
        <v>489</v>
      </c>
      <c r="I933" s="198">
        <f t="shared" si="52"/>
        <v>4.3553390516058695E-12</v>
      </c>
      <c r="J933" s="56" t="s">
        <v>41</v>
      </c>
      <c r="K933" s="371"/>
      <c r="L933" s="50" t="s">
        <v>94</v>
      </c>
      <c r="M933" s="344" t="s">
        <v>2233</v>
      </c>
      <c r="N933" s="454" t="s">
        <v>2137</v>
      </c>
      <c r="O933" s="455"/>
      <c r="P933" s="456"/>
      <c r="Q933" s="2"/>
      <c r="R933" s="2"/>
      <c r="S933" s="2"/>
      <c r="T933" s="2"/>
      <c r="U933" s="2"/>
      <c r="V933" s="2"/>
      <c r="W933" s="2"/>
      <c r="X933" s="26"/>
      <c r="Y933" s="26"/>
    </row>
    <row r="934" spans="1:25" x14ac:dyDescent="0.25">
      <c r="A934" s="2"/>
      <c r="B934" s="9"/>
      <c r="C934" s="369" t="str">
        <f>Water_emissions!CT69</f>
        <v>w_METHANOL</v>
      </c>
      <c r="D934" s="370" t="str">
        <f>VLOOKUP(C934,'Species Data'!$E$93:$F$183,2,FALSE)</f>
        <v>Methanol [Hydrocarbons to fresh water]</v>
      </c>
      <c r="E934" s="61">
        <v>1</v>
      </c>
      <c r="F934" s="61" t="s">
        <v>41</v>
      </c>
      <c r="G934" s="51">
        <f t="shared" si="55"/>
        <v>1.5968584241365404E-2</v>
      </c>
      <c r="H934" s="335" t="s">
        <v>489</v>
      </c>
      <c r="I934" s="198">
        <f t="shared" ref="I934:I966" si="56">IF(D934="","",E934*G934*$D$5)</f>
        <v>1.5968584241365404E-2</v>
      </c>
      <c r="J934" s="56" t="s">
        <v>41</v>
      </c>
      <c r="K934" s="371"/>
      <c r="L934" s="50" t="s">
        <v>94</v>
      </c>
      <c r="M934" s="344" t="s">
        <v>2233</v>
      </c>
      <c r="N934" s="454" t="s">
        <v>2137</v>
      </c>
      <c r="O934" s="455"/>
      <c r="P934" s="456"/>
      <c r="Q934" s="2"/>
      <c r="R934" s="2"/>
      <c r="S934" s="2"/>
      <c r="T934" s="2"/>
      <c r="U934" s="2"/>
      <c r="V934" s="2"/>
      <c r="W934" s="2"/>
      <c r="X934" s="26"/>
      <c r="Y934" s="26"/>
    </row>
    <row r="935" spans="1:25" x14ac:dyDescent="0.25">
      <c r="A935" s="2"/>
      <c r="B935" s="9"/>
      <c r="C935" s="369" t="str">
        <f>Water_emissions!CT70</f>
        <v>w_METHYLISO</v>
      </c>
      <c r="D935" s="370" t="str">
        <f>VLOOKUP(C935,'Species Data'!$E$93:$F$183,2,FALSE)</f>
        <v>Methyl isobutyl ketone [Organic emissions to fresh water]</v>
      </c>
      <c r="E935" s="61">
        <v>1</v>
      </c>
      <c r="F935" s="61" t="s">
        <v>41</v>
      </c>
      <c r="G935" s="51">
        <f t="shared" si="55"/>
        <v>8.109530515477895E-5</v>
      </c>
      <c r="H935" s="335" t="s">
        <v>489</v>
      </c>
      <c r="I935" s="198">
        <f t="shared" si="56"/>
        <v>8.109530515477895E-5</v>
      </c>
      <c r="J935" s="56" t="s">
        <v>41</v>
      </c>
      <c r="K935" s="371"/>
      <c r="L935" s="50" t="s">
        <v>94</v>
      </c>
      <c r="M935" s="344" t="s">
        <v>2233</v>
      </c>
      <c r="N935" s="454" t="s">
        <v>2137</v>
      </c>
      <c r="O935" s="455"/>
      <c r="P935" s="456"/>
      <c r="Q935" s="2"/>
      <c r="R935" s="2"/>
      <c r="S935" s="2"/>
      <c r="T935" s="2"/>
      <c r="U935" s="2"/>
      <c r="V935" s="2"/>
      <c r="W935" s="2"/>
      <c r="X935" s="26"/>
      <c r="Y935" s="26"/>
    </row>
    <row r="936" spans="1:25" x14ac:dyDescent="0.25">
      <c r="A936" s="2"/>
      <c r="B936" s="9"/>
      <c r="C936" s="369" t="str">
        <f>Water_emissions!CT71</f>
        <v>w_METHYLTBU</v>
      </c>
      <c r="D936" s="370" t="str">
        <f>VLOOKUP(C936,'Species Data'!$E$93:$F$183,2,FALSE)</f>
        <v>Methyl tert-butylether [Hydrocarbons to fresh water]</v>
      </c>
      <c r="E936" s="61">
        <v>1</v>
      </c>
      <c r="F936" s="61" t="s">
        <v>41</v>
      </c>
      <c r="G936" s="51">
        <f t="shared" si="55"/>
        <v>2.330446129479375E-6</v>
      </c>
      <c r="H936" s="335" t="s">
        <v>489</v>
      </c>
      <c r="I936" s="198">
        <f t="shared" si="56"/>
        <v>2.330446129479375E-6</v>
      </c>
      <c r="J936" s="56" t="s">
        <v>41</v>
      </c>
      <c r="K936" s="371"/>
      <c r="L936" s="50" t="s">
        <v>94</v>
      </c>
      <c r="M936" s="344" t="s">
        <v>2233</v>
      </c>
      <c r="N936" s="454" t="s">
        <v>2137</v>
      </c>
      <c r="O936" s="455"/>
      <c r="P936" s="456"/>
      <c r="Q936" s="2"/>
      <c r="R936" s="2"/>
      <c r="S936" s="2"/>
      <c r="T936" s="2"/>
      <c r="U936" s="2"/>
      <c r="V936" s="2"/>
      <c r="W936" s="2"/>
      <c r="X936" s="26"/>
      <c r="Y936" s="26"/>
    </row>
    <row r="937" spans="1:25" x14ac:dyDescent="0.25">
      <c r="A937" s="2"/>
      <c r="B937" s="9"/>
      <c r="C937" s="369" t="str">
        <f>Water_emissions!CT72</f>
        <v>w_METIRAM</v>
      </c>
      <c r="D937" s="370" t="str">
        <f>VLOOKUP(C937,'Species Data'!$E$93:$F$183,2,FALSE)</f>
        <v>Metiram [Pesticides to fresh water]</v>
      </c>
      <c r="E937" s="61">
        <v>1</v>
      </c>
      <c r="F937" s="61" t="s">
        <v>41</v>
      </c>
      <c r="G937" s="51">
        <f t="shared" si="55"/>
        <v>8.6799782382921883E-10</v>
      </c>
      <c r="H937" s="335" t="s">
        <v>489</v>
      </c>
      <c r="I937" s="198">
        <f t="shared" si="56"/>
        <v>8.6799782382921883E-10</v>
      </c>
      <c r="J937" s="56" t="s">
        <v>41</v>
      </c>
      <c r="K937" s="371"/>
      <c r="L937" s="50" t="s">
        <v>94</v>
      </c>
      <c r="M937" s="344" t="s">
        <v>2233</v>
      </c>
      <c r="N937" s="454" t="s">
        <v>2137</v>
      </c>
      <c r="O937" s="455"/>
      <c r="P937" s="456"/>
      <c r="Q937" s="2"/>
      <c r="R937" s="2"/>
      <c r="S937" s="2"/>
      <c r="T937" s="2"/>
      <c r="U937" s="2"/>
      <c r="V937" s="2"/>
      <c r="W937" s="2"/>
      <c r="X937" s="26"/>
      <c r="Y937" s="26"/>
    </row>
    <row r="938" spans="1:25" x14ac:dyDescent="0.25">
      <c r="A938" s="2"/>
      <c r="B938" s="9"/>
      <c r="C938" s="369" t="str">
        <f>Water_emissions!CT73</f>
        <v>w_MOLYBDENU</v>
      </c>
      <c r="D938" s="370" t="str">
        <f>VLOOKUP(C938,'Species Data'!$E$93:$F$183,2,FALSE)</f>
        <v>Molybdenum trioxide [Inorganic emissions to fresh water]</v>
      </c>
      <c r="E938" s="61">
        <v>1</v>
      </c>
      <c r="F938" s="61" t="s">
        <v>41</v>
      </c>
      <c r="G938" s="51">
        <f t="shared" si="55"/>
        <v>1.071365188434365E-3</v>
      </c>
      <c r="H938" s="335" t="s">
        <v>489</v>
      </c>
      <c r="I938" s="198">
        <f t="shared" si="56"/>
        <v>1.071365188434365E-3</v>
      </c>
      <c r="J938" s="56" t="s">
        <v>41</v>
      </c>
      <c r="K938" s="371"/>
      <c r="L938" s="50" t="s">
        <v>94</v>
      </c>
      <c r="M938" s="344" t="s">
        <v>2233</v>
      </c>
      <c r="N938" s="454" t="s">
        <v>2137</v>
      </c>
      <c r="O938" s="455"/>
      <c r="P938" s="456"/>
      <c r="Q938" s="2"/>
      <c r="R938" s="2"/>
      <c r="S938" s="2"/>
      <c r="T938" s="2"/>
      <c r="U938" s="2"/>
      <c r="V938" s="2"/>
      <c r="W938" s="2"/>
      <c r="X938" s="26"/>
      <c r="Y938" s="26"/>
    </row>
    <row r="939" spans="1:25" x14ac:dyDescent="0.25">
      <c r="A939" s="2"/>
      <c r="B939" s="9"/>
      <c r="C939" s="369" t="str">
        <f>Water_emissions!CT74</f>
        <v>w_MXYLENE</v>
      </c>
      <c r="D939" s="370" t="str">
        <f>VLOOKUP(C939,'Species Data'!$E$93:$F$183,2,FALSE)</f>
        <v>Xylene (meta-Xylene; 1,3-Dimethylbenzene) [Hydrocarbons to fresh water]</v>
      </c>
      <c r="E939" s="61">
        <v>1</v>
      </c>
      <c r="F939" s="61" t="s">
        <v>41</v>
      </c>
      <c r="G939" s="51">
        <f t="shared" si="55"/>
        <v>1.1937732022930661E-4</v>
      </c>
      <c r="H939" s="335" t="s">
        <v>489</v>
      </c>
      <c r="I939" s="198">
        <f t="shared" si="56"/>
        <v>1.1937732022930661E-4</v>
      </c>
      <c r="J939" s="56" t="s">
        <v>41</v>
      </c>
      <c r="K939" s="371"/>
      <c r="L939" s="50" t="s">
        <v>94</v>
      </c>
      <c r="M939" s="344" t="s">
        <v>2233</v>
      </c>
      <c r="N939" s="454" t="s">
        <v>2137</v>
      </c>
      <c r="O939" s="455"/>
      <c r="P939" s="456"/>
      <c r="Q939" s="2"/>
      <c r="R939" s="2"/>
      <c r="S939" s="2"/>
      <c r="T939" s="2"/>
      <c r="U939" s="2"/>
      <c r="V939" s="2"/>
      <c r="W939" s="2"/>
      <c r="X939" s="26"/>
      <c r="Y939" s="26"/>
    </row>
    <row r="940" spans="1:25" x14ac:dyDescent="0.25">
      <c r="A940" s="2"/>
      <c r="B940" s="9"/>
      <c r="C940" s="369" t="str">
        <f>Water_emissions!CT75</f>
        <v>w_NNDIMETHY</v>
      </c>
      <c r="D940" s="370" t="str">
        <f>VLOOKUP(C940,'Species Data'!$E$93:$F$183,2,FALSE)</f>
        <v>N,N-Dimethyl formamide [Organic emissions to fresh water]</v>
      </c>
      <c r="E940" s="61">
        <v>1</v>
      </c>
      <c r="F940" s="61" t="s">
        <v>41</v>
      </c>
      <c r="G940" s="51">
        <f t="shared" si="55"/>
        <v>0</v>
      </c>
      <c r="H940" s="335" t="s">
        <v>489</v>
      </c>
      <c r="I940" s="198">
        <f t="shared" si="56"/>
        <v>0</v>
      </c>
      <c r="J940" s="56" t="s">
        <v>41</v>
      </c>
      <c r="K940" s="371"/>
      <c r="L940" s="50" t="s">
        <v>94</v>
      </c>
      <c r="M940" s="344" t="s">
        <v>2233</v>
      </c>
      <c r="N940" s="454" t="s">
        <v>2137</v>
      </c>
      <c r="O940" s="455"/>
      <c r="P940" s="456"/>
      <c r="Q940" s="2"/>
      <c r="R940" s="2"/>
      <c r="S940" s="2"/>
      <c r="T940" s="2"/>
      <c r="U940" s="2"/>
      <c r="V940" s="2"/>
      <c r="W940" s="2"/>
      <c r="X940" s="26"/>
      <c r="Y940" s="26"/>
    </row>
    <row r="941" spans="1:25" x14ac:dyDescent="0.25">
      <c r="A941" s="2"/>
      <c r="B941" s="9"/>
      <c r="C941" s="369" t="str">
        <f>Water_emissions!CT76</f>
        <v>w_NAPHTHALE</v>
      </c>
      <c r="D941" s="370" t="str">
        <f>VLOOKUP(C941,'Species Data'!$E$93:$F$183,2,FALSE)</f>
        <v>Naphthalene [Hydrocarbons to fresh water]</v>
      </c>
      <c r="E941" s="61">
        <v>1</v>
      </c>
      <c r="F941" s="61" t="s">
        <v>41</v>
      </c>
      <c r="G941" s="51">
        <f t="shared" si="55"/>
        <v>4.2719802381837834E-5</v>
      </c>
      <c r="H941" s="335" t="s">
        <v>489</v>
      </c>
      <c r="I941" s="198">
        <f t="shared" si="56"/>
        <v>4.2719802381837834E-5</v>
      </c>
      <c r="J941" s="56" t="s">
        <v>41</v>
      </c>
      <c r="K941" s="371"/>
      <c r="L941" s="50" t="s">
        <v>94</v>
      </c>
      <c r="M941" s="344" t="s">
        <v>2233</v>
      </c>
      <c r="N941" s="454" t="s">
        <v>2137</v>
      </c>
      <c r="O941" s="455"/>
      <c r="P941" s="456"/>
      <c r="Q941" s="2"/>
      <c r="R941" s="2"/>
      <c r="S941" s="2"/>
      <c r="T941" s="2"/>
      <c r="U941" s="2"/>
      <c r="V941" s="2"/>
      <c r="W941" s="2"/>
      <c r="X941" s="26"/>
      <c r="Y941" s="26"/>
    </row>
    <row r="942" spans="1:25" x14ac:dyDescent="0.25">
      <c r="A942" s="2"/>
      <c r="B942" s="9"/>
      <c r="C942" s="369" t="str">
        <f>Water_emissions!CT77</f>
        <v>w_NHEXANE</v>
      </c>
      <c r="D942" s="370" t="str">
        <f>VLOOKUP(C942,'Species Data'!$E$93:$F$183,2,FALSE)</f>
        <v>Hexane (isomers) [Hydrocarbons to fresh water]</v>
      </c>
      <c r="E942" s="61">
        <v>1</v>
      </c>
      <c r="F942" s="61" t="s">
        <v>41</v>
      </c>
      <c r="G942" s="51">
        <f t="shared" si="55"/>
        <v>2.7979093378826221E-5</v>
      </c>
      <c r="H942" s="335" t="s">
        <v>489</v>
      </c>
      <c r="I942" s="198">
        <f t="shared" si="56"/>
        <v>2.7979093378826221E-5</v>
      </c>
      <c r="J942" s="56" t="s">
        <v>41</v>
      </c>
      <c r="K942" s="371"/>
      <c r="L942" s="50" t="s">
        <v>94</v>
      </c>
      <c r="M942" s="344" t="s">
        <v>2233</v>
      </c>
      <c r="N942" s="454" t="s">
        <v>2137</v>
      </c>
      <c r="O942" s="455"/>
      <c r="P942" s="456"/>
      <c r="Q942" s="2"/>
      <c r="R942" s="2"/>
      <c r="S942" s="2"/>
      <c r="T942" s="2"/>
      <c r="U942" s="2"/>
      <c r="V942" s="2"/>
      <c r="W942" s="2"/>
      <c r="X942" s="26"/>
      <c r="Y942" s="26"/>
    </row>
    <row r="943" spans="1:25" x14ac:dyDescent="0.25">
      <c r="A943" s="2"/>
      <c r="B943" s="9"/>
      <c r="C943" s="369" t="str">
        <f>Water_emissions!CT78</f>
        <v>w_Nickeltot</v>
      </c>
      <c r="D943" s="370" t="str">
        <f>VLOOKUP(C943,'Species Data'!$E$93:$F$183,2,FALSE)</f>
        <v>Nickel (+II) [Heavy metals to fresh water]</v>
      </c>
      <c r="E943" s="61">
        <v>1</v>
      </c>
      <c r="F943" s="61" t="s">
        <v>41</v>
      </c>
      <c r="G943" s="51">
        <f t="shared" si="55"/>
        <v>3.4782216655127141E-8</v>
      </c>
      <c r="H943" s="335" t="s">
        <v>489</v>
      </c>
      <c r="I943" s="198">
        <f t="shared" si="56"/>
        <v>3.4782216655127141E-8</v>
      </c>
      <c r="J943" s="56" t="s">
        <v>41</v>
      </c>
      <c r="K943" s="371"/>
      <c r="L943" s="50" t="s">
        <v>94</v>
      </c>
      <c r="M943" s="344" t="s">
        <v>2233</v>
      </c>
      <c r="N943" s="454" t="s">
        <v>2137</v>
      </c>
      <c r="O943" s="455"/>
      <c r="P943" s="456"/>
      <c r="Q943" s="2"/>
      <c r="R943" s="2"/>
      <c r="S943" s="2"/>
      <c r="T943" s="2"/>
      <c r="U943" s="2"/>
      <c r="V943" s="2"/>
      <c r="W943" s="2"/>
      <c r="X943" s="26"/>
      <c r="Y943" s="26"/>
    </row>
    <row r="944" spans="1:25" x14ac:dyDescent="0.25">
      <c r="A944" s="2"/>
      <c r="B944" s="9"/>
      <c r="C944" s="369" t="str">
        <f>Water_emissions!CT79</f>
        <v>w_NITRATE</v>
      </c>
      <c r="D944" s="370" t="str">
        <f>VLOOKUP(C944,'Species Data'!$E$93:$F$183,2,FALSE)</f>
        <v>Nitrate [Inorganic emissions to fresh water]</v>
      </c>
      <c r="E944" s="61">
        <v>1</v>
      </c>
      <c r="F944" s="61" t="s">
        <v>41</v>
      </c>
      <c r="G944" s="51">
        <f t="shared" si="55"/>
        <v>2.2217312262673881</v>
      </c>
      <c r="H944" s="335" t="s">
        <v>489</v>
      </c>
      <c r="I944" s="198">
        <f t="shared" si="56"/>
        <v>2.2217312262673881</v>
      </c>
      <c r="J944" s="56" t="s">
        <v>41</v>
      </c>
      <c r="K944" s="371"/>
      <c r="L944" s="50" t="s">
        <v>94</v>
      </c>
      <c r="M944" s="344" t="s">
        <v>2233</v>
      </c>
      <c r="N944" s="454" t="s">
        <v>2137</v>
      </c>
      <c r="O944" s="455"/>
      <c r="P944" s="456"/>
      <c r="Q944" s="2"/>
      <c r="R944" s="2"/>
      <c r="S944" s="2"/>
      <c r="T944" s="2"/>
      <c r="U944" s="2"/>
      <c r="V944" s="2"/>
      <c r="W944" s="2"/>
      <c r="X944" s="26"/>
      <c r="Y944" s="26"/>
    </row>
    <row r="945" spans="1:25" x14ac:dyDescent="0.25">
      <c r="A945" s="2"/>
      <c r="B945" s="9"/>
      <c r="C945" s="369" t="str">
        <f>Water_emissions!CT80</f>
        <v>w_NITROGEN</v>
      </c>
      <c r="D945" s="370" t="str">
        <f>VLOOKUP(C945,'Species Data'!$E$93:$F$183,2,FALSE)</f>
        <v>Nitrogen [Inorganic emissions to fresh water]</v>
      </c>
      <c r="E945" s="61">
        <v>1</v>
      </c>
      <c r="F945" s="61" t="s">
        <v>41</v>
      </c>
      <c r="G945" s="51">
        <f t="shared" si="55"/>
        <v>2.8997881705274892E-6</v>
      </c>
      <c r="H945" s="335" t="s">
        <v>489</v>
      </c>
      <c r="I945" s="198">
        <f t="shared" si="56"/>
        <v>2.8997881705274892E-6</v>
      </c>
      <c r="J945" s="56" t="s">
        <v>41</v>
      </c>
      <c r="K945" s="371"/>
      <c r="L945" s="50" t="s">
        <v>94</v>
      </c>
      <c r="M945" s="344" t="s">
        <v>2233</v>
      </c>
      <c r="N945" s="454" t="s">
        <v>2137</v>
      </c>
      <c r="O945" s="455"/>
      <c r="P945" s="456"/>
      <c r="Q945" s="2"/>
      <c r="R945" s="2"/>
      <c r="S945" s="2"/>
      <c r="T945" s="2"/>
      <c r="U945" s="2"/>
      <c r="V945" s="2"/>
      <c r="W945" s="2"/>
      <c r="X945" s="26"/>
      <c r="Y945" s="26"/>
    </row>
    <row r="946" spans="1:25" x14ac:dyDescent="0.25">
      <c r="A946" s="2"/>
      <c r="B946" s="9"/>
      <c r="C946" s="369" t="str">
        <f>Water_emissions!CT81</f>
        <v>w_NMETHYLPY</v>
      </c>
      <c r="D946" s="370" t="str">
        <f>VLOOKUP(C946,'Species Data'!$E$93:$F$183,2,FALSE)</f>
        <v>N-Methylpryrrolidone [Hydrocarbons to fresh water]</v>
      </c>
      <c r="E946" s="61">
        <v>1</v>
      </c>
      <c r="F946" s="61" t="s">
        <v>41</v>
      </c>
      <c r="G946" s="51">
        <f t="shared" si="55"/>
        <v>0</v>
      </c>
      <c r="H946" s="335" t="s">
        <v>489</v>
      </c>
      <c r="I946" s="198">
        <f t="shared" si="56"/>
        <v>0</v>
      </c>
      <c r="J946" s="56" t="s">
        <v>41</v>
      </c>
      <c r="K946" s="371"/>
      <c r="L946" s="50" t="s">
        <v>94</v>
      </c>
      <c r="M946" s="344" t="s">
        <v>2233</v>
      </c>
      <c r="N946" s="454" t="s">
        <v>2137</v>
      </c>
      <c r="O946" s="455"/>
      <c r="P946" s="456"/>
      <c r="Q946" s="2"/>
      <c r="R946" s="2"/>
      <c r="S946" s="2"/>
      <c r="T946" s="2"/>
      <c r="U946" s="2"/>
      <c r="V946" s="2"/>
      <c r="W946" s="2"/>
      <c r="X946" s="26"/>
      <c r="Y946" s="26"/>
    </row>
    <row r="947" spans="1:25" x14ac:dyDescent="0.25">
      <c r="A947" s="2"/>
      <c r="B947" s="9"/>
      <c r="C947" s="369" t="str">
        <f>Water_emissions!CT82</f>
        <v>w_OXYLENE</v>
      </c>
      <c r="D947" s="370" t="str">
        <f>VLOOKUP(C947,'Species Data'!$E$93:$F$183,2,FALSE)</f>
        <v>Xylene (ortho-Xylene; 1,2-Dimethylbenzene) [Hydrocarbons to fresh water]</v>
      </c>
      <c r="E947" s="61">
        <v>1</v>
      </c>
      <c r="F947" s="61" t="s">
        <v>41</v>
      </c>
      <c r="G947" s="51">
        <f t="shared" si="55"/>
        <v>2.3151965135380676E-4</v>
      </c>
      <c r="H947" s="335" t="s">
        <v>489</v>
      </c>
      <c r="I947" s="198">
        <f t="shared" si="56"/>
        <v>2.3151965135380676E-4</v>
      </c>
      <c r="J947" s="56" t="s">
        <v>41</v>
      </c>
      <c r="K947" s="371"/>
      <c r="L947" s="50" t="s">
        <v>94</v>
      </c>
      <c r="M947" s="344" t="s">
        <v>2233</v>
      </c>
      <c r="N947" s="454" t="s">
        <v>2137</v>
      </c>
      <c r="O947" s="455"/>
      <c r="P947" s="456"/>
      <c r="Q947" s="2"/>
      <c r="R947" s="2"/>
      <c r="S947" s="2"/>
      <c r="T947" s="2"/>
      <c r="U947" s="2"/>
      <c r="V947" s="2"/>
      <c r="W947" s="2"/>
      <c r="X947" s="26"/>
      <c r="Y947" s="26"/>
    </row>
    <row r="948" spans="1:25" x14ac:dyDescent="0.25">
      <c r="A948" s="2"/>
      <c r="B948" s="9"/>
      <c r="C948" s="369" t="str">
        <f>Water_emissions!CT83</f>
        <v>w_PERCHLORO</v>
      </c>
      <c r="D948" s="370" t="str">
        <f>VLOOKUP(C948,'Species Data'!$E$93:$F$183,2,FALSE)</f>
        <v>Tetrachloroethene (perchloroethylene) [Halogenated organic emissions to fresh water]</v>
      </c>
      <c r="E948" s="61">
        <v>1</v>
      </c>
      <c r="F948" s="61" t="s">
        <v>41</v>
      </c>
      <c r="G948" s="51">
        <f t="shared" si="55"/>
        <v>4.9293221093493879E-5</v>
      </c>
      <c r="H948" s="335" t="s">
        <v>489</v>
      </c>
      <c r="I948" s="198">
        <f t="shared" si="56"/>
        <v>4.9293221093493879E-5</v>
      </c>
      <c r="J948" s="56" t="s">
        <v>41</v>
      </c>
      <c r="K948" s="371"/>
      <c r="L948" s="50" t="s">
        <v>94</v>
      </c>
      <c r="M948" s="344" t="s">
        <v>2233</v>
      </c>
      <c r="N948" s="454" t="s">
        <v>2137</v>
      </c>
      <c r="O948" s="455"/>
      <c r="P948" s="456"/>
      <c r="Q948" s="2"/>
      <c r="R948" s="2"/>
      <c r="S948" s="2"/>
      <c r="T948" s="2"/>
      <c r="U948" s="2"/>
      <c r="V948" s="2"/>
      <c r="W948" s="2"/>
      <c r="X948" s="26"/>
      <c r="Y948" s="26"/>
    </row>
    <row r="949" spans="1:25" x14ac:dyDescent="0.25">
      <c r="A949" s="2"/>
      <c r="B949" s="9"/>
      <c r="C949" s="369" t="str">
        <f>Water_emissions!CT84</f>
        <v>w_PHENANTHR</v>
      </c>
      <c r="D949" s="370" t="str">
        <f>VLOOKUP(C949,'Species Data'!$E$93:$F$183,2,FALSE)</f>
        <v>Phenanthrene [Hydrocarbons to fresh water]</v>
      </c>
      <c r="E949" s="61">
        <v>1</v>
      </c>
      <c r="F949" s="61" t="s">
        <v>41</v>
      </c>
      <c r="G949" s="51">
        <f t="shared" si="55"/>
        <v>3.3787082783692506E-5</v>
      </c>
      <c r="H949" s="335" t="s">
        <v>489</v>
      </c>
      <c r="I949" s="198">
        <f t="shared" si="56"/>
        <v>3.3787082783692506E-5</v>
      </c>
      <c r="J949" s="56" t="s">
        <v>41</v>
      </c>
      <c r="K949" s="371"/>
      <c r="L949" s="50" t="s">
        <v>94</v>
      </c>
      <c r="M949" s="344" t="s">
        <v>2233</v>
      </c>
      <c r="N949" s="454" t="s">
        <v>2137</v>
      </c>
      <c r="O949" s="455"/>
      <c r="P949" s="456"/>
      <c r="Q949" s="2"/>
      <c r="R949" s="2"/>
      <c r="S949" s="2"/>
      <c r="T949" s="2"/>
      <c r="U949" s="2"/>
      <c r="V949" s="2"/>
      <c r="W949" s="2"/>
      <c r="X949" s="26"/>
      <c r="Y949" s="26"/>
    </row>
    <row r="950" spans="1:25" x14ac:dyDescent="0.25">
      <c r="A950" s="2"/>
      <c r="B950" s="9"/>
      <c r="C950" s="369" t="str">
        <f>Water_emissions!CT85</f>
        <v>w_PHENOL</v>
      </c>
      <c r="D950" s="370" t="str">
        <f>VLOOKUP(C950,'Species Data'!$E$93:$F$183,2,FALSE)</f>
        <v>Phenol (hydroxy benzene) [Hydrocarbons to fresh water]</v>
      </c>
      <c r="E950" s="61">
        <v>1</v>
      </c>
      <c r="F950" s="61" t="s">
        <v>41</v>
      </c>
      <c r="G950" s="51">
        <f t="shared" si="55"/>
        <v>5.0047043561860384E-4</v>
      </c>
      <c r="H950" s="335" t="s">
        <v>489</v>
      </c>
      <c r="I950" s="198">
        <f t="shared" si="56"/>
        <v>5.0047043561860384E-4</v>
      </c>
      <c r="J950" s="56" t="s">
        <v>41</v>
      </c>
      <c r="K950" s="371"/>
      <c r="L950" s="50" t="s">
        <v>94</v>
      </c>
      <c r="M950" s="344" t="s">
        <v>2233</v>
      </c>
      <c r="N950" s="454" t="s">
        <v>2137</v>
      </c>
      <c r="O950" s="455"/>
      <c r="P950" s="456"/>
      <c r="Q950" s="2"/>
      <c r="R950" s="2"/>
      <c r="S950" s="2"/>
      <c r="T950" s="2"/>
      <c r="U950" s="2"/>
      <c r="V950" s="2"/>
      <c r="W950" s="2"/>
      <c r="X950" s="26"/>
      <c r="Y950" s="26"/>
    </row>
    <row r="951" spans="1:25" x14ac:dyDescent="0.25">
      <c r="A951" s="2"/>
      <c r="B951" s="9"/>
      <c r="C951" s="369" t="str">
        <f>Water_emissions!CT90</f>
        <v>w_PHOSPHORU</v>
      </c>
      <c r="D951" s="370" t="str">
        <f>VLOOKUP(C951,'Species Data'!$E$93:$F$183,2,FALSE)</f>
        <v>Phosphorus [Inorganic emissions to fresh water]</v>
      </c>
      <c r="E951" s="61">
        <v>1</v>
      </c>
      <c r="F951" s="61" t="s">
        <v>41</v>
      </c>
      <c r="G951" s="51">
        <f t="shared" si="55"/>
        <v>3.0075650128334376E-7</v>
      </c>
      <c r="H951" s="335" t="s">
        <v>489</v>
      </c>
      <c r="I951" s="198">
        <f t="shared" si="56"/>
        <v>3.0075650128334376E-7</v>
      </c>
      <c r="J951" s="56" t="s">
        <v>41</v>
      </c>
      <c r="K951" s="371"/>
      <c r="L951" s="50" t="s">
        <v>94</v>
      </c>
      <c r="M951" s="344" t="s">
        <v>2233</v>
      </c>
      <c r="N951" s="454" t="s">
        <v>2137</v>
      </c>
      <c r="O951" s="455"/>
      <c r="P951" s="456"/>
      <c r="Q951" s="2"/>
      <c r="R951" s="2"/>
      <c r="S951" s="2"/>
      <c r="T951" s="2"/>
      <c r="U951" s="2"/>
      <c r="V951" s="2"/>
      <c r="W951" s="2"/>
      <c r="X951" s="26"/>
      <c r="Y951" s="26"/>
    </row>
    <row r="952" spans="1:25" x14ac:dyDescent="0.25">
      <c r="A952" s="2"/>
      <c r="B952" s="9"/>
      <c r="C952" s="369" t="str">
        <f>Water_emissions!CT91</f>
        <v>w_POLYCYCLI</v>
      </c>
      <c r="D952" s="370" t="str">
        <f>VLOOKUP(C952,'Species Data'!$E$93:$F$183,2,FALSE)</f>
        <v>Polycyclic aromatic hydrocarbons (PAH, unspec.) [Hydrocarbons to fresh water]</v>
      </c>
      <c r="E952" s="61">
        <v>1</v>
      </c>
      <c r="F952" s="61" t="s">
        <v>41</v>
      </c>
      <c r="G952" s="51">
        <f t="shared" si="55"/>
        <v>5.2312925778757918E-5</v>
      </c>
      <c r="H952" s="335" t="s">
        <v>489</v>
      </c>
      <c r="I952" s="198">
        <f t="shared" si="56"/>
        <v>5.2312925778757918E-5</v>
      </c>
      <c r="J952" s="56" t="s">
        <v>41</v>
      </c>
      <c r="K952" s="371"/>
      <c r="L952" s="50" t="s">
        <v>94</v>
      </c>
      <c r="M952" s="344" t="s">
        <v>2233</v>
      </c>
      <c r="N952" s="454" t="s">
        <v>2137</v>
      </c>
      <c r="O952" s="455"/>
      <c r="P952" s="456"/>
      <c r="Q952" s="2"/>
      <c r="R952" s="2"/>
      <c r="S952" s="2"/>
      <c r="T952" s="2"/>
      <c r="U952" s="2"/>
      <c r="V952" s="2"/>
      <c r="W952" s="2"/>
      <c r="X952" s="26"/>
      <c r="Y952" s="26"/>
    </row>
    <row r="953" spans="1:25" x14ac:dyDescent="0.25">
      <c r="A953" s="2"/>
      <c r="B953" s="9"/>
      <c r="C953" s="369" t="str">
        <f>Water_emissions!CT92</f>
        <v>w_PROPYLENE</v>
      </c>
      <c r="D953" s="370" t="str">
        <f>VLOOKUP(C953,'Species Data'!$E$93:$F$183,2,FALSE)</f>
        <v>Propylene [Hydrocarbons to fresh water]</v>
      </c>
      <c r="E953" s="61">
        <v>1</v>
      </c>
      <c r="F953" s="61" t="s">
        <v>41</v>
      </c>
      <c r="G953" s="51">
        <f t="shared" si="55"/>
        <v>2.6528293384290363E-5</v>
      </c>
      <c r="H953" s="335" t="s">
        <v>489</v>
      </c>
      <c r="I953" s="198">
        <f t="shared" si="56"/>
        <v>2.6528293384290363E-5</v>
      </c>
      <c r="J953" s="56" t="s">
        <v>41</v>
      </c>
      <c r="K953" s="371"/>
      <c r="L953" s="50" t="s">
        <v>94</v>
      </c>
      <c r="M953" s="344" t="s">
        <v>2233</v>
      </c>
      <c r="N953" s="454" t="s">
        <v>2137</v>
      </c>
      <c r="O953" s="455"/>
      <c r="P953" s="456"/>
      <c r="Q953" s="2"/>
      <c r="R953" s="2"/>
      <c r="S953" s="2"/>
      <c r="T953" s="2"/>
      <c r="U953" s="2"/>
      <c r="V953" s="2"/>
      <c r="W953" s="2"/>
      <c r="X953" s="26"/>
      <c r="Y953" s="26"/>
    </row>
    <row r="954" spans="1:25" x14ac:dyDescent="0.25">
      <c r="A954" s="2"/>
      <c r="B954" s="9"/>
      <c r="C954" s="369" t="str">
        <f>Water_emissions!CT93</f>
        <v>w_PXYLENE</v>
      </c>
      <c r="D954" s="370" t="str">
        <f>VLOOKUP(C954,'Species Data'!$E$93:$F$183,2,FALSE)</f>
        <v>Xylene (para-Xylene; 1,4-Dimethylbenzene) [Hydrocarbons to fresh water]</v>
      </c>
      <c r="E954" s="61">
        <v>1</v>
      </c>
      <c r="F954" s="61" t="s">
        <v>41</v>
      </c>
      <c r="G954" s="51">
        <f t="shared" si="55"/>
        <v>1.1937732022930661E-4</v>
      </c>
      <c r="H954" s="335" t="s">
        <v>489</v>
      </c>
      <c r="I954" s="198">
        <f t="shared" si="56"/>
        <v>1.1937732022930661E-4</v>
      </c>
      <c r="J954" s="56" t="s">
        <v>41</v>
      </c>
      <c r="K954" s="371"/>
      <c r="L954" s="50" t="s">
        <v>94</v>
      </c>
      <c r="M954" s="344" t="s">
        <v>2233</v>
      </c>
      <c r="N954" s="454" t="s">
        <v>2137</v>
      </c>
      <c r="O954" s="455"/>
      <c r="P954" s="456"/>
      <c r="Q954" s="2"/>
      <c r="R954" s="2"/>
      <c r="S954" s="2"/>
      <c r="T954" s="2"/>
      <c r="U954" s="2"/>
      <c r="V954" s="2"/>
      <c r="W954" s="2"/>
      <c r="X954" s="26"/>
      <c r="Y954" s="26"/>
    </row>
    <row r="955" spans="1:25" x14ac:dyDescent="0.25">
      <c r="A955" s="2"/>
      <c r="B955" s="9"/>
      <c r="C955" s="369" t="str">
        <f>Water_emissions!CT94</f>
        <v>w_PYRENE</v>
      </c>
      <c r="D955" s="370" t="str">
        <f>VLOOKUP(C955,'Species Data'!$E$93:$F$183,2,FALSE)</f>
        <v>Pyrene [Hydrocarbons to fresh water]</v>
      </c>
      <c r="E955" s="61">
        <v>1</v>
      </c>
      <c r="F955" s="61" t="s">
        <v>41</v>
      </c>
      <c r="G955" s="51">
        <f t="shared" si="55"/>
        <v>4.4705015673464442E-10</v>
      </c>
      <c r="H955" s="335" t="s">
        <v>489</v>
      </c>
      <c r="I955" s="198">
        <f t="shared" si="56"/>
        <v>4.4705015673464442E-10</v>
      </c>
      <c r="J955" s="56" t="s">
        <v>41</v>
      </c>
      <c r="K955" s="371"/>
      <c r="L955" s="50" t="s">
        <v>94</v>
      </c>
      <c r="M955" s="344" t="s">
        <v>2233</v>
      </c>
      <c r="N955" s="454" t="s">
        <v>2137</v>
      </c>
      <c r="O955" s="455"/>
      <c r="P955" s="456"/>
      <c r="Q955" s="2"/>
      <c r="R955" s="2"/>
      <c r="S955" s="2"/>
      <c r="T955" s="2"/>
      <c r="U955" s="2"/>
      <c r="V955" s="2"/>
      <c r="W955" s="2"/>
      <c r="X955" s="26"/>
      <c r="Y955" s="26"/>
    </row>
    <row r="956" spans="1:25" x14ac:dyDescent="0.25">
      <c r="A956" s="2"/>
      <c r="B956" s="9"/>
      <c r="C956" s="369" t="str">
        <f>Water_emissions!CT95</f>
        <v>w_Seleniumt</v>
      </c>
      <c r="D956" s="370" t="str">
        <f>VLOOKUP(C956,'Species Data'!$E$93:$F$183,2,FALSE)</f>
        <v>Selenium [Heavy metals to fresh water]</v>
      </c>
      <c r="E956" s="61">
        <v>1</v>
      </c>
      <c r="F956" s="61" t="s">
        <v>41</v>
      </c>
      <c r="G956" s="51">
        <f t="shared" si="55"/>
        <v>2.5744789319551701E-8</v>
      </c>
      <c r="H956" s="335" t="s">
        <v>489</v>
      </c>
      <c r="I956" s="198">
        <f t="shared" si="56"/>
        <v>2.5744789319551701E-8</v>
      </c>
      <c r="J956" s="56" t="s">
        <v>41</v>
      </c>
      <c r="K956" s="371"/>
      <c r="L956" s="50" t="s">
        <v>94</v>
      </c>
      <c r="M956" s="344" t="s">
        <v>2233</v>
      </c>
      <c r="N956" s="454" t="s">
        <v>2137</v>
      </c>
      <c r="O956" s="455"/>
      <c r="P956" s="456"/>
      <c r="Q956" s="2"/>
      <c r="R956" s="2"/>
      <c r="S956" s="2"/>
      <c r="T956" s="2"/>
      <c r="U956" s="2"/>
      <c r="V956" s="2"/>
      <c r="W956" s="2"/>
      <c r="X956" s="26"/>
      <c r="Y956" s="26"/>
    </row>
    <row r="957" spans="1:25" x14ac:dyDescent="0.25">
      <c r="A957" s="2"/>
      <c r="B957" s="9"/>
      <c r="C957" s="369" t="str">
        <f>Water_emissions!CT96</f>
        <v>w_Silvertot</v>
      </c>
      <c r="D957" s="370" t="str">
        <f>VLOOKUP(C957,'Species Data'!$E$93:$F$183,2,FALSE)</f>
        <v>Silver [Heavy metals to fresh water]</v>
      </c>
      <c r="E957" s="61">
        <v>1</v>
      </c>
      <c r="F957" s="61" t="s">
        <v>41</v>
      </c>
      <c r="G957" s="51">
        <f t="shared" si="55"/>
        <v>0</v>
      </c>
      <c r="H957" s="335" t="s">
        <v>489</v>
      </c>
      <c r="I957" s="198">
        <f t="shared" si="56"/>
        <v>0</v>
      </c>
      <c r="J957" s="56" t="s">
        <v>41</v>
      </c>
      <c r="K957" s="371"/>
      <c r="L957" s="50" t="s">
        <v>94</v>
      </c>
      <c r="M957" s="344" t="s">
        <v>2233</v>
      </c>
      <c r="N957" s="454" t="s">
        <v>2137</v>
      </c>
      <c r="O957" s="455"/>
      <c r="P957" s="456"/>
      <c r="Q957" s="2"/>
      <c r="R957" s="2"/>
      <c r="S957" s="2"/>
      <c r="T957" s="2"/>
      <c r="U957" s="2"/>
      <c r="V957" s="2"/>
      <c r="W957" s="2"/>
      <c r="X957" s="26"/>
      <c r="Y957" s="26"/>
    </row>
    <row r="958" spans="1:25" x14ac:dyDescent="0.25">
      <c r="A958" s="2"/>
      <c r="B958" s="9"/>
      <c r="C958" s="369" t="str">
        <f>Water_emissions!CT97</f>
        <v>w_Sodiumchl</v>
      </c>
      <c r="D958" s="370" t="str">
        <f>VLOOKUP(C958,'Species Data'!$E$93:$F$183,2,FALSE)</f>
        <v>Sodium chloride (rock salt) [Inorganic emissions to fresh water]</v>
      </c>
      <c r="E958" s="61">
        <v>1</v>
      </c>
      <c r="F958" s="61" t="s">
        <v>41</v>
      </c>
      <c r="G958" s="51">
        <f t="shared" si="55"/>
        <v>3.3911562797244031E-5</v>
      </c>
      <c r="H958" s="335" t="s">
        <v>489</v>
      </c>
      <c r="I958" s="198">
        <f t="shared" si="56"/>
        <v>3.3911562797244031E-5</v>
      </c>
      <c r="J958" s="56" t="s">
        <v>41</v>
      </c>
      <c r="K958" s="371"/>
      <c r="L958" s="50" t="s">
        <v>94</v>
      </c>
      <c r="M958" s="344" t="s">
        <v>2233</v>
      </c>
      <c r="N958" s="454" t="s">
        <v>2137</v>
      </c>
      <c r="O958" s="455"/>
      <c r="P958" s="456"/>
      <c r="Q958" s="2"/>
      <c r="R958" s="2"/>
      <c r="S958" s="2"/>
      <c r="T958" s="2"/>
      <c r="U958" s="2"/>
      <c r="V958" s="2"/>
      <c r="W958" s="2"/>
      <c r="X958" s="26"/>
      <c r="Y958" s="26"/>
    </row>
    <row r="959" spans="1:25" x14ac:dyDescent="0.25">
      <c r="A959" s="2"/>
      <c r="B959" s="9"/>
      <c r="C959" s="369" t="str">
        <f>Water_emissions!CT98</f>
        <v>w_solidstd</v>
      </c>
      <c r="D959" s="370" t="str">
        <f>VLOOKUP(C959,'Species Data'!$E$93:$F$183,2,FALSE)</f>
        <v>Solids (dissolved) [Analytical measures to fresh water]</v>
      </c>
      <c r="E959" s="61">
        <v>1</v>
      </c>
      <c r="F959" s="61" t="s">
        <v>41</v>
      </c>
      <c r="G959" s="51">
        <f t="shared" si="55"/>
        <v>3.7184160315988453E-5</v>
      </c>
      <c r="H959" s="335" t="s">
        <v>489</v>
      </c>
      <c r="I959" s="198">
        <f t="shared" si="56"/>
        <v>3.7184160315988453E-5</v>
      </c>
      <c r="J959" s="56" t="s">
        <v>41</v>
      </c>
      <c r="K959" s="371"/>
      <c r="L959" s="50" t="s">
        <v>94</v>
      </c>
      <c r="M959" s="344" t="s">
        <v>2233</v>
      </c>
      <c r="N959" s="454" t="s">
        <v>2137</v>
      </c>
      <c r="O959" s="455"/>
      <c r="P959" s="456"/>
      <c r="Q959" s="2"/>
      <c r="R959" s="2"/>
      <c r="S959" s="2"/>
      <c r="T959" s="2"/>
      <c r="U959" s="2"/>
      <c r="V959" s="2"/>
      <c r="W959" s="2"/>
      <c r="X959" s="26"/>
      <c r="Y959" s="26"/>
    </row>
    <row r="960" spans="1:25" x14ac:dyDescent="0.25">
      <c r="A960" s="2"/>
      <c r="B960" s="9"/>
      <c r="C960" s="369" t="str">
        <f>Water_emissions!CT100</f>
        <v>w_solidts</v>
      </c>
      <c r="D960" s="370" t="str">
        <f>VLOOKUP(C960,'Species Data'!$E$93:$F$183,2,FALSE)</f>
        <v>Solids (suspended) [Particles to fresh water]</v>
      </c>
      <c r="E960" s="61">
        <v>1</v>
      </c>
      <c r="F960" s="61" t="s">
        <v>41</v>
      </c>
      <c r="G960" s="51">
        <f t="shared" si="55"/>
        <v>1.5809412013560019E-5</v>
      </c>
      <c r="H960" s="335" t="s">
        <v>489</v>
      </c>
      <c r="I960" s="198">
        <f t="shared" si="56"/>
        <v>1.5809412013560019E-5</v>
      </c>
      <c r="J960" s="56" t="s">
        <v>41</v>
      </c>
      <c r="K960" s="371"/>
      <c r="L960" s="50" t="s">
        <v>94</v>
      </c>
      <c r="M960" s="344" t="s">
        <v>2233</v>
      </c>
      <c r="N960" s="454" t="s">
        <v>2137</v>
      </c>
      <c r="O960" s="455"/>
      <c r="P960" s="456"/>
      <c r="Q960" s="2"/>
      <c r="R960" s="2"/>
      <c r="S960" s="2"/>
      <c r="T960" s="2"/>
      <c r="U960" s="2"/>
      <c r="V960" s="2"/>
      <c r="W960" s="2"/>
      <c r="X960" s="26"/>
      <c r="Y960" s="26"/>
    </row>
    <row r="961" spans="1:25" x14ac:dyDescent="0.25">
      <c r="A961" s="2"/>
      <c r="B961" s="9"/>
      <c r="C961" s="369" t="str">
        <f>Water_emissions!CT101</f>
        <v>w_STYRENE</v>
      </c>
      <c r="D961" s="370" t="str">
        <f>VLOOKUP(C961,'Species Data'!$E$93:$F$183,2,FALSE)</f>
        <v>Styrene [Hydrocarbons to fresh water]</v>
      </c>
      <c r="E961" s="61">
        <v>1</v>
      </c>
      <c r="F961" s="61" t="s">
        <v>41</v>
      </c>
      <c r="G961" s="51">
        <f t="shared" si="55"/>
        <v>3.974239470515496E-5</v>
      </c>
      <c r="H961" s="335" t="s">
        <v>489</v>
      </c>
      <c r="I961" s="198">
        <f t="shared" si="56"/>
        <v>3.974239470515496E-5</v>
      </c>
      <c r="J961" s="56" t="s">
        <v>41</v>
      </c>
      <c r="K961" s="371"/>
      <c r="L961" s="50" t="s">
        <v>94</v>
      </c>
      <c r="M961" s="344" t="s">
        <v>2233</v>
      </c>
      <c r="N961" s="454" t="s">
        <v>2137</v>
      </c>
      <c r="O961" s="455"/>
      <c r="P961" s="456"/>
      <c r="Q961" s="2"/>
      <c r="R961" s="2"/>
      <c r="S961" s="2"/>
      <c r="T961" s="2"/>
      <c r="U961" s="2"/>
      <c r="V961" s="2"/>
      <c r="W961" s="2"/>
      <c r="X961" s="26"/>
      <c r="Y961" s="26"/>
    </row>
    <row r="962" spans="1:25" x14ac:dyDescent="0.25">
      <c r="A962" s="2"/>
      <c r="B962" s="9"/>
      <c r="C962" s="369" t="str">
        <f>Water_emissions!CT102</f>
        <v>w_TOLUENE</v>
      </c>
      <c r="D962" s="370" t="str">
        <f>VLOOKUP(C962,'Species Data'!$E$93:$F$183,2,FALSE)</f>
        <v>Toluene (methyl benzene) [Hydrocarbons to fresh water]</v>
      </c>
      <c r="E962" s="61">
        <v>1</v>
      </c>
      <c r="F962" s="61" t="s">
        <v>41</v>
      </c>
      <c r="G962" s="51">
        <f t="shared" si="55"/>
        <v>7.0094256720050135E-5</v>
      </c>
      <c r="H962" s="335" t="s">
        <v>489</v>
      </c>
      <c r="I962" s="198">
        <f t="shared" si="56"/>
        <v>7.0094256720050135E-5</v>
      </c>
      <c r="J962" s="56" t="s">
        <v>41</v>
      </c>
      <c r="K962" s="371"/>
      <c r="L962" s="50" t="s">
        <v>94</v>
      </c>
      <c r="M962" s="344" t="s">
        <v>2233</v>
      </c>
      <c r="N962" s="454" t="s">
        <v>2137</v>
      </c>
      <c r="O962" s="455"/>
      <c r="P962" s="456"/>
      <c r="Q962" s="2"/>
      <c r="R962" s="2"/>
      <c r="S962" s="2"/>
      <c r="T962" s="2"/>
      <c r="U962" s="2"/>
      <c r="V962" s="2"/>
      <c r="W962" s="2"/>
      <c r="X962" s="26"/>
      <c r="Y962" s="26"/>
    </row>
    <row r="963" spans="1:25" x14ac:dyDescent="0.25">
      <c r="A963" s="2"/>
      <c r="B963" s="9"/>
      <c r="C963" s="369" t="str">
        <f>Water_emissions!CT103</f>
        <v>w_TRICHLORO</v>
      </c>
      <c r="D963" s="370" t="str">
        <f>VLOOKUP(C963,'Species Data'!$E$93:$F$183,2,FALSE)</f>
        <v>Trichloroethylene [Halogenated organic emission to fresh water]</v>
      </c>
      <c r="E963" s="61">
        <v>1</v>
      </c>
      <c r="F963" s="61" t="s">
        <v>41</v>
      </c>
      <c r="G963" s="51">
        <f t="shared" si="55"/>
        <v>0</v>
      </c>
      <c r="H963" s="335" t="s">
        <v>489</v>
      </c>
      <c r="I963" s="198">
        <f t="shared" si="56"/>
        <v>0</v>
      </c>
      <c r="J963" s="56" t="s">
        <v>41</v>
      </c>
      <c r="K963" s="371"/>
      <c r="L963" s="50" t="s">
        <v>94</v>
      </c>
      <c r="M963" s="344" t="s">
        <v>2233</v>
      </c>
      <c r="N963" s="454" t="s">
        <v>2137</v>
      </c>
      <c r="O963" s="455"/>
      <c r="P963" s="456"/>
      <c r="Q963" s="2"/>
      <c r="R963" s="2"/>
      <c r="S963" s="2"/>
      <c r="T963" s="2"/>
      <c r="U963" s="2"/>
      <c r="V963" s="2"/>
      <c r="W963" s="2"/>
      <c r="X963" s="26"/>
      <c r="Y963" s="26"/>
    </row>
    <row r="964" spans="1:25" x14ac:dyDescent="0.25">
      <c r="A964" s="2"/>
      <c r="B964" s="9"/>
      <c r="C964" s="369" t="str">
        <f>Water_emissions!CT104</f>
        <v>w_Vanadiumt</v>
      </c>
      <c r="D964" s="370" t="str">
        <f>VLOOKUP(C964,'Species Data'!$E$93:$F$183,2,FALSE)</f>
        <v>Vanadium (+III) [Heavy metals to fresh water]</v>
      </c>
      <c r="E964" s="61">
        <v>1</v>
      </c>
      <c r="F964" s="61" t="s">
        <v>41</v>
      </c>
      <c r="G964" s="51">
        <f t="shared" si="55"/>
        <v>2.718701989743846E-7</v>
      </c>
      <c r="H964" s="335" t="s">
        <v>489</v>
      </c>
      <c r="I964" s="198">
        <f t="shared" si="56"/>
        <v>2.718701989743846E-7</v>
      </c>
      <c r="J964" s="56" t="s">
        <v>41</v>
      </c>
      <c r="K964" s="371"/>
      <c r="L964" s="50" t="s">
        <v>94</v>
      </c>
      <c r="M964" s="344" t="s">
        <v>2233</v>
      </c>
      <c r="N964" s="454" t="s">
        <v>2137</v>
      </c>
      <c r="O964" s="455"/>
      <c r="P964" s="456"/>
      <c r="Q964" s="2"/>
      <c r="R964" s="2"/>
      <c r="S964" s="2"/>
      <c r="T964" s="2"/>
      <c r="U964" s="2"/>
      <c r="V964" s="2"/>
      <c r="W964" s="2"/>
      <c r="X964" s="26"/>
      <c r="Y964" s="26"/>
    </row>
    <row r="965" spans="1:25" x14ac:dyDescent="0.25">
      <c r="A965" s="2"/>
      <c r="B965" s="9"/>
      <c r="C965" s="369" t="str">
        <f>Water_emissions!CT105</f>
        <v>w_XYLENES</v>
      </c>
      <c r="D965" s="370" t="str">
        <f>VLOOKUP(C965,'Species Data'!$E$93:$F$183,2,FALSE)</f>
        <v>Xylene (isomers; dimethyl benzene) [Hydrocarbons to fresh water]</v>
      </c>
      <c r="E965" s="61">
        <v>1</v>
      </c>
      <c r="F965" s="61" t="s">
        <v>41</v>
      </c>
      <c r="G965" s="51">
        <f t="shared" si="55"/>
        <v>9.7517904459406291E-5</v>
      </c>
      <c r="H965" s="335" t="s">
        <v>489</v>
      </c>
      <c r="I965" s="198">
        <f t="shared" si="56"/>
        <v>9.7517904459406291E-5</v>
      </c>
      <c r="J965" s="56" t="s">
        <v>41</v>
      </c>
      <c r="K965" s="371"/>
      <c r="L965" s="50" t="s">
        <v>94</v>
      </c>
      <c r="M965" s="344" t="s">
        <v>2233</v>
      </c>
      <c r="N965" s="454" t="s">
        <v>2137</v>
      </c>
      <c r="O965" s="455"/>
      <c r="P965" s="456"/>
      <c r="Q965" s="2"/>
      <c r="R965" s="2"/>
      <c r="S965" s="2"/>
      <c r="T965" s="2"/>
      <c r="U965" s="2"/>
      <c r="V965" s="2"/>
      <c r="W965" s="2"/>
      <c r="X965" s="26"/>
      <c r="Y965" s="26"/>
    </row>
    <row r="966" spans="1:25" x14ac:dyDescent="0.25">
      <c r="A966" s="2"/>
      <c r="B966" s="9"/>
      <c r="C966" s="369" t="str">
        <f>Water_emissions!CT106</f>
        <v>w_Zinctotal</v>
      </c>
      <c r="D966" s="370" t="str">
        <f>VLOOKUP(C966,'Species Data'!$E$93:$F$183,2,FALSE)</f>
        <v>Zinc (+II) [Heavy metals to fresh water]</v>
      </c>
      <c r="E966" s="61">
        <v>1</v>
      </c>
      <c r="F966" s="61" t="s">
        <v>41</v>
      </c>
      <c r="G966" s="51">
        <f t="shared" si="55"/>
        <v>2.5141196384723234E-7</v>
      </c>
      <c r="H966" s="335" t="s">
        <v>489</v>
      </c>
      <c r="I966" s="198">
        <f t="shared" si="56"/>
        <v>2.5141196384723234E-7</v>
      </c>
      <c r="J966" s="56" t="s">
        <v>41</v>
      </c>
      <c r="K966" s="371"/>
      <c r="L966" s="50" t="s">
        <v>94</v>
      </c>
      <c r="M966" s="344" t="s">
        <v>2233</v>
      </c>
      <c r="N966" s="454" t="s">
        <v>2137</v>
      </c>
      <c r="O966" s="455"/>
      <c r="P966" s="456"/>
      <c r="Q966" s="2"/>
      <c r="R966" s="2"/>
      <c r="S966" s="2"/>
      <c r="T966" s="2"/>
      <c r="U966" s="2"/>
      <c r="V966" s="2"/>
      <c r="W966" s="2"/>
      <c r="X966" s="26"/>
      <c r="Y966" s="26"/>
    </row>
    <row r="967" spans="1:25" x14ac:dyDescent="0.25">
      <c r="A967" s="2"/>
      <c r="B967" s="9"/>
      <c r="C967" s="369" t="s">
        <v>2314</v>
      </c>
      <c r="D967" s="391" t="s">
        <v>2317</v>
      </c>
      <c r="E967" s="61">
        <v>1</v>
      </c>
      <c r="F967" s="61" t="s">
        <v>41</v>
      </c>
      <c r="G967" s="51">
        <f>IF($C967="",1,VLOOKUP($C967,$C$22:$H$792,3,FALSE))</f>
        <v>2.5810291475193758</v>
      </c>
      <c r="H967" s="335" t="s">
        <v>489</v>
      </c>
      <c r="I967" s="198">
        <f t="shared" ref="I967" si="57">IF(D967="","",E967*G967*$D$5)</f>
        <v>2.5810291475193758</v>
      </c>
      <c r="J967" s="56" t="s">
        <v>41</v>
      </c>
      <c r="K967" s="371"/>
      <c r="L967" s="50" t="s">
        <v>94</v>
      </c>
      <c r="M967" s="342" t="s">
        <v>2233</v>
      </c>
      <c r="N967" s="454"/>
      <c r="O967" s="455"/>
      <c r="P967" s="456"/>
      <c r="Q967" s="2"/>
      <c r="R967" s="2"/>
      <c r="S967" s="2"/>
      <c r="T967" s="2"/>
      <c r="U967" s="2"/>
      <c r="V967" s="2"/>
      <c r="W967" s="2"/>
      <c r="X967" s="26"/>
      <c r="Y967" s="26"/>
    </row>
    <row r="968" spans="1:25" x14ac:dyDescent="0.25">
      <c r="A968" s="2"/>
      <c r="B968" s="9"/>
      <c r="C968" s="58" t="s">
        <v>65</v>
      </c>
      <c r="D968" s="62" t="s">
        <v>66</v>
      </c>
      <c r="E968" s="59" t="s">
        <v>76</v>
      </c>
      <c r="F968" s="44"/>
      <c r="G968" s="63"/>
      <c r="H968" s="64"/>
      <c r="I968" s="64"/>
      <c r="J968" s="44"/>
      <c r="K968" s="59"/>
      <c r="L968" s="44" t="s">
        <v>78</v>
      </c>
      <c r="M968" s="60"/>
      <c r="N968" s="430"/>
      <c r="O968" s="430"/>
      <c r="P968" s="430"/>
      <c r="Q968" s="2"/>
      <c r="R968" s="2"/>
      <c r="S968" s="2"/>
      <c r="T968" s="2"/>
      <c r="U968" s="2"/>
      <c r="V968" s="2"/>
      <c r="W968" s="2"/>
      <c r="X968" s="26"/>
      <c r="Y968" s="26"/>
    </row>
    <row r="969" spans="1:25" x14ac:dyDescent="0.25">
      <c r="A969" s="2"/>
      <c r="B969" s="9"/>
      <c r="C969" s="2"/>
      <c r="D969" s="2"/>
      <c r="E969" s="2"/>
      <c r="F969" s="2"/>
      <c r="G969" s="2"/>
      <c r="H969" s="2"/>
      <c r="I969" s="2"/>
      <c r="J969" s="2"/>
      <c r="K969" s="2"/>
      <c r="L969" s="2"/>
      <c r="M969" s="2"/>
      <c r="N969" s="2"/>
      <c r="O969" s="2"/>
      <c r="P969" s="2"/>
      <c r="Q969" s="2"/>
      <c r="R969" s="2"/>
      <c r="S969" s="2"/>
      <c r="T969" s="2"/>
      <c r="U969" s="2"/>
      <c r="V969" s="2"/>
      <c r="W969" s="2"/>
      <c r="X969" s="26"/>
      <c r="Y969" s="26"/>
    </row>
    <row r="970" spans="1:25" x14ac:dyDescent="0.25">
      <c r="A970" s="2"/>
      <c r="B970" s="9"/>
      <c r="C970" s="2"/>
      <c r="D970" s="2"/>
      <c r="E970" s="2"/>
      <c r="F970" s="2"/>
      <c r="G970" s="2"/>
      <c r="H970" s="2"/>
      <c r="I970" s="2"/>
      <c r="J970" s="2"/>
      <c r="K970" s="2"/>
      <c r="L970" s="2"/>
      <c r="M970" s="2"/>
      <c r="N970" s="2"/>
      <c r="O970" s="2"/>
      <c r="P970" s="2"/>
      <c r="Q970" s="2"/>
      <c r="R970" s="2"/>
      <c r="S970" s="2"/>
      <c r="T970" s="2"/>
      <c r="U970" s="2"/>
      <c r="V970" s="2"/>
      <c r="W970" s="2"/>
      <c r="X970" s="2"/>
      <c r="Y970" s="2"/>
    </row>
    <row r="971" spans="1:25" x14ac:dyDescent="0.25">
      <c r="A971" s="2"/>
      <c r="B971" s="9"/>
      <c r="C971" s="2"/>
      <c r="D971" s="2"/>
      <c r="E971" s="2"/>
      <c r="F971" s="2"/>
      <c r="G971" s="2"/>
      <c r="H971" s="2"/>
      <c r="I971" s="2"/>
      <c r="J971" s="2"/>
      <c r="K971" s="2"/>
      <c r="L971" s="2"/>
      <c r="M971" s="2"/>
      <c r="N971" s="2"/>
      <c r="O971" s="2"/>
      <c r="P971" s="2"/>
      <c r="Q971" s="2"/>
      <c r="R971" s="2"/>
      <c r="S971" s="2"/>
      <c r="T971" s="2"/>
      <c r="U971" s="2"/>
      <c r="V971" s="2"/>
      <c r="W971" s="2"/>
      <c r="X971" s="2"/>
      <c r="Y971" s="2"/>
    </row>
    <row r="972" spans="1:25" x14ac:dyDescent="0.25">
      <c r="A972" s="2"/>
      <c r="B972" s="9"/>
      <c r="C972" s="2"/>
      <c r="D972" s="2"/>
      <c r="E972" s="2"/>
      <c r="F972" s="2"/>
      <c r="G972" s="2"/>
      <c r="H972" s="2"/>
      <c r="I972" s="2"/>
      <c r="J972" s="2"/>
      <c r="K972" s="2"/>
      <c r="L972" s="2"/>
      <c r="M972" s="2"/>
      <c r="N972" s="2"/>
      <c r="O972" s="2"/>
      <c r="P972" s="2"/>
      <c r="Q972" s="2"/>
      <c r="R972" s="2"/>
      <c r="S972" s="2"/>
      <c r="T972" s="2"/>
      <c r="U972" s="2"/>
      <c r="V972" s="2"/>
      <c r="W972" s="2"/>
      <c r="X972" s="2"/>
      <c r="Y972" s="2"/>
    </row>
    <row r="973" spans="1:25" x14ac:dyDescent="0.25">
      <c r="A973" s="2"/>
      <c r="B973" s="9"/>
      <c r="C973" s="2"/>
      <c r="D973" s="2"/>
      <c r="E973" s="2"/>
      <c r="F973" s="2"/>
      <c r="G973" s="2"/>
      <c r="H973" s="2"/>
      <c r="I973" s="2"/>
      <c r="J973" s="2"/>
      <c r="K973" s="2"/>
      <c r="L973" s="2"/>
      <c r="M973" s="2"/>
      <c r="N973" s="2"/>
      <c r="O973" s="2"/>
      <c r="P973" s="2"/>
      <c r="Q973" s="2"/>
      <c r="R973" s="2"/>
      <c r="S973" s="2"/>
      <c r="T973" s="2"/>
      <c r="U973" s="2"/>
      <c r="V973" s="2"/>
      <c r="W973" s="2"/>
      <c r="X973" s="2"/>
      <c r="Y973" s="2"/>
    </row>
    <row r="974" spans="1:25" x14ac:dyDescent="0.25">
      <c r="A974" s="2"/>
      <c r="B974" s="9"/>
      <c r="C974" s="2"/>
      <c r="D974" s="2"/>
      <c r="E974" s="2"/>
      <c r="F974" s="2"/>
      <c r="G974" s="2"/>
      <c r="H974" s="2"/>
      <c r="I974" s="2"/>
      <c r="J974" s="2"/>
      <c r="K974" s="2"/>
      <c r="L974" s="2"/>
      <c r="M974" s="2"/>
      <c r="N974" s="2"/>
      <c r="O974" s="2"/>
      <c r="P974" s="2"/>
      <c r="Q974" s="2"/>
      <c r="R974" s="2"/>
      <c r="S974" s="2"/>
      <c r="T974" s="2"/>
      <c r="U974" s="2"/>
      <c r="V974" s="2"/>
      <c r="W974" s="2"/>
      <c r="X974" s="2"/>
      <c r="Y974" s="2"/>
    </row>
    <row r="975" spans="1:25" x14ac:dyDescent="0.25">
      <c r="A975" s="2"/>
      <c r="B975" s="9"/>
      <c r="C975" s="2"/>
      <c r="D975" s="2"/>
      <c r="E975" s="2"/>
      <c r="F975" s="2"/>
      <c r="G975" s="2"/>
      <c r="H975" s="2"/>
      <c r="I975" s="2"/>
      <c r="J975" s="2"/>
      <c r="K975" s="2"/>
      <c r="L975" s="2"/>
      <c r="M975" s="2"/>
      <c r="N975" s="2"/>
      <c r="O975" s="2"/>
      <c r="P975" s="2"/>
      <c r="Q975" s="2"/>
      <c r="R975" s="2"/>
      <c r="S975" s="2"/>
      <c r="T975" s="2"/>
      <c r="U975" s="2"/>
      <c r="V975" s="2"/>
      <c r="W975" s="2"/>
      <c r="X975" s="2"/>
      <c r="Y975" s="2"/>
    </row>
    <row r="976" spans="1:25" x14ac:dyDescent="0.25">
      <c r="A976" s="2"/>
      <c r="B976" s="9"/>
      <c r="C976" s="2"/>
      <c r="D976" s="2"/>
      <c r="E976" s="2"/>
      <c r="F976" s="2"/>
      <c r="G976" s="2"/>
      <c r="H976" s="2"/>
      <c r="I976" s="2"/>
      <c r="J976" s="2"/>
      <c r="K976" s="2"/>
      <c r="L976" s="2"/>
      <c r="M976" s="2"/>
      <c r="N976" s="2"/>
      <c r="O976" s="2"/>
      <c r="P976" s="2"/>
      <c r="Q976" s="2"/>
      <c r="R976" s="2"/>
      <c r="S976" s="2"/>
      <c r="T976" s="2"/>
      <c r="U976" s="2"/>
      <c r="V976" s="2"/>
      <c r="W976" s="2"/>
      <c r="X976" s="2"/>
      <c r="Y976" s="2"/>
    </row>
    <row r="977" spans="1:25" x14ac:dyDescent="0.25">
      <c r="A977" s="2"/>
      <c r="B977" s="9"/>
      <c r="C977" s="2"/>
      <c r="D977" s="2"/>
      <c r="E977" s="2"/>
      <c r="F977" s="2"/>
      <c r="G977" s="2"/>
      <c r="H977" s="2"/>
      <c r="I977" s="2"/>
      <c r="J977" s="2"/>
      <c r="K977" s="2"/>
      <c r="L977" s="2"/>
      <c r="M977" s="2"/>
      <c r="N977" s="2"/>
      <c r="O977" s="2"/>
      <c r="P977" s="2"/>
      <c r="Q977" s="2"/>
      <c r="R977" s="2"/>
      <c r="S977" s="2"/>
      <c r="T977" s="2"/>
      <c r="U977" s="2"/>
      <c r="V977" s="2"/>
      <c r="W977" s="2"/>
      <c r="X977" s="2"/>
      <c r="Y977" s="2"/>
    </row>
    <row r="978" spans="1:25" x14ac:dyDescent="0.25">
      <c r="A978" s="2"/>
      <c r="B978" s="9"/>
      <c r="C978" s="2"/>
      <c r="D978" s="2"/>
      <c r="E978" s="2"/>
      <c r="F978" s="2"/>
      <c r="G978" s="2"/>
      <c r="H978" s="2"/>
      <c r="I978" s="2"/>
      <c r="J978" s="2"/>
      <c r="K978" s="2"/>
      <c r="L978" s="2"/>
      <c r="M978" s="2"/>
      <c r="N978" s="2"/>
      <c r="O978" s="2"/>
      <c r="P978" s="2"/>
      <c r="Q978" s="2"/>
      <c r="R978" s="2"/>
      <c r="S978" s="2"/>
      <c r="T978" s="2"/>
      <c r="U978" s="2"/>
      <c r="V978" s="2"/>
      <c r="W978" s="2"/>
      <c r="X978" s="2"/>
      <c r="Y978" s="2"/>
    </row>
    <row r="979" spans="1:25" x14ac:dyDescent="0.25">
      <c r="A979" s="2"/>
      <c r="B979" s="9"/>
      <c r="C979" s="2"/>
      <c r="D979" s="2"/>
      <c r="E979" s="2"/>
      <c r="F979" s="2"/>
      <c r="G979" s="2"/>
      <c r="H979" s="2"/>
      <c r="I979" s="2"/>
      <c r="J979" s="2"/>
      <c r="K979" s="2"/>
      <c r="L979" s="2"/>
      <c r="M979" s="2"/>
      <c r="N979" s="2"/>
      <c r="O979" s="2"/>
      <c r="P979" s="2"/>
      <c r="Q979" s="2"/>
      <c r="R979" s="2"/>
      <c r="S979" s="2"/>
      <c r="T979" s="2"/>
      <c r="U979" s="2"/>
      <c r="V979" s="2"/>
      <c r="W979" s="2"/>
      <c r="X979" s="2"/>
      <c r="Y979" s="2"/>
    </row>
    <row r="980" spans="1:25" x14ac:dyDescent="0.25">
      <c r="A980" s="2"/>
      <c r="B980" s="9"/>
      <c r="C980" s="2"/>
      <c r="D980" s="2"/>
      <c r="E980" s="2"/>
      <c r="F980" s="2"/>
      <c r="G980" s="2"/>
      <c r="H980" s="2"/>
      <c r="I980" s="2"/>
      <c r="J980" s="2"/>
      <c r="K980" s="2"/>
      <c r="L980" s="2"/>
      <c r="M980" s="2"/>
      <c r="N980" s="2"/>
      <c r="O980" s="2"/>
      <c r="P980" s="2"/>
      <c r="Q980" s="2"/>
      <c r="R980" s="2"/>
      <c r="S980" s="2"/>
      <c r="T980" s="2"/>
      <c r="U980" s="2"/>
      <c r="V980" s="2"/>
      <c r="W980" s="2"/>
      <c r="X980" s="2"/>
      <c r="Y980" s="2"/>
    </row>
    <row r="981" spans="1:25" x14ac:dyDescent="0.25">
      <c r="A981" s="2"/>
      <c r="B981" s="9"/>
      <c r="C981" s="2"/>
      <c r="D981" s="2"/>
      <c r="E981" s="2"/>
      <c r="F981" s="2"/>
      <c r="G981" s="2"/>
      <c r="H981" s="2"/>
      <c r="I981" s="2"/>
      <c r="J981" s="2"/>
      <c r="K981" s="2"/>
      <c r="L981" s="2"/>
      <c r="M981" s="2"/>
      <c r="N981" s="2"/>
      <c r="O981" s="2"/>
      <c r="P981" s="2"/>
      <c r="Q981" s="2"/>
      <c r="R981" s="2"/>
      <c r="S981" s="2"/>
      <c r="T981" s="2"/>
      <c r="U981" s="2"/>
      <c r="V981" s="2"/>
      <c r="W981" s="2"/>
      <c r="X981" s="2"/>
      <c r="Y981" s="2"/>
    </row>
    <row r="982" spans="1:25" x14ac:dyDescent="0.25">
      <c r="A982" s="2"/>
      <c r="B982" s="9"/>
      <c r="C982" s="2"/>
      <c r="D982" s="2"/>
      <c r="E982" s="2"/>
      <c r="F982" s="2"/>
      <c r="G982" s="2"/>
      <c r="H982" s="2"/>
      <c r="I982" s="2"/>
      <c r="J982" s="2"/>
      <c r="K982" s="2"/>
      <c r="L982" s="2"/>
      <c r="M982" s="2"/>
      <c r="N982" s="2"/>
      <c r="O982" s="2"/>
      <c r="P982" s="2"/>
      <c r="Q982" s="2"/>
      <c r="R982" s="2"/>
      <c r="S982" s="2"/>
      <c r="T982" s="2"/>
      <c r="U982" s="2"/>
      <c r="V982" s="2"/>
      <c r="W982" s="2"/>
      <c r="X982" s="2"/>
      <c r="Y982" s="2"/>
    </row>
    <row r="983" spans="1:25" x14ac:dyDescent="0.25">
      <c r="A983" s="2"/>
      <c r="B983" s="9"/>
      <c r="C983" s="2"/>
      <c r="D983" s="2"/>
      <c r="E983" s="2"/>
      <c r="F983" s="2"/>
      <c r="G983" s="2"/>
      <c r="H983" s="2"/>
      <c r="I983" s="2"/>
      <c r="J983" s="2"/>
      <c r="K983" s="2"/>
      <c r="L983" s="2"/>
      <c r="M983" s="2"/>
      <c r="N983" s="2"/>
      <c r="O983" s="2"/>
      <c r="P983" s="2"/>
      <c r="Q983" s="2"/>
      <c r="R983" s="2"/>
      <c r="S983" s="2"/>
      <c r="T983" s="2"/>
      <c r="U983" s="2"/>
      <c r="V983" s="2"/>
      <c r="W983" s="2"/>
      <c r="X983" s="2"/>
      <c r="Y983" s="2"/>
    </row>
    <row r="984" spans="1:25" x14ac:dyDescent="0.25">
      <c r="A984" s="2"/>
      <c r="B984" s="9"/>
      <c r="C984" s="2"/>
      <c r="D984" s="2"/>
      <c r="E984" s="2"/>
      <c r="F984" s="2"/>
      <c r="G984" s="2"/>
      <c r="H984" s="2"/>
      <c r="I984" s="2"/>
      <c r="J984" s="2"/>
      <c r="K984" s="2"/>
      <c r="L984" s="2"/>
      <c r="M984" s="2"/>
      <c r="N984" s="2"/>
      <c r="O984" s="2"/>
      <c r="P984" s="2"/>
      <c r="Q984" s="2"/>
      <c r="R984" s="2"/>
      <c r="S984" s="2"/>
      <c r="T984" s="2"/>
      <c r="U984" s="2"/>
      <c r="V984" s="2"/>
      <c r="W984" s="2"/>
      <c r="X984" s="2"/>
      <c r="Y984" s="2"/>
    </row>
    <row r="985" spans="1:25" x14ac:dyDescent="0.25">
      <c r="A985" s="2"/>
      <c r="B985" s="9"/>
      <c r="C985" s="2"/>
      <c r="D985" s="2"/>
      <c r="E985" s="2"/>
      <c r="F985" s="2"/>
      <c r="G985" s="2"/>
      <c r="H985" s="2"/>
      <c r="I985" s="2"/>
      <c r="J985" s="2"/>
      <c r="K985" s="2"/>
      <c r="L985" s="2"/>
      <c r="M985" s="2"/>
      <c r="N985" s="2"/>
      <c r="O985" s="2"/>
      <c r="P985" s="2"/>
      <c r="Q985" s="2"/>
      <c r="R985" s="2"/>
      <c r="S985" s="2"/>
      <c r="T985" s="2"/>
      <c r="U985" s="2"/>
      <c r="V985" s="2"/>
      <c r="W985" s="2"/>
      <c r="X985" s="2"/>
      <c r="Y985" s="2"/>
    </row>
    <row r="986" spans="1:25" x14ac:dyDescent="0.25">
      <c r="A986" s="2"/>
      <c r="B986" s="9"/>
      <c r="C986" s="2"/>
      <c r="D986" s="2"/>
      <c r="E986" s="2"/>
      <c r="F986" s="2"/>
      <c r="G986" s="2"/>
      <c r="H986" s="2"/>
      <c r="I986" s="2"/>
      <c r="J986" s="2"/>
      <c r="K986" s="2"/>
      <c r="L986" s="2"/>
      <c r="M986" s="2"/>
      <c r="N986" s="2"/>
      <c r="O986" s="2"/>
      <c r="P986" s="2"/>
      <c r="Q986" s="2"/>
      <c r="R986" s="2"/>
      <c r="S986" s="2"/>
      <c r="T986" s="2"/>
      <c r="U986" s="2"/>
      <c r="V986" s="2"/>
      <c r="W986" s="2"/>
      <c r="X986" s="2"/>
      <c r="Y986" s="2"/>
    </row>
    <row r="987" spans="1:25" x14ac:dyDescent="0.25">
      <c r="A987" s="2"/>
      <c r="B987" s="9"/>
      <c r="C987" s="2"/>
      <c r="D987" s="2"/>
      <c r="E987" s="2"/>
      <c r="F987" s="2"/>
      <c r="G987" s="2"/>
      <c r="H987" s="2"/>
      <c r="I987" s="2"/>
      <c r="J987" s="2"/>
      <c r="K987" s="2"/>
      <c r="L987" s="2"/>
      <c r="M987" s="2"/>
      <c r="N987" s="2"/>
      <c r="O987" s="2"/>
      <c r="P987" s="2"/>
      <c r="Q987" s="2"/>
      <c r="R987" s="2"/>
      <c r="S987" s="2"/>
      <c r="T987" s="2"/>
      <c r="U987" s="2"/>
      <c r="V987" s="2"/>
      <c r="W987" s="2"/>
      <c r="X987" s="2"/>
      <c r="Y987" s="2"/>
    </row>
    <row r="988" spans="1:25" x14ac:dyDescent="0.25">
      <c r="A988" s="2"/>
      <c r="B988" s="9"/>
      <c r="C988" s="2"/>
      <c r="D988" s="2"/>
      <c r="E988" s="2"/>
      <c r="F988" s="2"/>
      <c r="G988" s="2"/>
      <c r="H988" s="2"/>
      <c r="I988" s="2"/>
      <c r="J988" s="2"/>
      <c r="K988" s="2"/>
      <c r="L988" s="2"/>
      <c r="M988" s="2"/>
      <c r="N988" s="2"/>
      <c r="O988" s="2"/>
      <c r="P988" s="2"/>
      <c r="Q988" s="2"/>
      <c r="R988" s="2"/>
      <c r="S988" s="2"/>
      <c r="T988" s="2"/>
      <c r="U988" s="2"/>
      <c r="V988" s="2"/>
      <c r="W988" s="2"/>
      <c r="X988" s="2"/>
      <c r="Y988" s="2"/>
    </row>
    <row r="989" spans="1:25" x14ac:dyDescent="0.25">
      <c r="A989" s="2"/>
      <c r="B989" s="9"/>
      <c r="C989" s="2"/>
      <c r="D989" s="2"/>
      <c r="E989" s="2"/>
      <c r="F989" s="2"/>
      <c r="G989" s="2"/>
      <c r="H989" s="2"/>
      <c r="I989" s="2"/>
      <c r="J989" s="2"/>
      <c r="K989" s="2"/>
      <c r="L989" s="2"/>
      <c r="M989" s="2"/>
      <c r="N989" s="2"/>
      <c r="O989" s="2"/>
      <c r="P989" s="2"/>
      <c r="Q989" s="2"/>
      <c r="R989" s="2"/>
      <c r="S989" s="2"/>
      <c r="T989" s="2"/>
      <c r="U989" s="2"/>
      <c r="V989" s="2"/>
      <c r="W989" s="2"/>
      <c r="X989" s="2"/>
      <c r="Y989" s="2"/>
    </row>
    <row r="990" spans="1:25" x14ac:dyDescent="0.25">
      <c r="A990" s="2"/>
      <c r="B990" s="9"/>
      <c r="C990" s="2"/>
      <c r="D990" s="2"/>
      <c r="E990" s="2"/>
      <c r="F990" s="2"/>
      <c r="G990" s="2"/>
      <c r="H990" s="2"/>
      <c r="I990" s="2"/>
      <c r="J990" s="2"/>
      <c r="K990" s="2"/>
      <c r="L990" s="2"/>
      <c r="M990" s="2"/>
      <c r="N990" s="2"/>
      <c r="O990" s="2"/>
      <c r="P990" s="2"/>
      <c r="Q990" s="2"/>
      <c r="R990" s="2"/>
      <c r="S990" s="2"/>
      <c r="T990" s="2"/>
      <c r="U990" s="2"/>
      <c r="V990" s="2"/>
      <c r="W990" s="2"/>
      <c r="X990" s="2"/>
      <c r="Y990" s="2"/>
    </row>
    <row r="991" spans="1:25" x14ac:dyDescent="0.25">
      <c r="A991" s="2"/>
      <c r="B991" s="9"/>
      <c r="C991" s="2"/>
      <c r="D991" s="2"/>
      <c r="E991" s="2"/>
      <c r="F991" s="2"/>
      <c r="G991" s="2"/>
      <c r="H991" s="2"/>
      <c r="I991" s="2"/>
      <c r="J991" s="2"/>
      <c r="K991" s="2"/>
      <c r="L991" s="2"/>
      <c r="M991" s="2"/>
      <c r="N991" s="2"/>
      <c r="O991" s="2"/>
      <c r="P991" s="2"/>
      <c r="Q991" s="2"/>
      <c r="R991" s="2"/>
      <c r="S991" s="2"/>
      <c r="T991" s="2"/>
      <c r="U991" s="2"/>
      <c r="V991" s="2"/>
      <c r="W991" s="2"/>
      <c r="X991" s="2"/>
      <c r="Y991" s="2"/>
    </row>
    <row r="992" spans="1:25" x14ac:dyDescent="0.25">
      <c r="A992" s="2"/>
      <c r="B992" s="9"/>
      <c r="C992" s="2"/>
      <c r="D992" s="2"/>
      <c r="E992" s="2"/>
      <c r="F992" s="2"/>
      <c r="G992" s="2"/>
      <c r="H992" s="2"/>
      <c r="I992" s="2"/>
      <c r="J992" s="2"/>
      <c r="K992" s="2"/>
      <c r="L992" s="2"/>
      <c r="M992" s="2"/>
      <c r="N992" s="2"/>
      <c r="O992" s="2"/>
      <c r="P992" s="2"/>
      <c r="Q992" s="2"/>
      <c r="R992" s="2"/>
      <c r="S992" s="2"/>
      <c r="T992" s="2"/>
      <c r="U992" s="2"/>
      <c r="V992" s="2"/>
      <c r="W992" s="2"/>
      <c r="X992" s="2"/>
      <c r="Y992" s="2"/>
    </row>
    <row r="993" spans="1:25" x14ac:dyDescent="0.25">
      <c r="A993" s="2"/>
      <c r="B993" s="9"/>
      <c r="C993" s="2"/>
      <c r="D993" s="2"/>
      <c r="E993" s="2"/>
      <c r="F993" s="2"/>
      <c r="G993" s="2"/>
      <c r="H993" s="2"/>
      <c r="I993" s="2"/>
      <c r="J993" s="2"/>
      <c r="K993" s="2"/>
      <c r="L993" s="2"/>
      <c r="M993" s="2"/>
      <c r="N993" s="2"/>
      <c r="O993" s="2"/>
      <c r="P993" s="2"/>
      <c r="Q993" s="2"/>
      <c r="R993" s="2"/>
      <c r="S993" s="2"/>
      <c r="T993" s="2"/>
      <c r="U993" s="2"/>
      <c r="V993" s="2"/>
      <c r="W993" s="2"/>
      <c r="X993" s="2"/>
      <c r="Y993" s="2"/>
    </row>
    <row r="994" spans="1:25" x14ac:dyDescent="0.25">
      <c r="A994" s="2"/>
      <c r="B994" s="9"/>
      <c r="C994" s="2"/>
      <c r="D994" s="2"/>
      <c r="E994" s="2"/>
      <c r="F994" s="2"/>
      <c r="G994" s="2"/>
      <c r="H994" s="2"/>
      <c r="I994" s="2"/>
      <c r="J994" s="2"/>
      <c r="K994" s="2"/>
      <c r="L994" s="2"/>
      <c r="M994" s="2"/>
      <c r="N994" s="2"/>
      <c r="O994" s="2"/>
      <c r="P994" s="2"/>
      <c r="Q994" s="2"/>
      <c r="R994" s="2"/>
      <c r="S994" s="2"/>
      <c r="T994" s="2"/>
      <c r="U994" s="2"/>
      <c r="V994" s="2"/>
      <c r="W994" s="2"/>
      <c r="X994" s="2"/>
      <c r="Y994" s="2"/>
    </row>
    <row r="995" spans="1:25" x14ac:dyDescent="0.25">
      <c r="A995" s="2"/>
      <c r="B995" s="9"/>
      <c r="C995" s="2"/>
      <c r="D995" s="2"/>
      <c r="E995" s="2"/>
      <c r="F995" s="2"/>
      <c r="G995" s="2"/>
      <c r="H995" s="2"/>
      <c r="I995" s="2"/>
      <c r="J995" s="2"/>
      <c r="K995" s="2"/>
      <c r="L995" s="2"/>
      <c r="M995" s="2"/>
      <c r="N995" s="2"/>
      <c r="O995" s="2"/>
      <c r="P995" s="2"/>
      <c r="Q995" s="2"/>
      <c r="R995" s="2"/>
      <c r="S995" s="2"/>
      <c r="T995" s="2"/>
      <c r="U995" s="2"/>
      <c r="V995" s="2"/>
      <c r="W995" s="2"/>
      <c r="X995" s="2"/>
      <c r="Y995" s="2"/>
    </row>
    <row r="996" spans="1:25" x14ac:dyDescent="0.25">
      <c r="A996" s="2"/>
      <c r="B996" s="9"/>
      <c r="C996" s="2"/>
      <c r="D996" s="2"/>
      <c r="E996" s="2"/>
      <c r="F996" s="2"/>
      <c r="G996" s="2"/>
      <c r="H996" s="2"/>
      <c r="I996" s="2"/>
      <c r="J996" s="2"/>
      <c r="K996" s="2"/>
      <c r="L996" s="2"/>
      <c r="M996" s="2"/>
      <c r="N996" s="2"/>
      <c r="O996" s="2"/>
      <c r="P996" s="2"/>
      <c r="Q996" s="2"/>
      <c r="R996" s="2"/>
      <c r="S996" s="2"/>
      <c r="T996" s="2"/>
      <c r="U996" s="2"/>
      <c r="V996" s="2"/>
      <c r="W996" s="2"/>
      <c r="X996" s="2"/>
      <c r="Y996" s="2"/>
    </row>
    <row r="997" spans="1:25" x14ac:dyDescent="0.25">
      <c r="A997" s="2"/>
      <c r="B997" s="9"/>
      <c r="C997" s="2"/>
      <c r="D997" s="2"/>
      <c r="E997" s="2"/>
      <c r="F997" s="2"/>
      <c r="G997" s="2"/>
      <c r="H997" s="2"/>
      <c r="I997" s="2"/>
      <c r="J997" s="2"/>
      <c r="K997" s="2"/>
      <c r="L997" s="2"/>
      <c r="M997" s="2"/>
      <c r="N997" s="2"/>
      <c r="O997" s="2"/>
      <c r="P997" s="2"/>
      <c r="Q997" s="2"/>
      <c r="R997" s="2"/>
      <c r="S997" s="2"/>
      <c r="T997" s="2"/>
      <c r="U997" s="2"/>
      <c r="V997" s="2"/>
      <c r="W997" s="2"/>
      <c r="X997" s="2"/>
      <c r="Y997" s="2"/>
    </row>
    <row r="998" spans="1:25" x14ac:dyDescent="0.25">
      <c r="A998" s="2"/>
      <c r="B998" s="9"/>
      <c r="C998" s="2"/>
      <c r="D998" s="2"/>
      <c r="E998" s="2"/>
      <c r="F998" s="2"/>
      <c r="G998" s="2"/>
      <c r="H998" s="2"/>
      <c r="I998" s="2"/>
      <c r="J998" s="2"/>
      <c r="K998" s="2"/>
      <c r="L998" s="2"/>
      <c r="M998" s="2"/>
      <c r="N998" s="2"/>
      <c r="O998" s="2"/>
      <c r="P998" s="2"/>
      <c r="Q998" s="2"/>
      <c r="R998" s="2"/>
      <c r="S998" s="2"/>
      <c r="T998" s="2"/>
      <c r="U998" s="2"/>
      <c r="V998" s="2"/>
      <c r="W998" s="2"/>
      <c r="X998" s="2"/>
      <c r="Y998" s="2"/>
    </row>
    <row r="999" spans="1:25" x14ac:dyDescent="0.25">
      <c r="A999" s="2"/>
      <c r="B999" s="9"/>
      <c r="C999" s="2"/>
      <c r="D999" s="2"/>
      <c r="E999" s="2"/>
      <c r="F999" s="2"/>
      <c r="G999" s="2"/>
      <c r="H999" s="2"/>
      <c r="I999" s="2"/>
      <c r="J999" s="2"/>
      <c r="K999" s="2"/>
      <c r="L999" s="2"/>
      <c r="M999" s="2"/>
      <c r="N999" s="2"/>
      <c r="O999" s="2"/>
      <c r="P999" s="2"/>
      <c r="Q999" s="2"/>
      <c r="R999" s="2"/>
      <c r="S999" s="2"/>
      <c r="T999" s="2"/>
      <c r="U999" s="2"/>
      <c r="V999" s="2"/>
      <c r="W999" s="2"/>
      <c r="X999" s="2"/>
      <c r="Y999" s="2"/>
    </row>
    <row r="1000" spans="1:25" x14ac:dyDescent="0.25">
      <c r="A1000" s="2"/>
      <c r="B1000" s="9"/>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row r="1001" spans="1:25" x14ac:dyDescent="0.25">
      <c r="A1001" s="2"/>
      <c r="B1001" s="9"/>
      <c r="C1001" s="2"/>
      <c r="D1001" s="2"/>
      <c r="E1001" s="2"/>
      <c r="F1001" s="2"/>
      <c r="G1001" s="2"/>
      <c r="H1001" s="2"/>
      <c r="I1001" s="2"/>
      <c r="J1001" s="2"/>
      <c r="K1001" s="2"/>
      <c r="L1001" s="2"/>
      <c r="M1001" s="2"/>
      <c r="N1001" s="2"/>
      <c r="O1001" s="2"/>
      <c r="P1001" s="2"/>
      <c r="Q1001" s="2"/>
      <c r="R1001" s="2"/>
      <c r="S1001" s="2"/>
      <c r="T1001" s="2"/>
      <c r="U1001" s="2"/>
      <c r="V1001" s="2"/>
      <c r="W1001" s="2"/>
      <c r="X1001" s="2"/>
      <c r="Y1001" s="2"/>
    </row>
    <row r="1002" spans="1:25" x14ac:dyDescent="0.25">
      <c r="A1002" s="2"/>
      <c r="B1002" s="9"/>
      <c r="C1002" s="2"/>
      <c r="D1002" s="2"/>
      <c r="E1002" s="2"/>
      <c r="F1002" s="2"/>
      <c r="G1002" s="2"/>
      <c r="H1002" s="2"/>
      <c r="I1002" s="2"/>
      <c r="J1002" s="2"/>
      <c r="K1002" s="2"/>
      <c r="L1002" s="2"/>
      <c r="M1002" s="2"/>
      <c r="N1002" s="2"/>
      <c r="O1002" s="2"/>
      <c r="P1002" s="2"/>
      <c r="Q1002" s="2"/>
      <c r="R1002" s="2"/>
      <c r="S1002" s="2"/>
      <c r="T1002" s="2"/>
      <c r="U1002" s="2"/>
      <c r="V1002" s="2"/>
      <c r="W1002" s="2"/>
      <c r="X1002" s="2"/>
      <c r="Y1002" s="2"/>
    </row>
    <row r="1003" spans="1:25" x14ac:dyDescent="0.25">
      <c r="A1003" s="2"/>
      <c r="B1003" s="9"/>
      <c r="C1003" s="2"/>
      <c r="D1003" s="2"/>
      <c r="E1003" s="2"/>
      <c r="F1003" s="2"/>
      <c r="G1003" s="2"/>
      <c r="H1003" s="2"/>
      <c r="I1003" s="2"/>
      <c r="J1003" s="2"/>
      <c r="K1003" s="2"/>
      <c r="L1003" s="2"/>
      <c r="M1003" s="2"/>
      <c r="N1003" s="2"/>
      <c r="O1003" s="2"/>
      <c r="P1003" s="2"/>
      <c r="Q1003" s="2"/>
      <c r="R1003" s="2"/>
      <c r="S1003" s="2"/>
      <c r="T1003" s="2"/>
      <c r="U1003" s="2"/>
      <c r="V1003" s="2"/>
      <c r="W1003" s="2"/>
      <c r="X1003" s="2"/>
      <c r="Y1003" s="2"/>
    </row>
    <row r="1004" spans="1:25" x14ac:dyDescent="0.25">
      <c r="A1004" s="2"/>
      <c r="B1004" s="9"/>
      <c r="C1004" s="2"/>
      <c r="D1004" s="2"/>
      <c r="E1004" s="2"/>
      <c r="F1004" s="2"/>
      <c r="G1004" s="2"/>
      <c r="H1004" s="2"/>
      <c r="I1004" s="2"/>
      <c r="J1004" s="2"/>
      <c r="K1004" s="2"/>
      <c r="L1004" s="2"/>
      <c r="M1004" s="2"/>
      <c r="N1004" s="2"/>
      <c r="O1004" s="2"/>
      <c r="P1004" s="2"/>
      <c r="Q1004" s="2"/>
      <c r="R1004" s="2"/>
      <c r="S1004" s="2"/>
      <c r="T1004" s="2"/>
      <c r="U1004" s="2"/>
      <c r="V1004" s="2"/>
      <c r="W1004" s="2"/>
      <c r="X1004" s="2"/>
      <c r="Y1004" s="2"/>
    </row>
    <row r="1005" spans="1:25" x14ac:dyDescent="0.25">
      <c r="A1005" s="2"/>
      <c r="B1005" s="9"/>
      <c r="C1005" s="2"/>
      <c r="D1005" s="2"/>
      <c r="E1005" s="2"/>
      <c r="F1005" s="2"/>
      <c r="G1005" s="2"/>
      <c r="H1005" s="2"/>
      <c r="I1005" s="2"/>
      <c r="J1005" s="2"/>
      <c r="K1005" s="2"/>
      <c r="L1005" s="2"/>
      <c r="M1005" s="2"/>
      <c r="N1005" s="2"/>
      <c r="O1005" s="2"/>
      <c r="P1005" s="2"/>
      <c r="Q1005" s="2"/>
      <c r="R1005" s="2"/>
      <c r="S1005" s="2"/>
      <c r="T1005" s="2"/>
      <c r="U1005" s="2"/>
      <c r="V1005" s="2"/>
      <c r="W1005" s="2"/>
      <c r="X1005" s="2"/>
      <c r="Y1005" s="2"/>
    </row>
    <row r="1006" spans="1:25" x14ac:dyDescent="0.25">
      <c r="A1006" s="2"/>
      <c r="B1006" s="9"/>
      <c r="C1006" s="2"/>
      <c r="D1006" s="2"/>
      <c r="E1006" s="2"/>
      <c r="F1006" s="2"/>
      <c r="G1006" s="2"/>
      <c r="H1006" s="2"/>
      <c r="I1006" s="2"/>
      <c r="J1006" s="2"/>
      <c r="K1006" s="2"/>
      <c r="L1006" s="2"/>
      <c r="M1006" s="2"/>
      <c r="N1006" s="2"/>
      <c r="O1006" s="2"/>
      <c r="P1006" s="2"/>
      <c r="Q1006" s="2"/>
      <c r="R1006" s="2"/>
      <c r="S1006" s="2"/>
      <c r="T1006" s="2"/>
      <c r="U1006" s="2"/>
      <c r="V1006" s="2"/>
      <c r="W1006" s="2"/>
      <c r="X1006" s="2"/>
      <c r="Y1006" s="2"/>
    </row>
    <row r="1007" spans="1:25" x14ac:dyDescent="0.25">
      <c r="A1007" s="2"/>
      <c r="B1007" s="9"/>
      <c r="C1007" s="2"/>
      <c r="D1007" s="2"/>
      <c r="E1007" s="2"/>
      <c r="F1007" s="2"/>
      <c r="G1007" s="2"/>
      <c r="H1007" s="2"/>
      <c r="I1007" s="2"/>
      <c r="J1007" s="2"/>
      <c r="K1007" s="2"/>
      <c r="L1007" s="2"/>
      <c r="M1007" s="2"/>
      <c r="N1007" s="2"/>
      <c r="O1007" s="2"/>
      <c r="P1007" s="2"/>
      <c r="Q1007" s="2"/>
      <c r="R1007" s="2"/>
      <c r="S1007" s="2"/>
      <c r="T1007" s="2"/>
      <c r="U1007" s="2"/>
      <c r="V1007" s="2"/>
      <c r="W1007" s="2"/>
      <c r="X1007" s="2"/>
      <c r="Y1007" s="2"/>
    </row>
    <row r="1008" spans="1:25" x14ac:dyDescent="0.25">
      <c r="A1008" s="2"/>
      <c r="B1008" s="9"/>
      <c r="C1008" s="2"/>
      <c r="D1008" s="2"/>
      <c r="E1008" s="2"/>
      <c r="F1008" s="2"/>
      <c r="G1008" s="2"/>
      <c r="H1008" s="2"/>
      <c r="I1008" s="2"/>
      <c r="J1008" s="2"/>
      <c r="K1008" s="2"/>
      <c r="L1008" s="2"/>
      <c r="M1008" s="2"/>
      <c r="N1008" s="2"/>
      <c r="O1008" s="2"/>
      <c r="P1008" s="2"/>
      <c r="Q1008" s="2"/>
      <c r="R1008" s="2"/>
      <c r="S1008" s="2"/>
      <c r="T1008" s="2"/>
      <c r="U1008" s="2"/>
      <c r="V1008" s="2"/>
      <c r="W1008" s="2"/>
      <c r="X1008" s="2"/>
      <c r="Y1008" s="2"/>
    </row>
    <row r="1009" spans="1:25" x14ac:dyDescent="0.25">
      <c r="A1009" s="2"/>
      <c r="B1009" s="9"/>
      <c r="C1009" s="2"/>
      <c r="D1009" s="2"/>
      <c r="E1009" s="2"/>
      <c r="F1009" s="2"/>
      <c r="G1009" s="2"/>
      <c r="H1009" s="2"/>
      <c r="I1009" s="2"/>
      <c r="J1009" s="2"/>
      <c r="K1009" s="2"/>
      <c r="L1009" s="2"/>
      <c r="M1009" s="2"/>
      <c r="N1009" s="2"/>
      <c r="O1009" s="2"/>
      <c r="P1009" s="2"/>
      <c r="Q1009" s="2"/>
      <c r="R1009" s="2"/>
      <c r="S1009" s="2"/>
      <c r="T1009" s="2"/>
      <c r="U1009" s="2"/>
      <c r="V1009" s="2"/>
      <c r="W1009" s="2"/>
      <c r="X1009" s="2"/>
      <c r="Y1009" s="2"/>
    </row>
    <row r="1010" spans="1:25" x14ac:dyDescent="0.25">
      <c r="A1010" s="2"/>
      <c r="B1010" s="9"/>
      <c r="C1010" s="2"/>
      <c r="D1010" s="2"/>
      <c r="E1010" s="2"/>
      <c r="F1010" s="2"/>
      <c r="G1010" s="2"/>
      <c r="H1010" s="2"/>
      <c r="I1010" s="2"/>
      <c r="J1010" s="2"/>
      <c r="K1010" s="2"/>
      <c r="L1010" s="2"/>
      <c r="M1010" s="2"/>
      <c r="N1010" s="2"/>
      <c r="O1010" s="2"/>
      <c r="P1010" s="2"/>
      <c r="Q1010" s="2"/>
      <c r="R1010" s="2"/>
      <c r="S1010" s="2"/>
      <c r="T1010" s="2"/>
      <c r="U1010" s="2"/>
      <c r="V1010" s="2"/>
      <c r="W1010" s="2"/>
      <c r="X1010" s="2"/>
      <c r="Y1010" s="2"/>
    </row>
    <row r="1011" spans="1:25" x14ac:dyDescent="0.25">
      <c r="A1011" s="2"/>
      <c r="B1011" s="9"/>
      <c r="C1011" s="2"/>
      <c r="D1011" s="2"/>
      <c r="E1011" s="2"/>
      <c r="F1011" s="2"/>
      <c r="G1011" s="2"/>
      <c r="H1011" s="2"/>
      <c r="I1011" s="2"/>
      <c r="J1011" s="2"/>
      <c r="K1011" s="2"/>
      <c r="L1011" s="2"/>
      <c r="M1011" s="2"/>
      <c r="N1011" s="2"/>
      <c r="O1011" s="2"/>
      <c r="P1011" s="2"/>
      <c r="Q1011" s="2"/>
      <c r="R1011" s="2"/>
      <c r="S1011" s="2"/>
      <c r="T1011" s="2"/>
      <c r="U1011" s="2"/>
      <c r="V1011" s="2"/>
      <c r="W1011" s="2"/>
      <c r="X1011" s="2"/>
      <c r="Y1011" s="2"/>
    </row>
    <row r="1012" spans="1:25" x14ac:dyDescent="0.25">
      <c r="A1012" s="2"/>
      <c r="B1012" s="9"/>
      <c r="C1012" s="2"/>
      <c r="D1012" s="2"/>
      <c r="E1012" s="2"/>
      <c r="F1012" s="2"/>
      <c r="G1012" s="2"/>
      <c r="H1012" s="2"/>
      <c r="I1012" s="2"/>
      <c r="J1012" s="2"/>
      <c r="K1012" s="2"/>
      <c r="L1012" s="2"/>
      <c r="M1012" s="2"/>
      <c r="N1012" s="2"/>
      <c r="O1012" s="2"/>
      <c r="P1012" s="2"/>
      <c r="Q1012" s="2"/>
      <c r="R1012" s="2"/>
      <c r="S1012" s="2"/>
      <c r="T1012" s="2"/>
      <c r="U1012" s="2"/>
      <c r="V1012" s="2"/>
      <c r="W1012" s="2"/>
      <c r="X1012" s="2"/>
      <c r="Y1012" s="2"/>
    </row>
    <row r="1013" spans="1:25" x14ac:dyDescent="0.25">
      <c r="A1013" s="2"/>
      <c r="B1013" s="9"/>
      <c r="C1013" s="2"/>
      <c r="D1013" s="2"/>
      <c r="E1013" s="2"/>
      <c r="F1013" s="2"/>
      <c r="G1013" s="2"/>
      <c r="H1013" s="2"/>
      <c r="I1013" s="2"/>
      <c r="J1013" s="2"/>
      <c r="K1013" s="2"/>
      <c r="L1013" s="2"/>
      <c r="M1013" s="2"/>
      <c r="N1013" s="2"/>
      <c r="O1013" s="2"/>
      <c r="P1013" s="2"/>
      <c r="Q1013" s="2"/>
      <c r="R1013" s="2"/>
      <c r="S1013" s="2"/>
      <c r="T1013" s="2"/>
      <c r="U1013" s="2"/>
      <c r="V1013" s="2"/>
      <c r="W1013" s="2"/>
      <c r="X1013" s="2"/>
      <c r="Y1013" s="2"/>
    </row>
    <row r="1014" spans="1:25" x14ac:dyDescent="0.25">
      <c r="A1014" s="2"/>
      <c r="B1014" s="9"/>
      <c r="C1014" s="2"/>
      <c r="D1014" s="2"/>
      <c r="E1014" s="2"/>
      <c r="F1014" s="2"/>
      <c r="G1014" s="2"/>
      <c r="H1014" s="2"/>
      <c r="I1014" s="2"/>
      <c r="J1014" s="2"/>
      <c r="K1014" s="2"/>
      <c r="L1014" s="2"/>
      <c r="M1014" s="2"/>
      <c r="N1014" s="2"/>
      <c r="O1014" s="2"/>
      <c r="P1014" s="2"/>
      <c r="Q1014" s="2"/>
      <c r="R1014" s="2"/>
      <c r="S1014" s="2"/>
      <c r="T1014" s="2"/>
      <c r="U1014" s="2"/>
      <c r="V1014" s="2"/>
      <c r="W1014" s="2"/>
      <c r="X1014" s="2"/>
      <c r="Y1014" s="2"/>
    </row>
    <row r="1015" spans="1:25" x14ac:dyDescent="0.25">
      <c r="A1015" s="2"/>
      <c r="B1015" s="9"/>
      <c r="C1015" s="2"/>
      <c r="D1015" s="2"/>
      <c r="E1015" s="2"/>
      <c r="F1015" s="2"/>
      <c r="G1015" s="2"/>
      <c r="H1015" s="2"/>
      <c r="I1015" s="2"/>
      <c r="J1015" s="2"/>
      <c r="K1015" s="2"/>
      <c r="L1015" s="2"/>
      <c r="M1015" s="2"/>
      <c r="N1015" s="2"/>
      <c r="O1015" s="2"/>
      <c r="P1015" s="2"/>
      <c r="Q1015" s="2"/>
      <c r="R1015" s="2"/>
      <c r="S1015" s="2"/>
      <c r="T1015" s="2"/>
      <c r="U1015" s="2"/>
      <c r="V1015" s="2"/>
      <c r="W1015" s="2"/>
      <c r="X1015" s="2"/>
      <c r="Y1015" s="2"/>
    </row>
    <row r="1016" spans="1:25" x14ac:dyDescent="0.25">
      <c r="A1016" s="2"/>
      <c r="B1016" s="9"/>
      <c r="C1016" s="2"/>
      <c r="D1016" s="2"/>
      <c r="E1016" s="2"/>
      <c r="F1016" s="2"/>
      <c r="G1016" s="2"/>
      <c r="H1016" s="2"/>
      <c r="I1016" s="2"/>
      <c r="J1016" s="2"/>
      <c r="K1016" s="2"/>
      <c r="L1016" s="2"/>
      <c r="M1016" s="2"/>
      <c r="N1016" s="2"/>
      <c r="O1016" s="2"/>
      <c r="P1016" s="2"/>
      <c r="Q1016" s="2"/>
      <c r="R1016" s="2"/>
      <c r="S1016" s="2"/>
      <c r="T1016" s="2"/>
      <c r="U1016" s="2"/>
      <c r="V1016" s="2"/>
      <c r="W1016" s="2"/>
      <c r="X1016" s="2"/>
      <c r="Y1016" s="2"/>
    </row>
    <row r="1017" spans="1:25" x14ac:dyDescent="0.25">
      <c r="A1017" s="2"/>
      <c r="B1017" s="9"/>
      <c r="C1017" s="2"/>
      <c r="D1017" s="2"/>
      <c r="E1017" s="2"/>
      <c r="F1017" s="2"/>
      <c r="G1017" s="2"/>
      <c r="H1017" s="2"/>
      <c r="I1017" s="2"/>
      <c r="J1017" s="2"/>
      <c r="K1017" s="2"/>
      <c r="L1017" s="2"/>
      <c r="M1017" s="2"/>
      <c r="N1017" s="2"/>
      <c r="O1017" s="2"/>
      <c r="P1017" s="2"/>
      <c r="Q1017" s="2"/>
      <c r="R1017" s="2"/>
      <c r="S1017" s="2"/>
      <c r="T1017" s="2"/>
      <c r="U1017" s="2"/>
      <c r="V1017" s="2"/>
      <c r="W1017" s="2"/>
      <c r="X1017" s="2"/>
      <c r="Y1017" s="2"/>
    </row>
    <row r="1018" spans="1:25" x14ac:dyDescent="0.25">
      <c r="A1018" s="2"/>
      <c r="B1018" s="9"/>
      <c r="C1018" s="2"/>
      <c r="D1018" s="2"/>
      <c r="E1018" s="2"/>
      <c r="F1018" s="2"/>
      <c r="G1018" s="2"/>
      <c r="H1018" s="2"/>
      <c r="I1018" s="2"/>
      <c r="J1018" s="2"/>
      <c r="K1018" s="2"/>
      <c r="L1018" s="2"/>
      <c r="M1018" s="2"/>
      <c r="N1018" s="2"/>
      <c r="O1018" s="2"/>
      <c r="P1018" s="2"/>
      <c r="Q1018" s="2"/>
      <c r="R1018" s="2"/>
      <c r="S1018" s="2"/>
      <c r="T1018" s="2"/>
      <c r="U1018" s="2"/>
      <c r="V1018" s="2"/>
      <c r="W1018" s="2"/>
      <c r="X1018" s="2"/>
      <c r="Y1018" s="2"/>
    </row>
    <row r="1019" spans="1:25" x14ac:dyDescent="0.25">
      <c r="A1019" s="2"/>
      <c r="B1019" s="9"/>
      <c r="C1019" s="2"/>
      <c r="D1019" s="2"/>
      <c r="E1019" s="2"/>
      <c r="F1019" s="2"/>
      <c r="G1019" s="2"/>
      <c r="H1019" s="2"/>
      <c r="I1019" s="2"/>
      <c r="J1019" s="2"/>
      <c r="K1019" s="2"/>
      <c r="L1019" s="2"/>
      <c r="M1019" s="2"/>
      <c r="N1019" s="2"/>
      <c r="O1019" s="2"/>
      <c r="P1019" s="2"/>
      <c r="Q1019" s="2"/>
      <c r="R1019" s="2"/>
      <c r="S1019" s="2"/>
      <c r="T1019" s="2"/>
      <c r="U1019" s="2"/>
      <c r="V1019" s="2"/>
      <c r="W1019" s="2"/>
      <c r="X1019" s="2"/>
      <c r="Y1019" s="2"/>
    </row>
    <row r="1020" spans="1:25" x14ac:dyDescent="0.25">
      <c r="A1020" s="2"/>
      <c r="B1020" s="9"/>
      <c r="C1020" s="2"/>
      <c r="D1020" s="2"/>
      <c r="E1020" s="2"/>
      <c r="F1020" s="2"/>
      <c r="G1020" s="2"/>
      <c r="H1020" s="2"/>
      <c r="I1020" s="2"/>
      <c r="J1020" s="2"/>
      <c r="K1020" s="2"/>
      <c r="L1020" s="2"/>
      <c r="M1020" s="2"/>
      <c r="N1020" s="2"/>
      <c r="O1020" s="2"/>
      <c r="P1020" s="2"/>
      <c r="Q1020" s="2"/>
      <c r="R1020" s="2"/>
      <c r="S1020" s="2"/>
      <c r="T1020" s="2"/>
      <c r="U1020" s="2"/>
      <c r="V1020" s="2"/>
      <c r="W1020" s="2"/>
      <c r="X1020" s="2"/>
      <c r="Y1020" s="2"/>
    </row>
    <row r="1021" spans="1:25" x14ac:dyDescent="0.25">
      <c r="A1021" s="2"/>
      <c r="B1021" s="9"/>
      <c r="C1021" s="2"/>
      <c r="D1021" s="2"/>
      <c r="E1021" s="2"/>
      <c r="F1021" s="2"/>
      <c r="G1021" s="2"/>
      <c r="H1021" s="2"/>
      <c r="I1021" s="2"/>
      <c r="J1021" s="2"/>
      <c r="K1021" s="2"/>
      <c r="L1021" s="2"/>
      <c r="M1021" s="2"/>
      <c r="N1021" s="2"/>
      <c r="O1021" s="2"/>
      <c r="P1021" s="2"/>
      <c r="Q1021" s="2"/>
      <c r="R1021" s="2"/>
      <c r="S1021" s="2"/>
      <c r="T1021" s="2"/>
      <c r="U1021" s="2"/>
      <c r="V1021" s="2"/>
      <c r="W1021" s="2"/>
      <c r="X1021" s="2"/>
      <c r="Y1021" s="2"/>
    </row>
    <row r="1022" spans="1:25" x14ac:dyDescent="0.25">
      <c r="A1022" s="2"/>
      <c r="B1022" s="9"/>
      <c r="C1022" s="2"/>
      <c r="D1022" s="2"/>
      <c r="E1022" s="2"/>
      <c r="F1022" s="2"/>
      <c r="G1022" s="2"/>
      <c r="H1022" s="2"/>
      <c r="I1022" s="2"/>
      <c r="J1022" s="2"/>
      <c r="K1022" s="2"/>
      <c r="L1022" s="2"/>
      <c r="M1022" s="2"/>
      <c r="N1022" s="2"/>
      <c r="O1022" s="2"/>
      <c r="P1022" s="2"/>
      <c r="Q1022" s="2"/>
      <c r="R1022" s="2"/>
      <c r="S1022" s="2"/>
      <c r="T1022" s="2"/>
      <c r="U1022" s="2"/>
      <c r="V1022" s="2"/>
      <c r="W1022" s="2"/>
      <c r="X1022" s="2"/>
      <c r="Y1022" s="2"/>
    </row>
    <row r="1023" spans="1:25" x14ac:dyDescent="0.25">
      <c r="A1023" s="2"/>
      <c r="B1023" s="9"/>
      <c r="C1023" s="2"/>
      <c r="D1023" s="2"/>
      <c r="E1023" s="2"/>
      <c r="F1023" s="2"/>
      <c r="G1023" s="2"/>
      <c r="H1023" s="2"/>
      <c r="I1023" s="2"/>
      <c r="J1023" s="2"/>
      <c r="K1023" s="2"/>
      <c r="L1023" s="2"/>
      <c r="M1023" s="2"/>
      <c r="N1023" s="2"/>
      <c r="O1023" s="2"/>
      <c r="P1023" s="2"/>
      <c r="Q1023" s="2"/>
      <c r="R1023" s="2"/>
      <c r="S1023" s="2"/>
      <c r="T1023" s="2"/>
      <c r="U1023" s="2"/>
      <c r="V1023" s="2"/>
      <c r="W1023" s="2"/>
      <c r="X1023" s="2"/>
      <c r="Y1023" s="2"/>
    </row>
    <row r="1024" spans="1:25" x14ac:dyDescent="0.25">
      <c r="A1024" s="2"/>
      <c r="B1024" s="65" t="s">
        <v>82</v>
      </c>
      <c r="C1024" s="2"/>
      <c r="D1024" s="2"/>
      <c r="E1024" s="2"/>
      <c r="F1024" s="2"/>
      <c r="G1024" s="2"/>
      <c r="H1024" s="2"/>
      <c r="I1024" s="2"/>
      <c r="J1024" s="2"/>
      <c r="K1024" s="2"/>
      <c r="L1024" s="2"/>
      <c r="M1024" s="2"/>
      <c r="N1024" s="2"/>
      <c r="O1024" s="2"/>
      <c r="P1024" s="2"/>
      <c r="Q1024" s="2"/>
      <c r="R1024" s="2"/>
      <c r="S1024" s="2"/>
      <c r="T1024" s="2"/>
      <c r="U1024" s="2"/>
      <c r="V1024" s="2"/>
      <c r="W1024" s="2"/>
      <c r="X1024" s="2"/>
      <c r="Y1024" s="2"/>
    </row>
    <row r="1025" spans="1:25" x14ac:dyDescent="0.25">
      <c r="A1025" s="9"/>
      <c r="B1025" s="9"/>
      <c r="C1025" s="9" t="s">
        <v>83</v>
      </c>
      <c r="D1025" s="9" t="s">
        <v>84</v>
      </c>
      <c r="E1025" s="9" t="s">
        <v>85</v>
      </c>
      <c r="F1025" s="9"/>
      <c r="G1025" s="9"/>
      <c r="H1025" s="9" t="s">
        <v>75</v>
      </c>
      <c r="I1025" s="9"/>
      <c r="J1025" s="9" t="s">
        <v>74</v>
      </c>
      <c r="K1025" s="9"/>
      <c r="L1025" s="9"/>
      <c r="M1025" s="9"/>
      <c r="N1025" s="9"/>
      <c r="O1025" s="9"/>
      <c r="P1025" s="9"/>
      <c r="Q1025" s="9"/>
      <c r="R1025" s="9"/>
      <c r="S1025" s="9"/>
      <c r="T1025" s="9"/>
      <c r="U1025" s="9"/>
      <c r="V1025" s="9"/>
      <c r="W1025" s="9"/>
      <c r="X1025" s="9"/>
      <c r="Y1025" s="9"/>
    </row>
    <row r="1026" spans="1:25" x14ac:dyDescent="0.25">
      <c r="A1026" s="2"/>
      <c r="B1026" s="9"/>
      <c r="C1026" s="66" t="s">
        <v>78</v>
      </c>
      <c r="D1026" s="66" t="s">
        <v>78</v>
      </c>
      <c r="E1026" s="66" t="s">
        <v>78</v>
      </c>
      <c r="F1026" s="2"/>
      <c r="G1026" s="2"/>
      <c r="H1026" s="66" t="s">
        <v>78</v>
      </c>
      <c r="I1026" s="2"/>
      <c r="J1026" s="2"/>
      <c r="K1026" s="2"/>
      <c r="L1026" s="2"/>
      <c r="M1026" s="2"/>
      <c r="N1026" s="2"/>
      <c r="O1026" s="2"/>
      <c r="P1026" s="2"/>
      <c r="Q1026" s="2"/>
      <c r="R1026" s="2"/>
      <c r="S1026" s="2"/>
      <c r="T1026" s="2"/>
      <c r="U1026" s="2"/>
      <c r="V1026" s="2"/>
      <c r="W1026" s="2"/>
      <c r="X1026" s="2"/>
      <c r="Y1026" s="2"/>
    </row>
    <row r="1027" spans="1:25" x14ac:dyDescent="0.25">
      <c r="A1027" s="2"/>
      <c r="B1027" s="9"/>
      <c r="C1027" s="17" t="s">
        <v>86</v>
      </c>
      <c r="D1027" s="2" t="s">
        <v>87</v>
      </c>
      <c r="E1027" s="2" t="s">
        <v>88</v>
      </c>
      <c r="F1027" s="2"/>
      <c r="G1027" s="2"/>
      <c r="H1027" s="2" t="s">
        <v>89</v>
      </c>
      <c r="I1027" s="2"/>
      <c r="J1027" s="2" t="s">
        <v>90</v>
      </c>
      <c r="K1027" s="2"/>
      <c r="L1027" s="2"/>
      <c r="M1027" s="2"/>
      <c r="N1027" s="2"/>
      <c r="O1027" s="2"/>
      <c r="P1027" s="2"/>
      <c r="Q1027" s="2"/>
      <c r="R1027" s="2"/>
      <c r="S1027" s="2"/>
      <c r="T1027" s="2"/>
      <c r="U1027" s="2"/>
      <c r="V1027" s="2"/>
      <c r="W1027" s="2"/>
      <c r="X1027" s="2"/>
      <c r="Y1027" s="2"/>
    </row>
    <row r="1028" spans="1:25" x14ac:dyDescent="0.25">
      <c r="A1028" s="2"/>
      <c r="B1028" s="9"/>
      <c r="C1028" s="2" t="s">
        <v>91</v>
      </c>
      <c r="D1028" s="2" t="s">
        <v>92</v>
      </c>
      <c r="E1028" s="2" t="s">
        <v>93</v>
      </c>
      <c r="F1028" s="2"/>
      <c r="G1028" s="2"/>
      <c r="H1028" s="2" t="s">
        <v>94</v>
      </c>
      <c r="I1028" s="2"/>
      <c r="J1028" s="2" t="s">
        <v>95</v>
      </c>
      <c r="K1028" s="2"/>
      <c r="L1028" s="2"/>
      <c r="M1028" s="2"/>
      <c r="N1028" s="2"/>
      <c r="O1028" s="2"/>
      <c r="P1028" s="2"/>
      <c r="Q1028" s="2"/>
      <c r="R1028" s="2"/>
      <c r="S1028" s="2"/>
      <c r="T1028" s="2"/>
      <c r="U1028" s="2"/>
      <c r="V1028" s="2"/>
      <c r="W1028" s="2"/>
      <c r="X1028" s="2"/>
      <c r="Y1028" s="2"/>
    </row>
    <row r="1029" spans="1:25" x14ac:dyDescent="0.25">
      <c r="A1029" s="2"/>
      <c r="B1029" s="9"/>
      <c r="C1029" s="2" t="s">
        <v>96</v>
      </c>
      <c r="D1029" s="2" t="s">
        <v>97</v>
      </c>
      <c r="E1029" s="2" t="s">
        <v>98</v>
      </c>
      <c r="F1029" s="2"/>
      <c r="G1029" s="2"/>
      <c r="H1029" s="2" t="s">
        <v>99</v>
      </c>
      <c r="I1029" s="2"/>
      <c r="J1029" s="2"/>
      <c r="K1029" s="2"/>
      <c r="L1029" s="2"/>
      <c r="M1029" s="2"/>
      <c r="N1029" s="2"/>
      <c r="O1029" s="2"/>
      <c r="P1029" s="2"/>
      <c r="Q1029" s="2"/>
      <c r="R1029" s="2"/>
      <c r="S1029" s="2"/>
      <c r="T1029" s="2"/>
      <c r="U1029" s="2"/>
      <c r="V1029" s="2"/>
      <c r="W1029" s="2"/>
      <c r="X1029" s="2"/>
      <c r="Y1029" s="2"/>
    </row>
    <row r="1030" spans="1:25" x14ac:dyDescent="0.25">
      <c r="A1030" s="2"/>
      <c r="B1030" s="9"/>
      <c r="C1030" s="2" t="s">
        <v>100</v>
      </c>
      <c r="D1030" s="2" t="s">
        <v>101</v>
      </c>
      <c r="E1030" s="2" t="s">
        <v>102</v>
      </c>
      <c r="F1030" s="2"/>
      <c r="G1030" s="2"/>
      <c r="H1030" s="2" t="s">
        <v>103</v>
      </c>
      <c r="I1030" s="2"/>
      <c r="J1030" s="2"/>
      <c r="K1030" s="2"/>
      <c r="L1030" s="2"/>
      <c r="M1030" s="2"/>
      <c r="N1030" s="2"/>
      <c r="O1030" s="2"/>
      <c r="P1030" s="2"/>
      <c r="Q1030" s="2"/>
      <c r="R1030" s="2"/>
      <c r="S1030" s="2"/>
      <c r="T1030" s="2"/>
      <c r="U1030" s="2"/>
      <c r="V1030" s="2"/>
      <c r="W1030" s="2"/>
      <c r="X1030" s="2"/>
      <c r="Y1030" s="2"/>
    </row>
    <row r="1031" spans="1:25" x14ac:dyDescent="0.25">
      <c r="A1031" s="2"/>
      <c r="B1031" s="9"/>
      <c r="C1031" s="2" t="s">
        <v>104</v>
      </c>
      <c r="D1031" s="2"/>
      <c r="E1031" s="2" t="s">
        <v>105</v>
      </c>
      <c r="F1031" s="2"/>
      <c r="G1031" s="2"/>
      <c r="H1031" s="2" t="s">
        <v>105</v>
      </c>
      <c r="I1031" s="2"/>
      <c r="J1031" s="2"/>
      <c r="K1031" s="2"/>
      <c r="L1031" s="2"/>
      <c r="M1031" s="2"/>
      <c r="N1031" s="2"/>
      <c r="O1031" s="2"/>
      <c r="P1031" s="2"/>
      <c r="Q1031" s="2"/>
      <c r="R1031" s="2"/>
      <c r="S1031" s="2"/>
      <c r="T1031" s="2"/>
      <c r="U1031" s="2"/>
      <c r="V1031" s="2"/>
      <c r="W1031" s="2"/>
      <c r="X1031" s="2"/>
      <c r="Y1031" s="2"/>
    </row>
    <row r="1032" spans="1:25" x14ac:dyDescent="0.25">
      <c r="A1032" s="2"/>
      <c r="B1032" s="9"/>
      <c r="C1032" s="2" t="s">
        <v>106</v>
      </c>
      <c r="D1032" s="2"/>
      <c r="E1032" s="2"/>
      <c r="F1032" s="2"/>
      <c r="G1032" s="2"/>
      <c r="H1032" s="2"/>
      <c r="I1032" s="2"/>
      <c r="J1032" s="2"/>
      <c r="K1032" s="2"/>
      <c r="L1032" s="2"/>
      <c r="M1032" s="2"/>
      <c r="N1032" s="2"/>
      <c r="O1032" s="2"/>
      <c r="P1032" s="2"/>
      <c r="Q1032" s="2"/>
      <c r="R1032" s="2"/>
      <c r="S1032" s="2"/>
      <c r="T1032" s="2"/>
      <c r="U1032" s="2"/>
      <c r="V1032" s="2"/>
      <c r="W1032" s="2"/>
      <c r="X1032" s="2"/>
      <c r="Y1032" s="2"/>
    </row>
    <row r="1033" spans="1:25" x14ac:dyDescent="0.25">
      <c r="A1033" s="2"/>
      <c r="B1033" s="9"/>
      <c r="C1033" s="2" t="s">
        <v>107</v>
      </c>
      <c r="D1033" s="2"/>
      <c r="E1033" s="2"/>
      <c r="F1033" s="2"/>
      <c r="G1033" s="2"/>
      <c r="H1033" s="2"/>
      <c r="I1033" s="2"/>
      <c r="J1033" s="2"/>
      <c r="K1033" s="2"/>
      <c r="L1033" s="2"/>
      <c r="M1033" s="2"/>
      <c r="N1033" s="2"/>
      <c r="O1033" s="2"/>
      <c r="P1033" s="2"/>
      <c r="Q1033" s="2"/>
      <c r="R1033" s="2"/>
      <c r="S1033" s="2"/>
      <c r="T1033" s="2"/>
      <c r="U1033" s="2"/>
      <c r="V1033" s="2"/>
      <c r="W1033" s="2"/>
      <c r="X1033" s="2"/>
      <c r="Y1033" s="2"/>
    </row>
    <row r="1034" spans="1:25" x14ac:dyDescent="0.25">
      <c r="A1034" s="2"/>
      <c r="B1034" s="9"/>
      <c r="C1034" s="2" t="s">
        <v>108</v>
      </c>
      <c r="D1034" s="2"/>
      <c r="E1034" s="2"/>
      <c r="F1034" s="2"/>
      <c r="G1034" s="2"/>
      <c r="H1034" s="2"/>
      <c r="I1034" s="2"/>
      <c r="J1034" s="2"/>
      <c r="K1034" s="2"/>
      <c r="L1034" s="2"/>
      <c r="M1034" s="2"/>
      <c r="N1034" s="2"/>
      <c r="O1034" s="2"/>
      <c r="P1034" s="2"/>
      <c r="Q1034" s="2"/>
      <c r="R1034" s="2"/>
      <c r="S1034" s="2"/>
      <c r="T1034" s="2"/>
      <c r="U1034" s="2"/>
      <c r="V1034" s="2"/>
      <c r="W1034" s="2"/>
      <c r="X1034" s="2"/>
      <c r="Y1034" s="2"/>
    </row>
    <row r="1035" spans="1:25" x14ac:dyDescent="0.25">
      <c r="A1035" s="2"/>
      <c r="B1035" s="9"/>
      <c r="C1035" s="17" t="s">
        <v>109</v>
      </c>
      <c r="D1035" s="2"/>
      <c r="E1035" s="2"/>
      <c r="F1035" s="2"/>
      <c r="G1035" s="2"/>
      <c r="H1035" s="2"/>
      <c r="I1035" s="2"/>
      <c r="J1035" s="2"/>
      <c r="K1035" s="2"/>
      <c r="L1035" s="2"/>
      <c r="M1035" s="2"/>
      <c r="N1035" s="2"/>
      <c r="O1035" s="2"/>
      <c r="P1035" s="2"/>
      <c r="Q1035" s="2"/>
      <c r="R1035" s="2"/>
      <c r="S1035" s="2"/>
      <c r="T1035" s="2"/>
      <c r="U1035" s="2"/>
      <c r="V1035" s="2"/>
      <c r="W1035" s="2"/>
      <c r="X1035" s="2"/>
      <c r="Y1035" s="2"/>
    </row>
  </sheetData>
  <sheetProtection formatCells="0" formatRows="0" insertRows="0" insertHyperlinks="0" deleteRows="0" selectLockedCells="1"/>
  <mergeCells count="981">
    <mergeCell ref="N966:P966"/>
    <mergeCell ref="N967:P967"/>
    <mergeCell ref="N958:P958"/>
    <mergeCell ref="N959:P959"/>
    <mergeCell ref="N960:P960"/>
    <mergeCell ref="N961:P961"/>
    <mergeCell ref="N962:P962"/>
    <mergeCell ref="N963:P963"/>
    <mergeCell ref="N964:P964"/>
    <mergeCell ref="N965:P965"/>
    <mergeCell ref="N951:P951"/>
    <mergeCell ref="N952:P952"/>
    <mergeCell ref="N953:P953"/>
    <mergeCell ref="N954:P954"/>
    <mergeCell ref="N955:P955"/>
    <mergeCell ref="N956:P956"/>
    <mergeCell ref="N957:P957"/>
    <mergeCell ref="N944:P944"/>
    <mergeCell ref="N945:P945"/>
    <mergeCell ref="N946:P946"/>
    <mergeCell ref="N947:P947"/>
    <mergeCell ref="N948:P948"/>
    <mergeCell ref="N949:P949"/>
    <mergeCell ref="N950:P950"/>
    <mergeCell ref="N935:P935"/>
    <mergeCell ref="N936:P936"/>
    <mergeCell ref="N937:P937"/>
    <mergeCell ref="N938:P938"/>
    <mergeCell ref="N939:P939"/>
    <mergeCell ref="N940:P940"/>
    <mergeCell ref="N941:P941"/>
    <mergeCell ref="N942:P942"/>
    <mergeCell ref="N943:P943"/>
    <mergeCell ref="N926:P926"/>
    <mergeCell ref="N927:P927"/>
    <mergeCell ref="N928:P928"/>
    <mergeCell ref="N929:P929"/>
    <mergeCell ref="N930:P930"/>
    <mergeCell ref="N931:P931"/>
    <mergeCell ref="N932:P932"/>
    <mergeCell ref="N933:P933"/>
    <mergeCell ref="N934:P934"/>
    <mergeCell ref="N917:P917"/>
    <mergeCell ref="N918:P918"/>
    <mergeCell ref="N919:P919"/>
    <mergeCell ref="N920:P920"/>
    <mergeCell ref="N921:P921"/>
    <mergeCell ref="N922:P922"/>
    <mergeCell ref="N923:P923"/>
    <mergeCell ref="N924:P924"/>
    <mergeCell ref="N925:P925"/>
    <mergeCell ref="N908:P908"/>
    <mergeCell ref="N909:P909"/>
    <mergeCell ref="N910:P910"/>
    <mergeCell ref="N911:P911"/>
    <mergeCell ref="N912:P912"/>
    <mergeCell ref="N913:P913"/>
    <mergeCell ref="N914:P914"/>
    <mergeCell ref="N915:P915"/>
    <mergeCell ref="N916:P916"/>
    <mergeCell ref="N899:P899"/>
    <mergeCell ref="N900:P900"/>
    <mergeCell ref="N901:P901"/>
    <mergeCell ref="N902:P902"/>
    <mergeCell ref="N903:P903"/>
    <mergeCell ref="N904:P904"/>
    <mergeCell ref="N905:P905"/>
    <mergeCell ref="N906:P906"/>
    <mergeCell ref="N907:P907"/>
    <mergeCell ref="N890:P890"/>
    <mergeCell ref="N891:P891"/>
    <mergeCell ref="N892:P892"/>
    <mergeCell ref="N893:P893"/>
    <mergeCell ref="N894:P894"/>
    <mergeCell ref="N895:P895"/>
    <mergeCell ref="N896:P896"/>
    <mergeCell ref="N897:P897"/>
    <mergeCell ref="N898:P898"/>
    <mergeCell ref="N881:P881"/>
    <mergeCell ref="N882:P882"/>
    <mergeCell ref="N883:P883"/>
    <mergeCell ref="N884:P884"/>
    <mergeCell ref="N885:P885"/>
    <mergeCell ref="N886:P886"/>
    <mergeCell ref="N887:P887"/>
    <mergeCell ref="N888:P888"/>
    <mergeCell ref="N889:P889"/>
    <mergeCell ref="J119:P119"/>
    <mergeCell ref="J124:P124"/>
    <mergeCell ref="J125:P125"/>
    <mergeCell ref="J90:P90"/>
    <mergeCell ref="J91:P91"/>
    <mergeCell ref="J89:P89"/>
    <mergeCell ref="J126:P126"/>
    <mergeCell ref="J127:P127"/>
    <mergeCell ref="J128:P128"/>
    <mergeCell ref="J122:P122"/>
    <mergeCell ref="J132:P132"/>
    <mergeCell ref="J133:P133"/>
    <mergeCell ref="J134:P134"/>
    <mergeCell ref="J92:P92"/>
    <mergeCell ref="J96:P96"/>
    <mergeCell ref="J97:P97"/>
    <mergeCell ref="J98:P98"/>
    <mergeCell ref="J102:P102"/>
    <mergeCell ref="J103:P103"/>
    <mergeCell ref="J104:P104"/>
    <mergeCell ref="J108:P108"/>
    <mergeCell ref="J109:P109"/>
    <mergeCell ref="J101:P101"/>
    <mergeCell ref="J106:P106"/>
    <mergeCell ref="J107:P107"/>
    <mergeCell ref="J112:P112"/>
    <mergeCell ref="J113:P113"/>
    <mergeCell ref="J118:P118"/>
    <mergeCell ref="J110:P110"/>
    <mergeCell ref="J114:P114"/>
    <mergeCell ref="J115:P115"/>
    <mergeCell ref="J116:P116"/>
    <mergeCell ref="J120:P120"/>
    <mergeCell ref="J121:P121"/>
    <mergeCell ref="J49:P49"/>
    <mergeCell ref="J50:P50"/>
    <mergeCell ref="J54:P54"/>
    <mergeCell ref="J55:P55"/>
    <mergeCell ref="J56:P56"/>
    <mergeCell ref="J61:P61"/>
    <mergeCell ref="J62:P62"/>
    <mergeCell ref="J67:P67"/>
    <mergeCell ref="J68:P68"/>
    <mergeCell ref="J58:P58"/>
    <mergeCell ref="J59:P59"/>
    <mergeCell ref="J60:P60"/>
    <mergeCell ref="J64:P64"/>
    <mergeCell ref="J65:P65"/>
    <mergeCell ref="J31:P31"/>
    <mergeCell ref="J32:P32"/>
    <mergeCell ref="J36:P36"/>
    <mergeCell ref="J37:P37"/>
    <mergeCell ref="J38:P38"/>
    <mergeCell ref="J42:P42"/>
    <mergeCell ref="J43:P43"/>
    <mergeCell ref="J44:P44"/>
    <mergeCell ref="J48:P48"/>
    <mergeCell ref="J215:P215"/>
    <mergeCell ref="J216:P216"/>
    <mergeCell ref="J210:P210"/>
    <mergeCell ref="J211:P211"/>
    <mergeCell ref="J149:P149"/>
    <mergeCell ref="J152:P152"/>
    <mergeCell ref="J153:P153"/>
    <mergeCell ref="J155:P155"/>
    <mergeCell ref="J156:P156"/>
    <mergeCell ref="J157:P157"/>
    <mergeCell ref="J158:P158"/>
    <mergeCell ref="J172:P172"/>
    <mergeCell ref="J173:P173"/>
    <mergeCell ref="J206:P206"/>
    <mergeCell ref="J212:P212"/>
    <mergeCell ref="J213:P213"/>
    <mergeCell ref="J214:P214"/>
    <mergeCell ref="J203:P203"/>
    <mergeCell ref="J204:P204"/>
    <mergeCell ref="J205:P205"/>
    <mergeCell ref="J208:P208"/>
    <mergeCell ref="J209:P209"/>
    <mergeCell ref="J194:P194"/>
    <mergeCell ref="J188:P188"/>
    <mergeCell ref="J70:P70"/>
    <mergeCell ref="J71:P71"/>
    <mergeCell ref="J66:P66"/>
    <mergeCell ref="J76:P76"/>
    <mergeCell ref="J77:P77"/>
    <mergeCell ref="J82:P82"/>
    <mergeCell ref="J83:P83"/>
    <mergeCell ref="J72:P72"/>
    <mergeCell ref="J88:P88"/>
    <mergeCell ref="J73:P73"/>
    <mergeCell ref="J74:P74"/>
    <mergeCell ref="J79:P79"/>
    <mergeCell ref="J80:P80"/>
    <mergeCell ref="J84:P84"/>
    <mergeCell ref="J85:P85"/>
    <mergeCell ref="J86:P86"/>
    <mergeCell ref="J247:P247"/>
    <mergeCell ref="J224:P224"/>
    <mergeCell ref="J225:P225"/>
    <mergeCell ref="J226:P226"/>
    <mergeCell ref="J227:P227"/>
    <mergeCell ref="N879:P879"/>
    <mergeCell ref="J266:P266"/>
    <mergeCell ref="J267:P267"/>
    <mergeCell ref="J268:P268"/>
    <mergeCell ref="J269:P269"/>
    <mergeCell ref="J270:P270"/>
    <mergeCell ref="J271:P271"/>
    <mergeCell ref="J272:P272"/>
    <mergeCell ref="J273:P273"/>
    <mergeCell ref="J230:P230"/>
    <mergeCell ref="J231:P231"/>
    <mergeCell ref="J263:P263"/>
    <mergeCell ref="J264:P264"/>
    <mergeCell ref="N804:P804"/>
    <mergeCell ref="N825:P825"/>
    <mergeCell ref="N826:P826"/>
    <mergeCell ref="N811:P811"/>
    <mergeCell ref="N797:P797"/>
    <mergeCell ref="N823:P823"/>
    <mergeCell ref="J218:P218"/>
    <mergeCell ref="J219:P219"/>
    <mergeCell ref="J220:P220"/>
    <mergeCell ref="J221:P221"/>
    <mergeCell ref="J222:P222"/>
    <mergeCell ref="N880:P880"/>
    <mergeCell ref="J274:P274"/>
    <mergeCell ref="N872:P872"/>
    <mergeCell ref="N873:P873"/>
    <mergeCell ref="N874:P874"/>
    <mergeCell ref="N875:P875"/>
    <mergeCell ref="N876:P876"/>
    <mergeCell ref="N877:P877"/>
    <mergeCell ref="N878:P878"/>
    <mergeCell ref="N820:P820"/>
    <mergeCell ref="N819:P819"/>
    <mergeCell ref="N809:P809"/>
    <mergeCell ref="N816:P816"/>
    <mergeCell ref="N817:P817"/>
    <mergeCell ref="N818:P818"/>
    <mergeCell ref="N813:P813"/>
    <mergeCell ref="J261:P261"/>
    <mergeCell ref="J262:P262"/>
    <mergeCell ref="J246:P246"/>
    <mergeCell ref="S69:Y69"/>
    <mergeCell ref="S75:Y75"/>
    <mergeCell ref="S81:Y81"/>
    <mergeCell ref="S87:Y87"/>
    <mergeCell ref="S93:Y93"/>
    <mergeCell ref="S99:Y99"/>
    <mergeCell ref="S105:Y105"/>
    <mergeCell ref="S111:Y111"/>
    <mergeCell ref="S123:Y123"/>
    <mergeCell ref="S129:Y129"/>
    <mergeCell ref="S135:Y135"/>
    <mergeCell ref="S136:Y136"/>
    <mergeCell ref="S137:Y137"/>
    <mergeCell ref="S138:Y138"/>
    <mergeCell ref="J151:P151"/>
    <mergeCell ref="J169:P169"/>
    <mergeCell ref="J171:P171"/>
    <mergeCell ref="J170:P170"/>
    <mergeCell ref="J165:P165"/>
    <mergeCell ref="J164:P164"/>
    <mergeCell ref="J166:P166"/>
    <mergeCell ref="J159:P159"/>
    <mergeCell ref="J168:P168"/>
    <mergeCell ref="J167:P167"/>
    <mergeCell ref="J141:P141"/>
    <mergeCell ref="J129:P129"/>
    <mergeCell ref="J135:P135"/>
    <mergeCell ref="J136:P136"/>
    <mergeCell ref="J137:P137"/>
    <mergeCell ref="J139:P139"/>
    <mergeCell ref="J138:P138"/>
    <mergeCell ref="J130:P130"/>
    <mergeCell ref="J131:P131"/>
    <mergeCell ref="B12:C12"/>
    <mergeCell ref="D12:E12"/>
    <mergeCell ref="B1:Q1"/>
    <mergeCell ref="B2:Q2"/>
    <mergeCell ref="B4:C4"/>
    <mergeCell ref="B5:C5"/>
    <mergeCell ref="G5:J5"/>
    <mergeCell ref="B6:C6"/>
    <mergeCell ref="D6:O6"/>
    <mergeCell ref="B8:P8"/>
    <mergeCell ref="B10:C10"/>
    <mergeCell ref="D10:E10"/>
    <mergeCell ref="B11:C11"/>
    <mergeCell ref="D11:E11"/>
    <mergeCell ref="J23:P23"/>
    <mergeCell ref="J69:P69"/>
    <mergeCell ref="J75:P75"/>
    <mergeCell ref="J81:P81"/>
    <mergeCell ref="J87:P87"/>
    <mergeCell ref="J99:P99"/>
    <mergeCell ref="J105:P105"/>
    <mergeCell ref="J111:P111"/>
    <mergeCell ref="J117:P117"/>
    <mergeCell ref="J33:P33"/>
    <mergeCell ref="J28:P28"/>
    <mergeCell ref="J29:P29"/>
    <mergeCell ref="J34:P34"/>
    <mergeCell ref="J35:P35"/>
    <mergeCell ref="J40:P40"/>
    <mergeCell ref="J41:P41"/>
    <mergeCell ref="J46:P46"/>
    <mergeCell ref="J47:P47"/>
    <mergeCell ref="J52:P52"/>
    <mergeCell ref="J53:P53"/>
    <mergeCell ref="J94:P94"/>
    <mergeCell ref="J95:P95"/>
    <mergeCell ref="J78:P78"/>
    <mergeCell ref="J100:P100"/>
    <mergeCell ref="B13:C13"/>
    <mergeCell ref="D13:E13"/>
    <mergeCell ref="G13:O16"/>
    <mergeCell ref="B14:C14"/>
    <mergeCell ref="D14:E14"/>
    <mergeCell ref="B15:C15"/>
    <mergeCell ref="D15:E15"/>
    <mergeCell ref="B16:C16"/>
    <mergeCell ref="D16:E16"/>
    <mergeCell ref="B17:C17"/>
    <mergeCell ref="D17:E17"/>
    <mergeCell ref="B20:P20"/>
    <mergeCell ref="J22:P22"/>
    <mergeCell ref="J147:P147"/>
    <mergeCell ref="J150:P150"/>
    <mergeCell ref="J154:P154"/>
    <mergeCell ref="J146:P146"/>
    <mergeCell ref="J144:P144"/>
    <mergeCell ref="J145:P145"/>
    <mergeCell ref="J142:P142"/>
    <mergeCell ref="J25:P25"/>
    <mergeCell ref="J148:P148"/>
    <mergeCell ref="J143:P143"/>
    <mergeCell ref="J26:P26"/>
    <mergeCell ref="J27:P27"/>
    <mergeCell ref="J30:P30"/>
    <mergeCell ref="J39:P39"/>
    <mergeCell ref="J45:P45"/>
    <mergeCell ref="J51:P51"/>
    <mergeCell ref="J57:P57"/>
    <mergeCell ref="J63:P63"/>
    <mergeCell ref="J93:P93"/>
    <mergeCell ref="J123:P123"/>
    <mergeCell ref="N968:P968"/>
    <mergeCell ref="N867:P867"/>
    <mergeCell ref="N840:P840"/>
    <mergeCell ref="N841:P841"/>
    <mergeCell ref="N842:P842"/>
    <mergeCell ref="N843:P843"/>
    <mergeCell ref="N855:P855"/>
    <mergeCell ref="N856:P856"/>
    <mergeCell ref="N857:P857"/>
    <mergeCell ref="N858:P858"/>
    <mergeCell ref="N859:P859"/>
    <mergeCell ref="N860:P860"/>
    <mergeCell ref="N844:P844"/>
    <mergeCell ref="N845:P845"/>
    <mergeCell ref="N846:P846"/>
    <mergeCell ref="N847:P847"/>
    <mergeCell ref="N849:P849"/>
    <mergeCell ref="N869:P869"/>
    <mergeCell ref="N850:P850"/>
    <mergeCell ref="N851:P851"/>
    <mergeCell ref="N852:P852"/>
    <mergeCell ref="N853:P853"/>
    <mergeCell ref="N854:P854"/>
    <mergeCell ref="N848:P848"/>
    <mergeCell ref="N824:P824"/>
    <mergeCell ref="N805:P805"/>
    <mergeCell ref="N806:P806"/>
    <mergeCell ref="N807:P807"/>
    <mergeCell ref="N808:P808"/>
    <mergeCell ref="N810:P810"/>
    <mergeCell ref="N812:P812"/>
    <mergeCell ref="N814:P814"/>
    <mergeCell ref="N815:P815"/>
    <mergeCell ref="J251:P251"/>
    <mergeCell ref="J255:P255"/>
    <mergeCell ref="J256:P256"/>
    <mergeCell ref="J257:P257"/>
    <mergeCell ref="J258:P258"/>
    <mergeCell ref="J196:P196"/>
    <mergeCell ref="J195:P195"/>
    <mergeCell ref="J197:P197"/>
    <mergeCell ref="J198:P198"/>
    <mergeCell ref="J199:P199"/>
    <mergeCell ref="J202:P202"/>
    <mergeCell ref="J240:P240"/>
    <mergeCell ref="J232:P232"/>
    <mergeCell ref="J233:P233"/>
    <mergeCell ref="J234:P234"/>
    <mergeCell ref="J235:P235"/>
    <mergeCell ref="J236:P236"/>
    <mergeCell ref="J237:P237"/>
    <mergeCell ref="J238:P238"/>
    <mergeCell ref="J239:P239"/>
    <mergeCell ref="J228:P228"/>
    <mergeCell ref="J229:P229"/>
    <mergeCell ref="J217:P217"/>
    <mergeCell ref="J223:P223"/>
    <mergeCell ref="N871:P871"/>
    <mergeCell ref="N827:P827"/>
    <mergeCell ref="N828:P828"/>
    <mergeCell ref="N803:P803"/>
    <mergeCell ref="N798:P798"/>
    <mergeCell ref="N799:P799"/>
    <mergeCell ref="N839:P839"/>
    <mergeCell ref="N868:P868"/>
    <mergeCell ref="N830:P830"/>
    <mergeCell ref="N831:P831"/>
    <mergeCell ref="N832:P832"/>
    <mergeCell ref="N833:P833"/>
    <mergeCell ref="N834:P834"/>
    <mergeCell ref="N835:P835"/>
    <mergeCell ref="N836:P836"/>
    <mergeCell ref="N837:P837"/>
    <mergeCell ref="N838:P838"/>
    <mergeCell ref="N829:P829"/>
    <mergeCell ref="N822:P822"/>
    <mergeCell ref="N865:P865"/>
    <mergeCell ref="N870:P870"/>
    <mergeCell ref="N866:P866"/>
    <mergeCell ref="N861:P861"/>
    <mergeCell ref="N821:P821"/>
    <mergeCell ref="J140:P140"/>
    <mergeCell ref="J183:P183"/>
    <mergeCell ref="J184:P184"/>
    <mergeCell ref="J186:P186"/>
    <mergeCell ref="J175:P175"/>
    <mergeCell ref="J162:P162"/>
    <mergeCell ref="J177:P177"/>
    <mergeCell ref="J178:P178"/>
    <mergeCell ref="J179:P179"/>
    <mergeCell ref="J180:P180"/>
    <mergeCell ref="J185:P185"/>
    <mergeCell ref="J189:P189"/>
    <mergeCell ref="J190:P190"/>
    <mergeCell ref="J161:P161"/>
    <mergeCell ref="J163:P163"/>
    <mergeCell ref="J160:P160"/>
    <mergeCell ref="J174:P174"/>
    <mergeCell ref="J176:P176"/>
    <mergeCell ref="J187:P187"/>
    <mergeCell ref="J191:P191"/>
    <mergeCell ref="J181:P181"/>
    <mergeCell ref="J182:P182"/>
    <mergeCell ref="J192:P192"/>
    <mergeCell ref="N862:P862"/>
    <mergeCell ref="N863:P863"/>
    <mergeCell ref="N864:P864"/>
    <mergeCell ref="J241:P241"/>
    <mergeCell ref="J242:P242"/>
    <mergeCell ref="J243:P243"/>
    <mergeCell ref="J244:P244"/>
    <mergeCell ref="J245:P245"/>
    <mergeCell ref="B795:P795"/>
    <mergeCell ref="B801:P801"/>
    <mergeCell ref="J248:P248"/>
    <mergeCell ref="J249:P249"/>
    <mergeCell ref="J250:P250"/>
    <mergeCell ref="J253:P253"/>
    <mergeCell ref="J254:P254"/>
    <mergeCell ref="J265:P265"/>
    <mergeCell ref="J259:P259"/>
    <mergeCell ref="J260:P260"/>
    <mergeCell ref="J200:P200"/>
    <mergeCell ref="J201:P201"/>
    <mergeCell ref="J207:P207"/>
    <mergeCell ref="J193:P193"/>
    <mergeCell ref="J252:P252"/>
    <mergeCell ref="J649:P649"/>
    <mergeCell ref="J650:P650"/>
    <mergeCell ref="J651:P651"/>
    <mergeCell ref="J652:P652"/>
    <mergeCell ref="J653:P653"/>
    <mergeCell ref="J654:P654"/>
    <mergeCell ref="J655:P655"/>
    <mergeCell ref="J656:P656"/>
    <mergeCell ref="J657:P657"/>
    <mergeCell ref="J658:P658"/>
    <mergeCell ref="J659:P659"/>
    <mergeCell ref="J660:P660"/>
    <mergeCell ref="J661:P661"/>
    <mergeCell ref="J662:P662"/>
    <mergeCell ref="J663:P663"/>
    <mergeCell ref="J664:P664"/>
    <mergeCell ref="J665:P665"/>
    <mergeCell ref="J666:P666"/>
    <mergeCell ref="J667:P667"/>
    <mergeCell ref="J668:P668"/>
    <mergeCell ref="J669:P669"/>
    <mergeCell ref="J670:P670"/>
    <mergeCell ref="J671:P671"/>
    <mergeCell ref="J672:P672"/>
    <mergeCell ref="J673:P673"/>
    <mergeCell ref="J674:P674"/>
    <mergeCell ref="J675:P675"/>
    <mergeCell ref="J676:P676"/>
    <mergeCell ref="J677:P677"/>
    <mergeCell ref="J678:P678"/>
    <mergeCell ref="J679:P679"/>
    <mergeCell ref="J680:P680"/>
    <mergeCell ref="J681:P681"/>
    <mergeCell ref="J682:P682"/>
    <mergeCell ref="J683:P683"/>
    <mergeCell ref="J684:P684"/>
    <mergeCell ref="J685:P685"/>
    <mergeCell ref="J686:P686"/>
    <mergeCell ref="J687:P687"/>
    <mergeCell ref="J688:P688"/>
    <mergeCell ref="J689:P689"/>
    <mergeCell ref="J690:P690"/>
    <mergeCell ref="J691:P691"/>
    <mergeCell ref="J692:P692"/>
    <mergeCell ref="J693:P693"/>
    <mergeCell ref="J694:P694"/>
    <mergeCell ref="J695:P695"/>
    <mergeCell ref="J696:P696"/>
    <mergeCell ref="J697:P697"/>
    <mergeCell ref="J698:P698"/>
    <mergeCell ref="J699:P699"/>
    <mergeCell ref="J700:P700"/>
    <mergeCell ref="J701:P701"/>
    <mergeCell ref="J702:P702"/>
    <mergeCell ref="J703:P703"/>
    <mergeCell ref="J704:P704"/>
    <mergeCell ref="J705:P705"/>
    <mergeCell ref="J706:P706"/>
    <mergeCell ref="J707:P707"/>
    <mergeCell ref="J708:P708"/>
    <mergeCell ref="J709:P709"/>
    <mergeCell ref="J710:P710"/>
    <mergeCell ref="J711:P711"/>
    <mergeCell ref="J712:P712"/>
    <mergeCell ref="J713:P713"/>
    <mergeCell ref="J714:P714"/>
    <mergeCell ref="J715:P715"/>
    <mergeCell ref="J716:P716"/>
    <mergeCell ref="J717:P717"/>
    <mergeCell ref="J718:P718"/>
    <mergeCell ref="J719:P719"/>
    <mergeCell ref="J720:P720"/>
    <mergeCell ref="J721:P721"/>
    <mergeCell ref="J722:P722"/>
    <mergeCell ref="J723:P723"/>
    <mergeCell ref="J724:P724"/>
    <mergeCell ref="J725:P725"/>
    <mergeCell ref="J726:P726"/>
    <mergeCell ref="J727:P727"/>
    <mergeCell ref="J728:P728"/>
    <mergeCell ref="J729:P729"/>
    <mergeCell ref="J730:P730"/>
    <mergeCell ref="J731:P731"/>
    <mergeCell ref="J732:P732"/>
    <mergeCell ref="J733:P733"/>
    <mergeCell ref="J734:P734"/>
    <mergeCell ref="J735:P735"/>
    <mergeCell ref="J736:P736"/>
    <mergeCell ref="J737:P737"/>
    <mergeCell ref="J738:P738"/>
    <mergeCell ref="J739:P739"/>
    <mergeCell ref="J740:P740"/>
    <mergeCell ref="J741:P741"/>
    <mergeCell ref="J742:P742"/>
    <mergeCell ref="J743:P743"/>
    <mergeCell ref="J744:P744"/>
    <mergeCell ref="J745:P745"/>
    <mergeCell ref="J746:P746"/>
    <mergeCell ref="J747:P747"/>
    <mergeCell ref="J748:P748"/>
    <mergeCell ref="J749:P749"/>
    <mergeCell ref="J750:P750"/>
    <mergeCell ref="J751:P751"/>
    <mergeCell ref="J752:P752"/>
    <mergeCell ref="J753:P753"/>
    <mergeCell ref="J754:P754"/>
    <mergeCell ref="J755:P755"/>
    <mergeCell ref="J756:P756"/>
    <mergeCell ref="J757:P757"/>
    <mergeCell ref="J758:P758"/>
    <mergeCell ref="J759:P759"/>
    <mergeCell ref="J760:P760"/>
    <mergeCell ref="J761:P761"/>
    <mergeCell ref="J762:P762"/>
    <mergeCell ref="J763:P763"/>
    <mergeCell ref="J764:P764"/>
    <mergeCell ref="J765:P765"/>
    <mergeCell ref="J766:P766"/>
    <mergeCell ref="J767:P767"/>
    <mergeCell ref="J768:P768"/>
    <mergeCell ref="J769:P769"/>
    <mergeCell ref="J770:P770"/>
    <mergeCell ref="J771:P771"/>
    <mergeCell ref="J772:P772"/>
    <mergeCell ref="J773:P773"/>
    <mergeCell ref="J774:P774"/>
    <mergeCell ref="J775:P775"/>
    <mergeCell ref="J776:P776"/>
    <mergeCell ref="J777:P777"/>
    <mergeCell ref="J778:P778"/>
    <mergeCell ref="J779:P779"/>
    <mergeCell ref="J780:P780"/>
    <mergeCell ref="J781:P781"/>
    <mergeCell ref="J782:P782"/>
    <mergeCell ref="J783:P783"/>
    <mergeCell ref="J784:P784"/>
    <mergeCell ref="J785:P785"/>
    <mergeCell ref="J786:P786"/>
    <mergeCell ref="J787:P787"/>
    <mergeCell ref="J788:P788"/>
    <mergeCell ref="J789:P789"/>
    <mergeCell ref="J790:P790"/>
    <mergeCell ref="J792:P792"/>
    <mergeCell ref="J275:P275"/>
    <mergeCell ref="J277:P277"/>
    <mergeCell ref="J278:P278"/>
    <mergeCell ref="J279:P279"/>
    <mergeCell ref="J280:P280"/>
    <mergeCell ref="J281:P281"/>
    <mergeCell ref="J282:P282"/>
    <mergeCell ref="J283:P283"/>
    <mergeCell ref="J284:P284"/>
    <mergeCell ref="J285:P285"/>
    <mergeCell ref="J286:P286"/>
    <mergeCell ref="J287:P287"/>
    <mergeCell ref="J288:P288"/>
    <mergeCell ref="J289:P289"/>
    <mergeCell ref="J290:P290"/>
    <mergeCell ref="J291:P291"/>
    <mergeCell ref="J292:P292"/>
    <mergeCell ref="J293:P293"/>
    <mergeCell ref="J294:P294"/>
    <mergeCell ref="J295:P295"/>
    <mergeCell ref="J296:P296"/>
    <mergeCell ref="J297:P297"/>
    <mergeCell ref="J298:P298"/>
    <mergeCell ref="J299:P299"/>
    <mergeCell ref="J300:P300"/>
    <mergeCell ref="J301:P301"/>
    <mergeCell ref="J302:P302"/>
    <mergeCell ref="J303:P303"/>
    <mergeCell ref="J304:P304"/>
    <mergeCell ref="J305:P305"/>
    <mergeCell ref="J306:P306"/>
    <mergeCell ref="J307:P307"/>
    <mergeCell ref="J308:P308"/>
    <mergeCell ref="J309:P309"/>
    <mergeCell ref="J310:P310"/>
    <mergeCell ref="J311:P311"/>
    <mergeCell ref="J312:P312"/>
    <mergeCell ref="J313:P313"/>
    <mergeCell ref="J314:P314"/>
    <mergeCell ref="J315:P315"/>
    <mergeCell ref="J316:P316"/>
    <mergeCell ref="J317:P317"/>
    <mergeCell ref="J318:P318"/>
    <mergeCell ref="J319:P319"/>
    <mergeCell ref="J320:P320"/>
    <mergeCell ref="J321:P321"/>
    <mergeCell ref="J322:P322"/>
    <mergeCell ref="J323:P323"/>
    <mergeCell ref="J324:P324"/>
    <mergeCell ref="J325:P325"/>
    <mergeCell ref="J326:P326"/>
    <mergeCell ref="J327:P327"/>
    <mergeCell ref="J328:P328"/>
    <mergeCell ref="J329:P329"/>
    <mergeCell ref="J330:P330"/>
    <mergeCell ref="J331:P331"/>
    <mergeCell ref="J332:P332"/>
    <mergeCell ref="J333:P333"/>
    <mergeCell ref="J334:P334"/>
    <mergeCell ref="J335:P335"/>
    <mergeCell ref="J336:P336"/>
    <mergeCell ref="J337:P337"/>
    <mergeCell ref="J338:P338"/>
    <mergeCell ref="J339:P339"/>
    <mergeCell ref="J340:P340"/>
    <mergeCell ref="J341:P341"/>
    <mergeCell ref="J342:P342"/>
    <mergeCell ref="J343:P343"/>
    <mergeCell ref="J344:P344"/>
    <mergeCell ref="J345:P345"/>
    <mergeCell ref="J346:P346"/>
    <mergeCell ref="J347:P347"/>
    <mergeCell ref="J348:P348"/>
    <mergeCell ref="J349:P349"/>
    <mergeCell ref="J350:P350"/>
    <mergeCell ref="J351:P351"/>
    <mergeCell ref="J352:P352"/>
    <mergeCell ref="J353:P353"/>
    <mergeCell ref="J354:P354"/>
    <mergeCell ref="J355:P355"/>
    <mergeCell ref="J356:P356"/>
    <mergeCell ref="J357:P357"/>
    <mergeCell ref="J358:P358"/>
    <mergeCell ref="J359:P359"/>
    <mergeCell ref="J360:P360"/>
    <mergeCell ref="J361:P361"/>
    <mergeCell ref="J362:P362"/>
    <mergeCell ref="J363:P363"/>
    <mergeCell ref="J364:P364"/>
    <mergeCell ref="J365:P365"/>
    <mergeCell ref="J366:P366"/>
    <mergeCell ref="J367:P367"/>
    <mergeCell ref="J368:P368"/>
    <mergeCell ref="J369:P369"/>
    <mergeCell ref="J370:P370"/>
    <mergeCell ref="J371:P371"/>
    <mergeCell ref="J372:P372"/>
    <mergeCell ref="J373:P373"/>
    <mergeCell ref="J374:P374"/>
    <mergeCell ref="J375:P375"/>
    <mergeCell ref="J376:P376"/>
    <mergeCell ref="J377:P377"/>
    <mergeCell ref="J378:P378"/>
    <mergeCell ref="J379:P379"/>
    <mergeCell ref="J380:P380"/>
    <mergeCell ref="J381:P381"/>
    <mergeCell ref="J382:P382"/>
    <mergeCell ref="J383:P383"/>
    <mergeCell ref="J384:P384"/>
    <mergeCell ref="J385:P385"/>
    <mergeCell ref="J386:P386"/>
    <mergeCell ref="J387:P387"/>
    <mergeCell ref="J388:P388"/>
    <mergeCell ref="J389:P389"/>
    <mergeCell ref="J390:P390"/>
    <mergeCell ref="J391:P391"/>
    <mergeCell ref="J392:P392"/>
    <mergeCell ref="J393:P393"/>
    <mergeCell ref="J394:P394"/>
    <mergeCell ref="J395:P395"/>
    <mergeCell ref="J396:P396"/>
    <mergeCell ref="J397:P397"/>
    <mergeCell ref="J398:P398"/>
    <mergeCell ref="J399:P399"/>
    <mergeCell ref="J400:P400"/>
    <mergeCell ref="J401:P401"/>
    <mergeCell ref="J402:P402"/>
    <mergeCell ref="J403:P403"/>
    <mergeCell ref="J404:P404"/>
    <mergeCell ref="J405:P405"/>
    <mergeCell ref="J406:P406"/>
    <mergeCell ref="J407:P407"/>
    <mergeCell ref="J408:P408"/>
    <mergeCell ref="J409:P409"/>
    <mergeCell ref="J410:P410"/>
    <mergeCell ref="J411:P411"/>
    <mergeCell ref="J412:P412"/>
    <mergeCell ref="J413:P413"/>
    <mergeCell ref="J414:P414"/>
    <mergeCell ref="J415:P415"/>
    <mergeCell ref="J416:P416"/>
    <mergeCell ref="J417:P417"/>
    <mergeCell ref="J418:P418"/>
    <mergeCell ref="J419:P419"/>
    <mergeCell ref="J420:P420"/>
    <mergeCell ref="J421:P421"/>
    <mergeCell ref="J422:P422"/>
    <mergeCell ref="J423:P423"/>
    <mergeCell ref="J424:P424"/>
    <mergeCell ref="J425:P425"/>
    <mergeCell ref="J426:P426"/>
    <mergeCell ref="J427:P427"/>
    <mergeCell ref="J428:P428"/>
    <mergeCell ref="J429:P429"/>
    <mergeCell ref="J430:P430"/>
    <mergeCell ref="J431:P431"/>
    <mergeCell ref="J432:P432"/>
    <mergeCell ref="J433:P433"/>
    <mergeCell ref="J434:P434"/>
    <mergeCell ref="J435:P435"/>
    <mergeCell ref="J436:P436"/>
    <mergeCell ref="J437:P437"/>
    <mergeCell ref="J438:P438"/>
    <mergeCell ref="J439:P439"/>
    <mergeCell ref="J440:P440"/>
    <mergeCell ref="J441:P441"/>
    <mergeCell ref="J442:P442"/>
    <mergeCell ref="J443:P443"/>
    <mergeCell ref="J444:P444"/>
    <mergeCell ref="J445:P445"/>
    <mergeCell ref="J446:P446"/>
    <mergeCell ref="J447:P447"/>
    <mergeCell ref="J448:P448"/>
    <mergeCell ref="J449:P449"/>
    <mergeCell ref="J450:P450"/>
    <mergeCell ref="J451:P451"/>
    <mergeCell ref="J452:P452"/>
    <mergeCell ref="J453:P453"/>
    <mergeCell ref="J454:P454"/>
    <mergeCell ref="J455:P455"/>
    <mergeCell ref="J456:P456"/>
    <mergeCell ref="J457:P457"/>
    <mergeCell ref="J458:P458"/>
    <mergeCell ref="J459:P459"/>
    <mergeCell ref="J460:P460"/>
    <mergeCell ref="J461:P461"/>
    <mergeCell ref="J462:P462"/>
    <mergeCell ref="J463:P463"/>
    <mergeCell ref="J464:P464"/>
    <mergeCell ref="J465:P465"/>
    <mergeCell ref="J466:P466"/>
    <mergeCell ref="J467:P467"/>
    <mergeCell ref="J468:P468"/>
    <mergeCell ref="J469:P469"/>
    <mergeCell ref="J470:P470"/>
    <mergeCell ref="J471:P471"/>
    <mergeCell ref="J472:P472"/>
    <mergeCell ref="J473:P473"/>
    <mergeCell ref="J474:P474"/>
    <mergeCell ref="J475:P475"/>
    <mergeCell ref="J476:P476"/>
    <mergeCell ref="J477:P477"/>
    <mergeCell ref="J478:P478"/>
    <mergeCell ref="J479:P479"/>
    <mergeCell ref="J480:P480"/>
    <mergeCell ref="J481:P481"/>
    <mergeCell ref="J482:P482"/>
    <mergeCell ref="J483:P483"/>
    <mergeCell ref="J484:P484"/>
    <mergeCell ref="J485:P485"/>
    <mergeCell ref="J486:P486"/>
    <mergeCell ref="J487:P487"/>
    <mergeCell ref="J488:P488"/>
    <mergeCell ref="J489:P489"/>
    <mergeCell ref="J490:P490"/>
    <mergeCell ref="J491:P491"/>
    <mergeCell ref="J492:P492"/>
    <mergeCell ref="J493:P493"/>
    <mergeCell ref="J494:P494"/>
    <mergeCell ref="J495:P495"/>
    <mergeCell ref="J496:P496"/>
    <mergeCell ref="J497:P497"/>
    <mergeCell ref="J498:P498"/>
    <mergeCell ref="J499:P499"/>
    <mergeCell ref="J500:P500"/>
    <mergeCell ref="J501:P501"/>
    <mergeCell ref="J502:P502"/>
    <mergeCell ref="J503:P503"/>
    <mergeCell ref="J504:P504"/>
    <mergeCell ref="J505:P505"/>
    <mergeCell ref="J506:P506"/>
    <mergeCell ref="J507:P507"/>
    <mergeCell ref="J508:P508"/>
    <mergeCell ref="J509:P509"/>
    <mergeCell ref="J510:P510"/>
    <mergeCell ref="J511:P511"/>
    <mergeCell ref="J512:P512"/>
    <mergeCell ref="J513:P513"/>
    <mergeCell ref="J514:P514"/>
    <mergeCell ref="J515:P515"/>
    <mergeCell ref="J516:P516"/>
    <mergeCell ref="J517:P517"/>
    <mergeCell ref="J518:P518"/>
    <mergeCell ref="J519:P519"/>
    <mergeCell ref="J520:P520"/>
    <mergeCell ref="J521:P521"/>
    <mergeCell ref="J522:P522"/>
    <mergeCell ref="J523:P523"/>
    <mergeCell ref="J524:P524"/>
    <mergeCell ref="J525:P525"/>
    <mergeCell ref="J526:P526"/>
    <mergeCell ref="J527:P527"/>
    <mergeCell ref="J529:P529"/>
    <mergeCell ref="J530:P530"/>
    <mergeCell ref="J531:P531"/>
    <mergeCell ref="J528:P528"/>
    <mergeCell ref="J532:P532"/>
    <mergeCell ref="J533:P533"/>
    <mergeCell ref="J534:P534"/>
    <mergeCell ref="J535:P535"/>
    <mergeCell ref="J536:P536"/>
    <mergeCell ref="J537:P537"/>
    <mergeCell ref="J538:P538"/>
    <mergeCell ref="J539:P539"/>
    <mergeCell ref="J540:P540"/>
    <mergeCell ref="J541:P541"/>
    <mergeCell ref="J542:P542"/>
    <mergeCell ref="J543:P543"/>
    <mergeCell ref="J544:P544"/>
    <mergeCell ref="J545:P545"/>
    <mergeCell ref="J546:P546"/>
    <mergeCell ref="J547:P547"/>
    <mergeCell ref="J548:P548"/>
    <mergeCell ref="J549:P549"/>
    <mergeCell ref="J550:P550"/>
    <mergeCell ref="J551:P551"/>
    <mergeCell ref="J552:P552"/>
    <mergeCell ref="J553:P553"/>
    <mergeCell ref="J554:P554"/>
    <mergeCell ref="J555:P555"/>
    <mergeCell ref="J556:P556"/>
    <mergeCell ref="J557:P557"/>
    <mergeCell ref="J558:P558"/>
    <mergeCell ref="J559:P559"/>
    <mergeCell ref="J560:P560"/>
    <mergeCell ref="J561:P561"/>
    <mergeCell ref="J562:P562"/>
    <mergeCell ref="J563:P563"/>
    <mergeCell ref="J564:P564"/>
    <mergeCell ref="J565:P565"/>
    <mergeCell ref="J566:P566"/>
    <mergeCell ref="J567:P567"/>
    <mergeCell ref="J568:P568"/>
    <mergeCell ref="J569:P569"/>
    <mergeCell ref="J570:P570"/>
    <mergeCell ref="J571:P571"/>
    <mergeCell ref="J572:P572"/>
    <mergeCell ref="J573:P573"/>
    <mergeCell ref="J574:P574"/>
    <mergeCell ref="J575:P575"/>
    <mergeCell ref="J576:P576"/>
    <mergeCell ref="J577:P577"/>
    <mergeCell ref="J578:P578"/>
    <mergeCell ref="J579:P579"/>
    <mergeCell ref="J580:P580"/>
    <mergeCell ref="J581:P581"/>
    <mergeCell ref="J582:P582"/>
    <mergeCell ref="J583:P583"/>
    <mergeCell ref="J584:P584"/>
    <mergeCell ref="J585:P585"/>
    <mergeCell ref="J586:P586"/>
    <mergeCell ref="J587:P587"/>
    <mergeCell ref="J588:P588"/>
    <mergeCell ref="J589:P589"/>
    <mergeCell ref="J590:P590"/>
    <mergeCell ref="J591:P591"/>
    <mergeCell ref="J592:P592"/>
    <mergeCell ref="J593:P593"/>
    <mergeCell ref="J594:P594"/>
    <mergeCell ref="J595:P595"/>
    <mergeCell ref="J596:P596"/>
    <mergeCell ref="J597:P597"/>
    <mergeCell ref="J598:P598"/>
    <mergeCell ref="J599:P599"/>
    <mergeCell ref="J600:P600"/>
    <mergeCell ref="J601:P601"/>
    <mergeCell ref="J602:P602"/>
    <mergeCell ref="J603:P603"/>
    <mergeCell ref="J619:P619"/>
    <mergeCell ref="J620:P620"/>
    <mergeCell ref="J621:P621"/>
    <mergeCell ref="J604:P604"/>
    <mergeCell ref="J605:P605"/>
    <mergeCell ref="J606:P606"/>
    <mergeCell ref="J607:P607"/>
    <mergeCell ref="J608:P608"/>
    <mergeCell ref="J609:P609"/>
    <mergeCell ref="J610:P610"/>
    <mergeCell ref="J611:P611"/>
    <mergeCell ref="J612:P612"/>
    <mergeCell ref="J618:P618"/>
    <mergeCell ref="J648:P648"/>
    <mergeCell ref="J631:P631"/>
    <mergeCell ref="J632:P632"/>
    <mergeCell ref="J633:P633"/>
    <mergeCell ref="J634:P634"/>
    <mergeCell ref="J635:P635"/>
    <mergeCell ref="J636:P636"/>
    <mergeCell ref="J637:P637"/>
    <mergeCell ref="J638:P638"/>
    <mergeCell ref="J639:P639"/>
    <mergeCell ref="J791:P791"/>
    <mergeCell ref="J276:P276"/>
    <mergeCell ref="J640:P640"/>
    <mergeCell ref="J641:P641"/>
    <mergeCell ref="J642:P642"/>
    <mergeCell ref="J643:P643"/>
    <mergeCell ref="J644:P644"/>
    <mergeCell ref="J645:P645"/>
    <mergeCell ref="J646:P646"/>
    <mergeCell ref="J647:P647"/>
    <mergeCell ref="J622:P622"/>
    <mergeCell ref="J623:P623"/>
    <mergeCell ref="J624:P624"/>
    <mergeCell ref="J625:P625"/>
    <mergeCell ref="J626:P626"/>
    <mergeCell ref="J627:P627"/>
    <mergeCell ref="J628:P628"/>
    <mergeCell ref="J629:P629"/>
    <mergeCell ref="J630:P630"/>
    <mergeCell ref="J613:P613"/>
    <mergeCell ref="J614:P614"/>
    <mergeCell ref="J615:P615"/>
    <mergeCell ref="J616:P616"/>
    <mergeCell ref="J617:P617"/>
  </mergeCells>
  <conditionalFormatting sqref="H798 H805:H968">
    <cfRule type="cellIs" dxfId="12" priority="105" stopIfTrue="1" operator="equal">
      <formula>0</formula>
    </cfRule>
  </conditionalFormatting>
  <conditionalFormatting sqref="G798 G805:G968">
    <cfRule type="cellIs" dxfId="11" priority="104" stopIfTrue="1" operator="equal">
      <formula>1</formula>
    </cfRule>
  </conditionalFormatting>
  <conditionalFormatting sqref="H804">
    <cfRule type="cellIs" dxfId="10" priority="6" stopIfTrue="1" operator="equal">
      <formula>0</formula>
    </cfRule>
  </conditionalFormatting>
  <conditionalFormatting sqref="G804">
    <cfRule type="cellIs" dxfId="9" priority="5" stopIfTrue="1" operator="equal">
      <formula>1</formula>
    </cfRule>
  </conditionalFormatting>
  <dataValidations count="9">
    <dataValidation type="list" allowBlank="1" showInputMessage="1" showErrorMessage="1" sqref="L798 L804:L967">
      <formula1>$H$1026:$H$1031</formula1>
    </dataValidation>
    <dataValidation type="list" allowBlank="1" showInputMessage="1" showErrorMessage="1" sqref="K798 K804:K967">
      <formula1>$J$1026:$J$1028</formula1>
    </dataValidation>
    <dataValidation type="textLength" operator="lessThanOrEqual" allowBlank="1" showInputMessage="1" showErrorMessage="1" errorTitle="Description is to long!" error="Maximum of 250 characters.  Please shorten the length of the description." sqref="D6">
      <formula1>250</formula1>
    </dataValidation>
    <dataValidation type="list" allowBlank="1" showInputMessage="1" showErrorMessage="1" sqref="D15">
      <formula1>"&lt;select from list&gt;, Yes, No"</formula1>
    </dataValidation>
    <dataValidation type="list" allowBlank="1" showInputMessage="1" showErrorMessage="1" sqref="D13:E13">
      <formula1>$C$1026:$C$1035</formula1>
    </dataValidation>
    <dataValidation type="list" allowBlank="1" showInputMessage="1" showErrorMessage="1" sqref="D14:E14">
      <formula1>$D$1026:$D$1030</formula1>
    </dataValidation>
    <dataValidation type="list" allowBlank="1" showInputMessage="1" showErrorMessage="1" sqref="D16:E16">
      <formula1>$E$1026:$E$1031</formula1>
    </dataValidation>
    <dataValidation type="list" allowBlank="1" showInputMessage="1" showErrorMessage="1" sqref="ACY814 AMU814 AWQ814 BGM814 BQI814 CAE814 CKA814 CTW814 DDS814 DNO814 DXK814 EHG814 ERC814 FAY814 FKU814 FUQ814 GEM814 GOI814 GYE814 HIA814 HRW814 IBS814 ILO814 IVK814 JFG814 JPC814 JYY814 KIU814 KSQ814 LCM814 LMI814 LWE814 MGA814 MPW814 MZS814 NJO814 NTK814 ODG814 ONC814 OWY814 PGU814 PQQ814 QAM814 QKI814 QUE814 REA814 RNW814 RXS814 SHO814 SRK814 TBG814 TLC814 TUY814 UEU814 UOQ814 UYM814 VII814 VSE814 WCA814 WLW814 WVS814 TC814 JG814 TC805:TC812 ACY805:ACY812 AMU805:AMU812 AWQ805:AWQ812 BGM805:BGM812 BQI805:BQI812 CAE805:CAE812 CKA805:CKA812 CTW805:CTW812 DDS805:DDS812 DNO805:DNO812 DXK805:DXK812 EHG805:EHG812 ERC805:ERC812 FAY805:FAY812 FKU805:FKU812 FUQ805:FUQ812 GEM805:GEM812 GOI805:GOI812 GYE805:GYE812 HIA805:HIA812 HRW805:HRW812 IBS805:IBS812 ILO805:ILO812 IVK805:IVK812 JFG805:JFG812 JPC805:JPC812 JYY805:JYY812 KIU805:KIU812 KSQ805:KSQ812 LCM805:LCM812 LMI805:LMI812 LWE805:LWE812 MGA805:MGA812 MPW805:MPW812 MZS805:MZS812 NJO805:NJO812 NTK805:NTK812 ODG805:ODG812 ONC805:ONC812 OWY805:OWY812 PGU805:PGU812 PQQ805:PQQ812 QAM805:QAM812 QKI805:QKI812 QUE805:QUE812 REA805:REA812 RNW805:RNW812 RXS805:RXS812 SHO805:SHO812 SRK805:SRK812 TBG805:TBG812 TLC805:TLC812 TUY805:TUY812 UEU805:UEU812 UOQ805:UOQ812 UYM805:UYM812 VII805:VII812 VSE805:VSE812 WCA805:WCA812 WLW805:WLW812 WVS805:WVS812 JG805:JG812">
      <formula1>$J$1053:$J$1055</formula1>
    </dataValidation>
    <dataValidation type="list" allowBlank="1" showInputMessage="1" showErrorMessage="1" sqref="TD814 ACZ814 AMV814 AWR814 BGN814 BQJ814 CAF814 CKB814 CTX814 DDT814 DNP814 DXL814 EHH814 ERD814 FAZ814 FKV814 FUR814 GEN814 GOJ814 GYF814 HIB814 HRX814 IBT814 ILP814 IVL814 JFH814 JPD814 JYZ814 KIV814 KSR814 LCN814 LMJ814 LWF814 MGB814 MPX814 MZT814 NJP814 NTL814 ODH814 OND814 OWZ814 PGV814 PQR814 QAN814 QKJ814 QUF814 REB814 RNX814 RXT814 SHP814 SRL814 TBH814 TLD814 TUZ814 UEV814 UOR814 UYN814 VIJ814 VSF814 WCB814 WLX814 JH814 WVT814 JH805:JH812 TD805:TD812 ACZ805:ACZ812 AMV805:AMV812 AWR805:AWR812 BGN805:BGN812 BQJ805:BQJ812 CAF805:CAF812 CKB805:CKB812 CTX805:CTX812 DDT805:DDT812 DNP805:DNP812 DXL805:DXL812 EHH805:EHH812 ERD805:ERD812 FAZ805:FAZ812 FKV805:FKV812 FUR805:FUR812 GEN805:GEN812 GOJ805:GOJ812 GYF805:GYF812 HIB805:HIB812 HRX805:HRX812 IBT805:IBT812 ILP805:ILP812 IVL805:IVL812 JFH805:JFH812 JPD805:JPD812 JYZ805:JYZ812 KIV805:KIV812 KSR805:KSR812 LCN805:LCN812 LMJ805:LMJ812 LWF805:LWF812 MGB805:MGB812 MPX805:MPX812 MZT805:MZT812 NJP805:NJP812 NTL805:NTL812 ODH805:ODH812 OND805:OND812 OWZ805:OWZ812 PGV805:PGV812 PQR805:PQR812 QAN805:QAN812 QKJ805:QKJ812 QUF805:QUF812 REB805:REB812 RNX805:RNX812 RXT805:RXT812 SHP805:SHP812 SRL805:SRL812 TBH805:TBH812 TLD805:TLD812 TUZ805:TUZ812 UEV805:UEV812 UOR805:UOR812 UYN805:UYN812 VIJ805:VIJ812 VSF805:VSF812 WCB805:WCB812 WLX805:WLX812 WVT805:WVT812">
      <formula1>$H$1053:$H$1058</formula1>
    </dataValidation>
  </dataValidations>
  <pageMargins left="0.25" right="0.25" top="0.5" bottom="0.5" header="0.3" footer="0.3"/>
  <pageSetup paperSize="3" scale="59" fitToHeight="100" orientation="landscape" r:id="rId1"/>
  <headerFooter alignWithMargins="0">
    <oddFooter>Page &amp;P&amp;R&amp;F</oddFooter>
  </headerFooter>
  <drawing r:id="rId2"/>
  <legacyDrawing r:id="rId3"/>
  <controls>
    <mc:AlternateContent xmlns:mc="http://schemas.openxmlformats.org/markup-compatibility/2006">
      <mc:Choice Requires="x14">
        <control shapeId="2049" r:id="rId4" name="Process">
          <controlPr defaultSize="0" autoFill="0" autoLine="0" autoPict="0" r:id="rId5">
            <anchor moveWithCells="1">
              <from>
                <xdr:col>3</xdr:col>
                <xdr:colOff>57150</xdr:colOff>
                <xdr:row>16</xdr:row>
                <xdr:rowOff>47625</xdr:rowOff>
              </from>
              <to>
                <xdr:col>3</xdr:col>
                <xdr:colOff>781050</xdr:colOff>
                <xdr:row>16</xdr:row>
                <xdr:rowOff>257175</xdr:rowOff>
              </to>
            </anchor>
          </controlPr>
        </control>
      </mc:Choice>
      <mc:Fallback>
        <control shapeId="2049" r:id="rId4" name="Process"/>
      </mc:Fallback>
    </mc:AlternateContent>
    <mc:AlternateContent xmlns:mc="http://schemas.openxmlformats.org/markup-compatibility/2006">
      <mc:Choice Requires="x14">
        <control shapeId="2050" r:id="rId6" name="CheckBox1">
          <controlPr defaultSize="0" autoFill="0" autoLine="0" autoPict="0" r:id="rId7">
            <anchor moveWithCells="1">
              <from>
                <xdr:col>3</xdr:col>
                <xdr:colOff>942975</xdr:colOff>
                <xdr:row>16</xdr:row>
                <xdr:rowOff>47625</xdr:rowOff>
              </from>
              <to>
                <xdr:col>3</xdr:col>
                <xdr:colOff>1819275</xdr:colOff>
                <xdr:row>16</xdr:row>
                <xdr:rowOff>257175</xdr:rowOff>
              </to>
            </anchor>
          </controlPr>
        </control>
      </mc:Choice>
      <mc:Fallback>
        <control shapeId="2050" r:id="rId6" name="CheckBox1"/>
      </mc:Fallback>
    </mc:AlternateContent>
    <mc:AlternateContent xmlns:mc="http://schemas.openxmlformats.org/markup-compatibility/2006">
      <mc:Choice Requires="x14">
        <control shapeId="2051" r:id="rId8" name="CheckBox2">
          <controlPr defaultSize="0" autoFill="0" autoLine="0" autoPict="0" r:id="rId9">
            <anchor moveWithCells="1">
              <from>
                <xdr:col>3</xdr:col>
                <xdr:colOff>1981200</xdr:colOff>
                <xdr:row>16</xdr:row>
                <xdr:rowOff>47625</xdr:rowOff>
              </from>
              <to>
                <xdr:col>3</xdr:col>
                <xdr:colOff>2933700</xdr:colOff>
                <xdr:row>16</xdr:row>
                <xdr:rowOff>257175</xdr:rowOff>
              </to>
            </anchor>
          </controlPr>
        </control>
      </mc:Choice>
      <mc:Fallback>
        <control shapeId="2051" r:id="rId8" name="CheckBox2"/>
      </mc:Fallback>
    </mc:AlternateContent>
    <mc:AlternateContent xmlns:mc="http://schemas.openxmlformats.org/markup-compatibility/2006">
      <mc:Choice Requires="x14">
        <control shapeId="2052" r:id="rId10" name="CheckBox3">
          <controlPr defaultSize="0" autoFill="0" autoLine="0" r:id="rId11">
            <anchor moveWithCells="1">
              <from>
                <xdr:col>3</xdr:col>
                <xdr:colOff>3095625</xdr:colOff>
                <xdr:row>16</xdr:row>
                <xdr:rowOff>47625</xdr:rowOff>
              </from>
              <to>
                <xdr:col>4</xdr:col>
                <xdr:colOff>66675</xdr:colOff>
                <xdr:row>16</xdr:row>
                <xdr:rowOff>247650</xdr:rowOff>
              </to>
            </anchor>
          </controlPr>
        </control>
      </mc:Choice>
      <mc:Fallback>
        <control shapeId="2052" r:id="rId10" name="CheckBox3"/>
      </mc:Fallback>
    </mc:AlternateContent>
  </control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IK60"/>
  <sheetViews>
    <sheetView topLeftCell="C1" workbookViewId="0">
      <selection activeCell="H26" sqref="H26"/>
    </sheetView>
  </sheetViews>
  <sheetFormatPr defaultColWidth="36.85546875" defaultRowHeight="12.75" customHeight="1" x14ac:dyDescent="0.25"/>
  <cols>
    <col min="1" max="1" width="18.5703125" style="125" customWidth="1"/>
    <col min="2" max="10" width="31.42578125" style="124" customWidth="1"/>
    <col min="11" max="27" width="36.85546875" style="124" customWidth="1"/>
    <col min="28" max="28" width="37" style="124" customWidth="1"/>
    <col min="29" max="35" width="36.85546875" style="124" customWidth="1"/>
    <col min="36" max="44" width="36.85546875" style="125" customWidth="1"/>
    <col min="45" max="45" width="37.140625" style="125" customWidth="1"/>
    <col min="46" max="47" width="36.85546875" style="125" customWidth="1"/>
    <col min="48" max="48" width="36.5703125" style="125" customWidth="1"/>
    <col min="49" max="50" width="36.85546875" style="125" customWidth="1"/>
    <col min="51" max="51" width="36.5703125" style="125" customWidth="1"/>
    <col min="52" max="52" width="37" style="125" customWidth="1"/>
    <col min="53" max="71" width="36.85546875" style="125" customWidth="1"/>
    <col min="72" max="72" width="37" style="125" customWidth="1"/>
    <col min="73" max="90" width="36.85546875" style="125" customWidth="1"/>
    <col min="91" max="91" width="36.5703125" style="125" customWidth="1"/>
    <col min="92" max="104" width="36.85546875" style="125" customWidth="1"/>
    <col min="105" max="105" width="36.5703125" style="125" customWidth="1"/>
    <col min="106" max="108" width="36.85546875" style="125" customWidth="1"/>
    <col min="109" max="109" width="36.5703125" style="125" customWidth="1"/>
    <col min="110" max="117" width="36.85546875" style="125" customWidth="1"/>
    <col min="118" max="118" width="36.5703125" style="125" customWidth="1"/>
    <col min="119" max="256" width="36.85546875" style="125"/>
    <col min="257" max="257" width="18.5703125" style="125" customWidth="1"/>
    <col min="258" max="266" width="31.42578125" style="125" customWidth="1"/>
    <col min="267" max="283" width="36.85546875" style="125" customWidth="1"/>
    <col min="284" max="284" width="37" style="125" customWidth="1"/>
    <col min="285" max="300" width="36.85546875" style="125" customWidth="1"/>
    <col min="301" max="301" width="37.140625" style="125" customWidth="1"/>
    <col min="302" max="303" width="36.85546875" style="125" customWidth="1"/>
    <col min="304" max="304" width="36.5703125" style="125" customWidth="1"/>
    <col min="305" max="306" width="36.85546875" style="125" customWidth="1"/>
    <col min="307" max="307" width="36.5703125" style="125" customWidth="1"/>
    <col min="308" max="308" width="37" style="125" customWidth="1"/>
    <col min="309" max="327" width="36.85546875" style="125" customWidth="1"/>
    <col min="328" max="328" width="37" style="125" customWidth="1"/>
    <col min="329" max="346" width="36.85546875" style="125" customWidth="1"/>
    <col min="347" max="347" width="36.5703125" style="125" customWidth="1"/>
    <col min="348" max="360" width="36.85546875" style="125" customWidth="1"/>
    <col min="361" max="361" width="36.5703125" style="125" customWidth="1"/>
    <col min="362" max="364" width="36.85546875" style="125" customWidth="1"/>
    <col min="365" max="365" width="36.5703125" style="125" customWidth="1"/>
    <col min="366" max="373" width="36.85546875" style="125" customWidth="1"/>
    <col min="374" max="374" width="36.5703125" style="125" customWidth="1"/>
    <col min="375" max="512" width="36.85546875" style="125"/>
    <col min="513" max="513" width="18.5703125" style="125" customWidth="1"/>
    <col min="514" max="522" width="31.42578125" style="125" customWidth="1"/>
    <col min="523" max="539" width="36.85546875" style="125" customWidth="1"/>
    <col min="540" max="540" width="37" style="125" customWidth="1"/>
    <col min="541" max="556" width="36.85546875" style="125" customWidth="1"/>
    <col min="557" max="557" width="37.140625" style="125" customWidth="1"/>
    <col min="558" max="559" width="36.85546875" style="125" customWidth="1"/>
    <col min="560" max="560" width="36.5703125" style="125" customWidth="1"/>
    <col min="561" max="562" width="36.85546875" style="125" customWidth="1"/>
    <col min="563" max="563" width="36.5703125" style="125" customWidth="1"/>
    <col min="564" max="564" width="37" style="125" customWidth="1"/>
    <col min="565" max="583" width="36.85546875" style="125" customWidth="1"/>
    <col min="584" max="584" width="37" style="125" customWidth="1"/>
    <col min="585" max="602" width="36.85546875" style="125" customWidth="1"/>
    <col min="603" max="603" width="36.5703125" style="125" customWidth="1"/>
    <col min="604" max="616" width="36.85546875" style="125" customWidth="1"/>
    <col min="617" max="617" width="36.5703125" style="125" customWidth="1"/>
    <col min="618" max="620" width="36.85546875" style="125" customWidth="1"/>
    <col min="621" max="621" width="36.5703125" style="125" customWidth="1"/>
    <col min="622" max="629" width="36.85546875" style="125" customWidth="1"/>
    <col min="630" max="630" width="36.5703125" style="125" customWidth="1"/>
    <col min="631" max="768" width="36.85546875" style="125"/>
    <col min="769" max="769" width="18.5703125" style="125" customWidth="1"/>
    <col min="770" max="778" width="31.42578125" style="125" customWidth="1"/>
    <col min="779" max="795" width="36.85546875" style="125" customWidth="1"/>
    <col min="796" max="796" width="37" style="125" customWidth="1"/>
    <col min="797" max="812" width="36.85546875" style="125" customWidth="1"/>
    <col min="813" max="813" width="37.140625" style="125" customWidth="1"/>
    <col min="814" max="815" width="36.85546875" style="125" customWidth="1"/>
    <col min="816" max="816" width="36.5703125" style="125" customWidth="1"/>
    <col min="817" max="818" width="36.85546875" style="125" customWidth="1"/>
    <col min="819" max="819" width="36.5703125" style="125" customWidth="1"/>
    <col min="820" max="820" width="37" style="125" customWidth="1"/>
    <col min="821" max="839" width="36.85546875" style="125" customWidth="1"/>
    <col min="840" max="840" width="37" style="125" customWidth="1"/>
    <col min="841" max="858" width="36.85546875" style="125" customWidth="1"/>
    <col min="859" max="859" width="36.5703125" style="125" customWidth="1"/>
    <col min="860" max="872" width="36.85546875" style="125" customWidth="1"/>
    <col min="873" max="873" width="36.5703125" style="125" customWidth="1"/>
    <col min="874" max="876" width="36.85546875" style="125" customWidth="1"/>
    <col min="877" max="877" width="36.5703125" style="125" customWidth="1"/>
    <col min="878" max="885" width="36.85546875" style="125" customWidth="1"/>
    <col min="886" max="886" width="36.5703125" style="125" customWidth="1"/>
    <col min="887" max="1024" width="36.85546875" style="125"/>
    <col min="1025" max="1025" width="18.5703125" style="125" customWidth="1"/>
    <col min="1026" max="1034" width="31.42578125" style="125" customWidth="1"/>
    <col min="1035" max="1051" width="36.85546875" style="125" customWidth="1"/>
    <col min="1052" max="1052" width="37" style="125" customWidth="1"/>
    <col min="1053" max="1068" width="36.85546875" style="125" customWidth="1"/>
    <col min="1069" max="1069" width="37.140625" style="125" customWidth="1"/>
    <col min="1070" max="1071" width="36.85546875" style="125" customWidth="1"/>
    <col min="1072" max="1072" width="36.5703125" style="125" customWidth="1"/>
    <col min="1073" max="1074" width="36.85546875" style="125" customWidth="1"/>
    <col min="1075" max="1075" width="36.5703125" style="125" customWidth="1"/>
    <col min="1076" max="1076" width="37" style="125" customWidth="1"/>
    <col min="1077" max="1095" width="36.85546875" style="125" customWidth="1"/>
    <col min="1096" max="1096" width="37" style="125" customWidth="1"/>
    <col min="1097" max="1114" width="36.85546875" style="125" customWidth="1"/>
    <col min="1115" max="1115" width="36.5703125" style="125" customWidth="1"/>
    <col min="1116" max="1128" width="36.85546875" style="125" customWidth="1"/>
    <col min="1129" max="1129" width="36.5703125" style="125" customWidth="1"/>
    <col min="1130" max="1132" width="36.85546875" style="125" customWidth="1"/>
    <col min="1133" max="1133" width="36.5703125" style="125" customWidth="1"/>
    <col min="1134" max="1141" width="36.85546875" style="125" customWidth="1"/>
    <col min="1142" max="1142" width="36.5703125" style="125" customWidth="1"/>
    <col min="1143" max="1280" width="36.85546875" style="125"/>
    <col min="1281" max="1281" width="18.5703125" style="125" customWidth="1"/>
    <col min="1282" max="1290" width="31.42578125" style="125" customWidth="1"/>
    <col min="1291" max="1307" width="36.85546875" style="125" customWidth="1"/>
    <col min="1308" max="1308" width="37" style="125" customWidth="1"/>
    <col min="1309" max="1324" width="36.85546875" style="125" customWidth="1"/>
    <col min="1325" max="1325" width="37.140625" style="125" customWidth="1"/>
    <col min="1326" max="1327" width="36.85546875" style="125" customWidth="1"/>
    <col min="1328" max="1328" width="36.5703125" style="125" customWidth="1"/>
    <col min="1329" max="1330" width="36.85546875" style="125" customWidth="1"/>
    <col min="1331" max="1331" width="36.5703125" style="125" customWidth="1"/>
    <col min="1332" max="1332" width="37" style="125" customWidth="1"/>
    <col min="1333" max="1351" width="36.85546875" style="125" customWidth="1"/>
    <col min="1352" max="1352" width="37" style="125" customWidth="1"/>
    <col min="1353" max="1370" width="36.85546875" style="125" customWidth="1"/>
    <col min="1371" max="1371" width="36.5703125" style="125" customWidth="1"/>
    <col min="1372" max="1384" width="36.85546875" style="125" customWidth="1"/>
    <col min="1385" max="1385" width="36.5703125" style="125" customWidth="1"/>
    <col min="1386" max="1388" width="36.85546875" style="125" customWidth="1"/>
    <col min="1389" max="1389" width="36.5703125" style="125" customWidth="1"/>
    <col min="1390" max="1397" width="36.85546875" style="125" customWidth="1"/>
    <col min="1398" max="1398" width="36.5703125" style="125" customWidth="1"/>
    <col min="1399" max="1536" width="36.85546875" style="125"/>
    <col min="1537" max="1537" width="18.5703125" style="125" customWidth="1"/>
    <col min="1538" max="1546" width="31.42578125" style="125" customWidth="1"/>
    <col min="1547" max="1563" width="36.85546875" style="125" customWidth="1"/>
    <col min="1564" max="1564" width="37" style="125" customWidth="1"/>
    <col min="1565" max="1580" width="36.85546875" style="125" customWidth="1"/>
    <col min="1581" max="1581" width="37.140625" style="125" customWidth="1"/>
    <col min="1582" max="1583" width="36.85546875" style="125" customWidth="1"/>
    <col min="1584" max="1584" width="36.5703125" style="125" customWidth="1"/>
    <col min="1585" max="1586" width="36.85546875" style="125" customWidth="1"/>
    <col min="1587" max="1587" width="36.5703125" style="125" customWidth="1"/>
    <col min="1588" max="1588" width="37" style="125" customWidth="1"/>
    <col min="1589" max="1607" width="36.85546875" style="125" customWidth="1"/>
    <col min="1608" max="1608" width="37" style="125" customWidth="1"/>
    <col min="1609" max="1626" width="36.85546875" style="125" customWidth="1"/>
    <col min="1627" max="1627" width="36.5703125" style="125" customWidth="1"/>
    <col min="1628" max="1640" width="36.85546875" style="125" customWidth="1"/>
    <col min="1641" max="1641" width="36.5703125" style="125" customWidth="1"/>
    <col min="1642" max="1644" width="36.85546875" style="125" customWidth="1"/>
    <col min="1645" max="1645" width="36.5703125" style="125" customWidth="1"/>
    <col min="1646" max="1653" width="36.85546875" style="125" customWidth="1"/>
    <col min="1654" max="1654" width="36.5703125" style="125" customWidth="1"/>
    <col min="1655" max="1792" width="36.85546875" style="125"/>
    <col min="1793" max="1793" width="18.5703125" style="125" customWidth="1"/>
    <col min="1794" max="1802" width="31.42578125" style="125" customWidth="1"/>
    <col min="1803" max="1819" width="36.85546875" style="125" customWidth="1"/>
    <col min="1820" max="1820" width="37" style="125" customWidth="1"/>
    <col min="1821" max="1836" width="36.85546875" style="125" customWidth="1"/>
    <col min="1837" max="1837" width="37.140625" style="125" customWidth="1"/>
    <col min="1838" max="1839" width="36.85546875" style="125" customWidth="1"/>
    <col min="1840" max="1840" width="36.5703125" style="125" customWidth="1"/>
    <col min="1841" max="1842" width="36.85546875" style="125" customWidth="1"/>
    <col min="1843" max="1843" width="36.5703125" style="125" customWidth="1"/>
    <col min="1844" max="1844" width="37" style="125" customWidth="1"/>
    <col min="1845" max="1863" width="36.85546875" style="125" customWidth="1"/>
    <col min="1864" max="1864" width="37" style="125" customWidth="1"/>
    <col min="1865" max="1882" width="36.85546875" style="125" customWidth="1"/>
    <col min="1883" max="1883" width="36.5703125" style="125" customWidth="1"/>
    <col min="1884" max="1896" width="36.85546875" style="125" customWidth="1"/>
    <col min="1897" max="1897" width="36.5703125" style="125" customWidth="1"/>
    <col min="1898" max="1900" width="36.85546875" style="125" customWidth="1"/>
    <col min="1901" max="1901" width="36.5703125" style="125" customWidth="1"/>
    <col min="1902" max="1909" width="36.85546875" style="125" customWidth="1"/>
    <col min="1910" max="1910" width="36.5703125" style="125" customWidth="1"/>
    <col min="1911" max="2048" width="36.85546875" style="125"/>
    <col min="2049" max="2049" width="18.5703125" style="125" customWidth="1"/>
    <col min="2050" max="2058" width="31.42578125" style="125" customWidth="1"/>
    <col min="2059" max="2075" width="36.85546875" style="125" customWidth="1"/>
    <col min="2076" max="2076" width="37" style="125" customWidth="1"/>
    <col min="2077" max="2092" width="36.85546875" style="125" customWidth="1"/>
    <col min="2093" max="2093" width="37.140625" style="125" customWidth="1"/>
    <col min="2094" max="2095" width="36.85546875" style="125" customWidth="1"/>
    <col min="2096" max="2096" width="36.5703125" style="125" customWidth="1"/>
    <col min="2097" max="2098" width="36.85546875" style="125" customWidth="1"/>
    <col min="2099" max="2099" width="36.5703125" style="125" customWidth="1"/>
    <col min="2100" max="2100" width="37" style="125" customWidth="1"/>
    <col min="2101" max="2119" width="36.85546875" style="125" customWidth="1"/>
    <col min="2120" max="2120" width="37" style="125" customWidth="1"/>
    <col min="2121" max="2138" width="36.85546875" style="125" customWidth="1"/>
    <col min="2139" max="2139" width="36.5703125" style="125" customWidth="1"/>
    <col min="2140" max="2152" width="36.85546875" style="125" customWidth="1"/>
    <col min="2153" max="2153" width="36.5703125" style="125" customWidth="1"/>
    <col min="2154" max="2156" width="36.85546875" style="125" customWidth="1"/>
    <col min="2157" max="2157" width="36.5703125" style="125" customWidth="1"/>
    <col min="2158" max="2165" width="36.85546875" style="125" customWidth="1"/>
    <col min="2166" max="2166" width="36.5703125" style="125" customWidth="1"/>
    <col min="2167" max="2304" width="36.85546875" style="125"/>
    <col min="2305" max="2305" width="18.5703125" style="125" customWidth="1"/>
    <col min="2306" max="2314" width="31.42578125" style="125" customWidth="1"/>
    <col min="2315" max="2331" width="36.85546875" style="125" customWidth="1"/>
    <col min="2332" max="2332" width="37" style="125" customWidth="1"/>
    <col min="2333" max="2348" width="36.85546875" style="125" customWidth="1"/>
    <col min="2349" max="2349" width="37.140625" style="125" customWidth="1"/>
    <col min="2350" max="2351" width="36.85546875" style="125" customWidth="1"/>
    <col min="2352" max="2352" width="36.5703125" style="125" customWidth="1"/>
    <col min="2353" max="2354" width="36.85546875" style="125" customWidth="1"/>
    <col min="2355" max="2355" width="36.5703125" style="125" customWidth="1"/>
    <col min="2356" max="2356" width="37" style="125" customWidth="1"/>
    <col min="2357" max="2375" width="36.85546875" style="125" customWidth="1"/>
    <col min="2376" max="2376" width="37" style="125" customWidth="1"/>
    <col min="2377" max="2394" width="36.85546875" style="125" customWidth="1"/>
    <col min="2395" max="2395" width="36.5703125" style="125" customWidth="1"/>
    <col min="2396" max="2408" width="36.85546875" style="125" customWidth="1"/>
    <col min="2409" max="2409" width="36.5703125" style="125" customWidth="1"/>
    <col min="2410" max="2412" width="36.85546875" style="125" customWidth="1"/>
    <col min="2413" max="2413" width="36.5703125" style="125" customWidth="1"/>
    <col min="2414" max="2421" width="36.85546875" style="125" customWidth="1"/>
    <col min="2422" max="2422" width="36.5703125" style="125" customWidth="1"/>
    <col min="2423" max="2560" width="36.85546875" style="125"/>
    <col min="2561" max="2561" width="18.5703125" style="125" customWidth="1"/>
    <col min="2562" max="2570" width="31.42578125" style="125" customWidth="1"/>
    <col min="2571" max="2587" width="36.85546875" style="125" customWidth="1"/>
    <col min="2588" max="2588" width="37" style="125" customWidth="1"/>
    <col min="2589" max="2604" width="36.85546875" style="125" customWidth="1"/>
    <col min="2605" max="2605" width="37.140625" style="125" customWidth="1"/>
    <col min="2606" max="2607" width="36.85546875" style="125" customWidth="1"/>
    <col min="2608" max="2608" width="36.5703125" style="125" customWidth="1"/>
    <col min="2609" max="2610" width="36.85546875" style="125" customWidth="1"/>
    <col min="2611" max="2611" width="36.5703125" style="125" customWidth="1"/>
    <col min="2612" max="2612" width="37" style="125" customWidth="1"/>
    <col min="2613" max="2631" width="36.85546875" style="125" customWidth="1"/>
    <col min="2632" max="2632" width="37" style="125" customWidth="1"/>
    <col min="2633" max="2650" width="36.85546875" style="125" customWidth="1"/>
    <col min="2651" max="2651" width="36.5703125" style="125" customWidth="1"/>
    <col min="2652" max="2664" width="36.85546875" style="125" customWidth="1"/>
    <col min="2665" max="2665" width="36.5703125" style="125" customWidth="1"/>
    <col min="2666" max="2668" width="36.85546875" style="125" customWidth="1"/>
    <col min="2669" max="2669" width="36.5703125" style="125" customWidth="1"/>
    <col min="2670" max="2677" width="36.85546875" style="125" customWidth="1"/>
    <col min="2678" max="2678" width="36.5703125" style="125" customWidth="1"/>
    <col min="2679" max="2816" width="36.85546875" style="125"/>
    <col min="2817" max="2817" width="18.5703125" style="125" customWidth="1"/>
    <col min="2818" max="2826" width="31.42578125" style="125" customWidth="1"/>
    <col min="2827" max="2843" width="36.85546875" style="125" customWidth="1"/>
    <col min="2844" max="2844" width="37" style="125" customWidth="1"/>
    <col min="2845" max="2860" width="36.85546875" style="125" customWidth="1"/>
    <col min="2861" max="2861" width="37.140625" style="125" customWidth="1"/>
    <col min="2862" max="2863" width="36.85546875" style="125" customWidth="1"/>
    <col min="2864" max="2864" width="36.5703125" style="125" customWidth="1"/>
    <col min="2865" max="2866" width="36.85546875" style="125" customWidth="1"/>
    <col min="2867" max="2867" width="36.5703125" style="125" customWidth="1"/>
    <col min="2868" max="2868" width="37" style="125" customWidth="1"/>
    <col min="2869" max="2887" width="36.85546875" style="125" customWidth="1"/>
    <col min="2888" max="2888" width="37" style="125" customWidth="1"/>
    <col min="2889" max="2906" width="36.85546875" style="125" customWidth="1"/>
    <col min="2907" max="2907" width="36.5703125" style="125" customWidth="1"/>
    <col min="2908" max="2920" width="36.85546875" style="125" customWidth="1"/>
    <col min="2921" max="2921" width="36.5703125" style="125" customWidth="1"/>
    <col min="2922" max="2924" width="36.85546875" style="125" customWidth="1"/>
    <col min="2925" max="2925" width="36.5703125" style="125" customWidth="1"/>
    <col min="2926" max="2933" width="36.85546875" style="125" customWidth="1"/>
    <col min="2934" max="2934" width="36.5703125" style="125" customWidth="1"/>
    <col min="2935" max="3072" width="36.85546875" style="125"/>
    <col min="3073" max="3073" width="18.5703125" style="125" customWidth="1"/>
    <col min="3074" max="3082" width="31.42578125" style="125" customWidth="1"/>
    <col min="3083" max="3099" width="36.85546875" style="125" customWidth="1"/>
    <col min="3100" max="3100" width="37" style="125" customWidth="1"/>
    <col min="3101" max="3116" width="36.85546875" style="125" customWidth="1"/>
    <col min="3117" max="3117" width="37.140625" style="125" customWidth="1"/>
    <col min="3118" max="3119" width="36.85546875" style="125" customWidth="1"/>
    <col min="3120" max="3120" width="36.5703125" style="125" customWidth="1"/>
    <col min="3121" max="3122" width="36.85546875" style="125" customWidth="1"/>
    <col min="3123" max="3123" width="36.5703125" style="125" customWidth="1"/>
    <col min="3124" max="3124" width="37" style="125" customWidth="1"/>
    <col min="3125" max="3143" width="36.85546875" style="125" customWidth="1"/>
    <col min="3144" max="3144" width="37" style="125" customWidth="1"/>
    <col min="3145" max="3162" width="36.85546875" style="125" customWidth="1"/>
    <col min="3163" max="3163" width="36.5703125" style="125" customWidth="1"/>
    <col min="3164" max="3176" width="36.85546875" style="125" customWidth="1"/>
    <col min="3177" max="3177" width="36.5703125" style="125" customWidth="1"/>
    <col min="3178" max="3180" width="36.85546875" style="125" customWidth="1"/>
    <col min="3181" max="3181" width="36.5703125" style="125" customWidth="1"/>
    <col min="3182" max="3189" width="36.85546875" style="125" customWidth="1"/>
    <col min="3190" max="3190" width="36.5703125" style="125" customWidth="1"/>
    <col min="3191" max="3328" width="36.85546875" style="125"/>
    <col min="3329" max="3329" width="18.5703125" style="125" customWidth="1"/>
    <col min="3330" max="3338" width="31.42578125" style="125" customWidth="1"/>
    <col min="3339" max="3355" width="36.85546875" style="125" customWidth="1"/>
    <col min="3356" max="3356" width="37" style="125" customWidth="1"/>
    <col min="3357" max="3372" width="36.85546875" style="125" customWidth="1"/>
    <col min="3373" max="3373" width="37.140625" style="125" customWidth="1"/>
    <col min="3374" max="3375" width="36.85546875" style="125" customWidth="1"/>
    <col min="3376" max="3376" width="36.5703125" style="125" customWidth="1"/>
    <col min="3377" max="3378" width="36.85546875" style="125" customWidth="1"/>
    <col min="3379" max="3379" width="36.5703125" style="125" customWidth="1"/>
    <col min="3380" max="3380" width="37" style="125" customWidth="1"/>
    <col min="3381" max="3399" width="36.85546875" style="125" customWidth="1"/>
    <col min="3400" max="3400" width="37" style="125" customWidth="1"/>
    <col min="3401" max="3418" width="36.85546875" style="125" customWidth="1"/>
    <col min="3419" max="3419" width="36.5703125" style="125" customWidth="1"/>
    <col min="3420" max="3432" width="36.85546875" style="125" customWidth="1"/>
    <col min="3433" max="3433" width="36.5703125" style="125" customWidth="1"/>
    <col min="3434" max="3436" width="36.85546875" style="125" customWidth="1"/>
    <col min="3437" max="3437" width="36.5703125" style="125" customWidth="1"/>
    <col min="3438" max="3445" width="36.85546875" style="125" customWidth="1"/>
    <col min="3446" max="3446" width="36.5703125" style="125" customWidth="1"/>
    <col min="3447" max="3584" width="36.85546875" style="125"/>
    <col min="3585" max="3585" width="18.5703125" style="125" customWidth="1"/>
    <col min="3586" max="3594" width="31.42578125" style="125" customWidth="1"/>
    <col min="3595" max="3611" width="36.85546875" style="125" customWidth="1"/>
    <col min="3612" max="3612" width="37" style="125" customWidth="1"/>
    <col min="3613" max="3628" width="36.85546875" style="125" customWidth="1"/>
    <col min="3629" max="3629" width="37.140625" style="125" customWidth="1"/>
    <col min="3630" max="3631" width="36.85546875" style="125" customWidth="1"/>
    <col min="3632" max="3632" width="36.5703125" style="125" customWidth="1"/>
    <col min="3633" max="3634" width="36.85546875" style="125" customWidth="1"/>
    <col min="3635" max="3635" width="36.5703125" style="125" customWidth="1"/>
    <col min="3636" max="3636" width="37" style="125" customWidth="1"/>
    <col min="3637" max="3655" width="36.85546875" style="125" customWidth="1"/>
    <col min="3656" max="3656" width="37" style="125" customWidth="1"/>
    <col min="3657" max="3674" width="36.85546875" style="125" customWidth="1"/>
    <col min="3675" max="3675" width="36.5703125" style="125" customWidth="1"/>
    <col min="3676" max="3688" width="36.85546875" style="125" customWidth="1"/>
    <col min="3689" max="3689" width="36.5703125" style="125" customWidth="1"/>
    <col min="3690" max="3692" width="36.85546875" style="125" customWidth="1"/>
    <col min="3693" max="3693" width="36.5703125" style="125" customWidth="1"/>
    <col min="3694" max="3701" width="36.85546875" style="125" customWidth="1"/>
    <col min="3702" max="3702" width="36.5703125" style="125" customWidth="1"/>
    <col min="3703" max="3840" width="36.85546875" style="125"/>
    <col min="3841" max="3841" width="18.5703125" style="125" customWidth="1"/>
    <col min="3842" max="3850" width="31.42578125" style="125" customWidth="1"/>
    <col min="3851" max="3867" width="36.85546875" style="125" customWidth="1"/>
    <col min="3868" max="3868" width="37" style="125" customWidth="1"/>
    <col min="3869" max="3884" width="36.85546875" style="125" customWidth="1"/>
    <col min="3885" max="3885" width="37.140625" style="125" customWidth="1"/>
    <col min="3886" max="3887" width="36.85546875" style="125" customWidth="1"/>
    <col min="3888" max="3888" width="36.5703125" style="125" customWidth="1"/>
    <col min="3889" max="3890" width="36.85546875" style="125" customWidth="1"/>
    <col min="3891" max="3891" width="36.5703125" style="125" customWidth="1"/>
    <col min="3892" max="3892" width="37" style="125" customWidth="1"/>
    <col min="3893" max="3911" width="36.85546875" style="125" customWidth="1"/>
    <col min="3912" max="3912" width="37" style="125" customWidth="1"/>
    <col min="3913" max="3930" width="36.85546875" style="125" customWidth="1"/>
    <col min="3931" max="3931" width="36.5703125" style="125" customWidth="1"/>
    <col min="3932" max="3944" width="36.85546875" style="125" customWidth="1"/>
    <col min="3945" max="3945" width="36.5703125" style="125" customWidth="1"/>
    <col min="3946" max="3948" width="36.85546875" style="125" customWidth="1"/>
    <col min="3949" max="3949" width="36.5703125" style="125" customWidth="1"/>
    <col min="3950" max="3957" width="36.85546875" style="125" customWidth="1"/>
    <col min="3958" max="3958" width="36.5703125" style="125" customWidth="1"/>
    <col min="3959" max="4096" width="36.85546875" style="125"/>
    <col min="4097" max="4097" width="18.5703125" style="125" customWidth="1"/>
    <col min="4098" max="4106" width="31.42578125" style="125" customWidth="1"/>
    <col min="4107" max="4123" width="36.85546875" style="125" customWidth="1"/>
    <col min="4124" max="4124" width="37" style="125" customWidth="1"/>
    <col min="4125" max="4140" width="36.85546875" style="125" customWidth="1"/>
    <col min="4141" max="4141" width="37.140625" style="125" customWidth="1"/>
    <col min="4142" max="4143" width="36.85546875" style="125" customWidth="1"/>
    <col min="4144" max="4144" width="36.5703125" style="125" customWidth="1"/>
    <col min="4145" max="4146" width="36.85546875" style="125" customWidth="1"/>
    <col min="4147" max="4147" width="36.5703125" style="125" customWidth="1"/>
    <col min="4148" max="4148" width="37" style="125" customWidth="1"/>
    <col min="4149" max="4167" width="36.85546875" style="125" customWidth="1"/>
    <col min="4168" max="4168" width="37" style="125" customWidth="1"/>
    <col min="4169" max="4186" width="36.85546875" style="125" customWidth="1"/>
    <col min="4187" max="4187" width="36.5703125" style="125" customWidth="1"/>
    <col min="4188" max="4200" width="36.85546875" style="125" customWidth="1"/>
    <col min="4201" max="4201" width="36.5703125" style="125" customWidth="1"/>
    <col min="4202" max="4204" width="36.85546875" style="125" customWidth="1"/>
    <col min="4205" max="4205" width="36.5703125" style="125" customWidth="1"/>
    <col min="4206" max="4213" width="36.85546875" style="125" customWidth="1"/>
    <col min="4214" max="4214" width="36.5703125" style="125" customWidth="1"/>
    <col min="4215" max="4352" width="36.85546875" style="125"/>
    <col min="4353" max="4353" width="18.5703125" style="125" customWidth="1"/>
    <col min="4354" max="4362" width="31.42578125" style="125" customWidth="1"/>
    <col min="4363" max="4379" width="36.85546875" style="125" customWidth="1"/>
    <col min="4380" max="4380" width="37" style="125" customWidth="1"/>
    <col min="4381" max="4396" width="36.85546875" style="125" customWidth="1"/>
    <col min="4397" max="4397" width="37.140625" style="125" customWidth="1"/>
    <col min="4398" max="4399" width="36.85546875" style="125" customWidth="1"/>
    <col min="4400" max="4400" width="36.5703125" style="125" customWidth="1"/>
    <col min="4401" max="4402" width="36.85546875" style="125" customWidth="1"/>
    <col min="4403" max="4403" width="36.5703125" style="125" customWidth="1"/>
    <col min="4404" max="4404" width="37" style="125" customWidth="1"/>
    <col min="4405" max="4423" width="36.85546875" style="125" customWidth="1"/>
    <col min="4424" max="4424" width="37" style="125" customWidth="1"/>
    <col min="4425" max="4442" width="36.85546875" style="125" customWidth="1"/>
    <col min="4443" max="4443" width="36.5703125" style="125" customWidth="1"/>
    <col min="4444" max="4456" width="36.85546875" style="125" customWidth="1"/>
    <col min="4457" max="4457" width="36.5703125" style="125" customWidth="1"/>
    <col min="4458" max="4460" width="36.85546875" style="125" customWidth="1"/>
    <col min="4461" max="4461" width="36.5703125" style="125" customWidth="1"/>
    <col min="4462" max="4469" width="36.85546875" style="125" customWidth="1"/>
    <col min="4470" max="4470" width="36.5703125" style="125" customWidth="1"/>
    <col min="4471" max="4608" width="36.85546875" style="125"/>
    <col min="4609" max="4609" width="18.5703125" style="125" customWidth="1"/>
    <col min="4610" max="4618" width="31.42578125" style="125" customWidth="1"/>
    <col min="4619" max="4635" width="36.85546875" style="125" customWidth="1"/>
    <col min="4636" max="4636" width="37" style="125" customWidth="1"/>
    <col min="4637" max="4652" width="36.85546875" style="125" customWidth="1"/>
    <col min="4653" max="4653" width="37.140625" style="125" customWidth="1"/>
    <col min="4654" max="4655" width="36.85546875" style="125" customWidth="1"/>
    <col min="4656" max="4656" width="36.5703125" style="125" customWidth="1"/>
    <col min="4657" max="4658" width="36.85546875" style="125" customWidth="1"/>
    <col min="4659" max="4659" width="36.5703125" style="125" customWidth="1"/>
    <col min="4660" max="4660" width="37" style="125" customWidth="1"/>
    <col min="4661" max="4679" width="36.85546875" style="125" customWidth="1"/>
    <col min="4680" max="4680" width="37" style="125" customWidth="1"/>
    <col min="4681" max="4698" width="36.85546875" style="125" customWidth="1"/>
    <col min="4699" max="4699" width="36.5703125" style="125" customWidth="1"/>
    <col min="4700" max="4712" width="36.85546875" style="125" customWidth="1"/>
    <col min="4713" max="4713" width="36.5703125" style="125" customWidth="1"/>
    <col min="4714" max="4716" width="36.85546875" style="125" customWidth="1"/>
    <col min="4717" max="4717" width="36.5703125" style="125" customWidth="1"/>
    <col min="4718" max="4725" width="36.85546875" style="125" customWidth="1"/>
    <col min="4726" max="4726" width="36.5703125" style="125" customWidth="1"/>
    <col min="4727" max="4864" width="36.85546875" style="125"/>
    <col min="4865" max="4865" width="18.5703125" style="125" customWidth="1"/>
    <col min="4866" max="4874" width="31.42578125" style="125" customWidth="1"/>
    <col min="4875" max="4891" width="36.85546875" style="125" customWidth="1"/>
    <col min="4892" max="4892" width="37" style="125" customWidth="1"/>
    <col min="4893" max="4908" width="36.85546875" style="125" customWidth="1"/>
    <col min="4909" max="4909" width="37.140625" style="125" customWidth="1"/>
    <col min="4910" max="4911" width="36.85546875" style="125" customWidth="1"/>
    <col min="4912" max="4912" width="36.5703125" style="125" customWidth="1"/>
    <col min="4913" max="4914" width="36.85546875" style="125" customWidth="1"/>
    <col min="4915" max="4915" width="36.5703125" style="125" customWidth="1"/>
    <col min="4916" max="4916" width="37" style="125" customWidth="1"/>
    <col min="4917" max="4935" width="36.85546875" style="125" customWidth="1"/>
    <col min="4936" max="4936" width="37" style="125" customWidth="1"/>
    <col min="4937" max="4954" width="36.85546875" style="125" customWidth="1"/>
    <col min="4955" max="4955" width="36.5703125" style="125" customWidth="1"/>
    <col min="4956" max="4968" width="36.85546875" style="125" customWidth="1"/>
    <col min="4969" max="4969" width="36.5703125" style="125" customWidth="1"/>
    <col min="4970" max="4972" width="36.85546875" style="125" customWidth="1"/>
    <col min="4973" max="4973" width="36.5703125" style="125" customWidth="1"/>
    <col min="4974" max="4981" width="36.85546875" style="125" customWidth="1"/>
    <col min="4982" max="4982" width="36.5703125" style="125" customWidth="1"/>
    <col min="4983" max="5120" width="36.85546875" style="125"/>
    <col min="5121" max="5121" width="18.5703125" style="125" customWidth="1"/>
    <col min="5122" max="5130" width="31.42578125" style="125" customWidth="1"/>
    <col min="5131" max="5147" width="36.85546875" style="125" customWidth="1"/>
    <col min="5148" max="5148" width="37" style="125" customWidth="1"/>
    <col min="5149" max="5164" width="36.85546875" style="125" customWidth="1"/>
    <col min="5165" max="5165" width="37.140625" style="125" customWidth="1"/>
    <col min="5166" max="5167" width="36.85546875" style="125" customWidth="1"/>
    <col min="5168" max="5168" width="36.5703125" style="125" customWidth="1"/>
    <col min="5169" max="5170" width="36.85546875" style="125" customWidth="1"/>
    <col min="5171" max="5171" width="36.5703125" style="125" customWidth="1"/>
    <col min="5172" max="5172" width="37" style="125" customWidth="1"/>
    <col min="5173" max="5191" width="36.85546875" style="125" customWidth="1"/>
    <col min="5192" max="5192" width="37" style="125" customWidth="1"/>
    <col min="5193" max="5210" width="36.85546875" style="125" customWidth="1"/>
    <col min="5211" max="5211" width="36.5703125" style="125" customWidth="1"/>
    <col min="5212" max="5224" width="36.85546875" style="125" customWidth="1"/>
    <col min="5225" max="5225" width="36.5703125" style="125" customWidth="1"/>
    <col min="5226" max="5228" width="36.85546875" style="125" customWidth="1"/>
    <col min="5229" max="5229" width="36.5703125" style="125" customWidth="1"/>
    <col min="5230" max="5237" width="36.85546875" style="125" customWidth="1"/>
    <col min="5238" max="5238" width="36.5703125" style="125" customWidth="1"/>
    <col min="5239" max="5376" width="36.85546875" style="125"/>
    <col min="5377" max="5377" width="18.5703125" style="125" customWidth="1"/>
    <col min="5378" max="5386" width="31.42578125" style="125" customWidth="1"/>
    <col min="5387" max="5403" width="36.85546875" style="125" customWidth="1"/>
    <col min="5404" max="5404" width="37" style="125" customWidth="1"/>
    <col min="5405" max="5420" width="36.85546875" style="125" customWidth="1"/>
    <col min="5421" max="5421" width="37.140625" style="125" customWidth="1"/>
    <col min="5422" max="5423" width="36.85546875" style="125" customWidth="1"/>
    <col min="5424" max="5424" width="36.5703125" style="125" customWidth="1"/>
    <col min="5425" max="5426" width="36.85546875" style="125" customWidth="1"/>
    <col min="5427" max="5427" width="36.5703125" style="125" customWidth="1"/>
    <col min="5428" max="5428" width="37" style="125" customWidth="1"/>
    <col min="5429" max="5447" width="36.85546875" style="125" customWidth="1"/>
    <col min="5448" max="5448" width="37" style="125" customWidth="1"/>
    <col min="5449" max="5466" width="36.85546875" style="125" customWidth="1"/>
    <col min="5467" max="5467" width="36.5703125" style="125" customWidth="1"/>
    <col min="5468" max="5480" width="36.85546875" style="125" customWidth="1"/>
    <col min="5481" max="5481" width="36.5703125" style="125" customWidth="1"/>
    <col min="5482" max="5484" width="36.85546875" style="125" customWidth="1"/>
    <col min="5485" max="5485" width="36.5703125" style="125" customWidth="1"/>
    <col min="5486" max="5493" width="36.85546875" style="125" customWidth="1"/>
    <col min="5494" max="5494" width="36.5703125" style="125" customWidth="1"/>
    <col min="5495" max="5632" width="36.85546875" style="125"/>
    <col min="5633" max="5633" width="18.5703125" style="125" customWidth="1"/>
    <col min="5634" max="5642" width="31.42578125" style="125" customWidth="1"/>
    <col min="5643" max="5659" width="36.85546875" style="125" customWidth="1"/>
    <col min="5660" max="5660" width="37" style="125" customWidth="1"/>
    <col min="5661" max="5676" width="36.85546875" style="125" customWidth="1"/>
    <col min="5677" max="5677" width="37.140625" style="125" customWidth="1"/>
    <col min="5678" max="5679" width="36.85546875" style="125" customWidth="1"/>
    <col min="5680" max="5680" width="36.5703125" style="125" customWidth="1"/>
    <col min="5681" max="5682" width="36.85546875" style="125" customWidth="1"/>
    <col min="5683" max="5683" width="36.5703125" style="125" customWidth="1"/>
    <col min="5684" max="5684" width="37" style="125" customWidth="1"/>
    <col min="5685" max="5703" width="36.85546875" style="125" customWidth="1"/>
    <col min="5704" max="5704" width="37" style="125" customWidth="1"/>
    <col min="5705" max="5722" width="36.85546875" style="125" customWidth="1"/>
    <col min="5723" max="5723" width="36.5703125" style="125" customWidth="1"/>
    <col min="5724" max="5736" width="36.85546875" style="125" customWidth="1"/>
    <col min="5737" max="5737" width="36.5703125" style="125" customWidth="1"/>
    <col min="5738" max="5740" width="36.85546875" style="125" customWidth="1"/>
    <col min="5741" max="5741" width="36.5703125" style="125" customWidth="1"/>
    <col min="5742" max="5749" width="36.85546875" style="125" customWidth="1"/>
    <col min="5750" max="5750" width="36.5703125" style="125" customWidth="1"/>
    <col min="5751" max="5888" width="36.85546875" style="125"/>
    <col min="5889" max="5889" width="18.5703125" style="125" customWidth="1"/>
    <col min="5890" max="5898" width="31.42578125" style="125" customWidth="1"/>
    <col min="5899" max="5915" width="36.85546875" style="125" customWidth="1"/>
    <col min="5916" max="5916" width="37" style="125" customWidth="1"/>
    <col min="5917" max="5932" width="36.85546875" style="125" customWidth="1"/>
    <col min="5933" max="5933" width="37.140625" style="125" customWidth="1"/>
    <col min="5934" max="5935" width="36.85546875" style="125" customWidth="1"/>
    <col min="5936" max="5936" width="36.5703125" style="125" customWidth="1"/>
    <col min="5937" max="5938" width="36.85546875" style="125" customWidth="1"/>
    <col min="5939" max="5939" width="36.5703125" style="125" customWidth="1"/>
    <col min="5940" max="5940" width="37" style="125" customWidth="1"/>
    <col min="5941" max="5959" width="36.85546875" style="125" customWidth="1"/>
    <col min="5960" max="5960" width="37" style="125" customWidth="1"/>
    <col min="5961" max="5978" width="36.85546875" style="125" customWidth="1"/>
    <col min="5979" max="5979" width="36.5703125" style="125" customWidth="1"/>
    <col min="5980" max="5992" width="36.85546875" style="125" customWidth="1"/>
    <col min="5993" max="5993" width="36.5703125" style="125" customWidth="1"/>
    <col min="5994" max="5996" width="36.85546875" style="125" customWidth="1"/>
    <col min="5997" max="5997" width="36.5703125" style="125" customWidth="1"/>
    <col min="5998" max="6005" width="36.85546875" style="125" customWidth="1"/>
    <col min="6006" max="6006" width="36.5703125" style="125" customWidth="1"/>
    <col min="6007" max="6144" width="36.85546875" style="125"/>
    <col min="6145" max="6145" width="18.5703125" style="125" customWidth="1"/>
    <col min="6146" max="6154" width="31.42578125" style="125" customWidth="1"/>
    <col min="6155" max="6171" width="36.85546875" style="125" customWidth="1"/>
    <col min="6172" max="6172" width="37" style="125" customWidth="1"/>
    <col min="6173" max="6188" width="36.85546875" style="125" customWidth="1"/>
    <col min="6189" max="6189" width="37.140625" style="125" customWidth="1"/>
    <col min="6190" max="6191" width="36.85546875" style="125" customWidth="1"/>
    <col min="6192" max="6192" width="36.5703125" style="125" customWidth="1"/>
    <col min="6193" max="6194" width="36.85546875" style="125" customWidth="1"/>
    <col min="6195" max="6195" width="36.5703125" style="125" customWidth="1"/>
    <col min="6196" max="6196" width="37" style="125" customWidth="1"/>
    <col min="6197" max="6215" width="36.85546875" style="125" customWidth="1"/>
    <col min="6216" max="6216" width="37" style="125" customWidth="1"/>
    <col min="6217" max="6234" width="36.85546875" style="125" customWidth="1"/>
    <col min="6235" max="6235" width="36.5703125" style="125" customWidth="1"/>
    <col min="6236" max="6248" width="36.85546875" style="125" customWidth="1"/>
    <col min="6249" max="6249" width="36.5703125" style="125" customWidth="1"/>
    <col min="6250" max="6252" width="36.85546875" style="125" customWidth="1"/>
    <col min="6253" max="6253" width="36.5703125" style="125" customWidth="1"/>
    <col min="6254" max="6261" width="36.85546875" style="125" customWidth="1"/>
    <col min="6262" max="6262" width="36.5703125" style="125" customWidth="1"/>
    <col min="6263" max="6400" width="36.85546875" style="125"/>
    <col min="6401" max="6401" width="18.5703125" style="125" customWidth="1"/>
    <col min="6402" max="6410" width="31.42578125" style="125" customWidth="1"/>
    <col min="6411" max="6427" width="36.85546875" style="125" customWidth="1"/>
    <col min="6428" max="6428" width="37" style="125" customWidth="1"/>
    <col min="6429" max="6444" width="36.85546875" style="125" customWidth="1"/>
    <col min="6445" max="6445" width="37.140625" style="125" customWidth="1"/>
    <col min="6446" max="6447" width="36.85546875" style="125" customWidth="1"/>
    <col min="6448" max="6448" width="36.5703125" style="125" customWidth="1"/>
    <col min="6449" max="6450" width="36.85546875" style="125" customWidth="1"/>
    <col min="6451" max="6451" width="36.5703125" style="125" customWidth="1"/>
    <col min="6452" max="6452" width="37" style="125" customWidth="1"/>
    <col min="6453" max="6471" width="36.85546875" style="125" customWidth="1"/>
    <col min="6472" max="6472" width="37" style="125" customWidth="1"/>
    <col min="6473" max="6490" width="36.85546875" style="125" customWidth="1"/>
    <col min="6491" max="6491" width="36.5703125" style="125" customWidth="1"/>
    <col min="6492" max="6504" width="36.85546875" style="125" customWidth="1"/>
    <col min="6505" max="6505" width="36.5703125" style="125" customWidth="1"/>
    <col min="6506" max="6508" width="36.85546875" style="125" customWidth="1"/>
    <col min="6509" max="6509" width="36.5703125" style="125" customWidth="1"/>
    <col min="6510" max="6517" width="36.85546875" style="125" customWidth="1"/>
    <col min="6518" max="6518" width="36.5703125" style="125" customWidth="1"/>
    <col min="6519" max="6656" width="36.85546875" style="125"/>
    <col min="6657" max="6657" width="18.5703125" style="125" customWidth="1"/>
    <col min="6658" max="6666" width="31.42578125" style="125" customWidth="1"/>
    <col min="6667" max="6683" width="36.85546875" style="125" customWidth="1"/>
    <col min="6684" max="6684" width="37" style="125" customWidth="1"/>
    <col min="6685" max="6700" width="36.85546875" style="125" customWidth="1"/>
    <col min="6701" max="6701" width="37.140625" style="125" customWidth="1"/>
    <col min="6702" max="6703" width="36.85546875" style="125" customWidth="1"/>
    <col min="6704" max="6704" width="36.5703125" style="125" customWidth="1"/>
    <col min="6705" max="6706" width="36.85546875" style="125" customWidth="1"/>
    <col min="6707" max="6707" width="36.5703125" style="125" customWidth="1"/>
    <col min="6708" max="6708" width="37" style="125" customWidth="1"/>
    <col min="6709" max="6727" width="36.85546875" style="125" customWidth="1"/>
    <col min="6728" max="6728" width="37" style="125" customWidth="1"/>
    <col min="6729" max="6746" width="36.85546875" style="125" customWidth="1"/>
    <col min="6747" max="6747" width="36.5703125" style="125" customWidth="1"/>
    <col min="6748" max="6760" width="36.85546875" style="125" customWidth="1"/>
    <col min="6761" max="6761" width="36.5703125" style="125" customWidth="1"/>
    <col min="6762" max="6764" width="36.85546875" style="125" customWidth="1"/>
    <col min="6765" max="6765" width="36.5703125" style="125" customWidth="1"/>
    <col min="6766" max="6773" width="36.85546875" style="125" customWidth="1"/>
    <col min="6774" max="6774" width="36.5703125" style="125" customWidth="1"/>
    <col min="6775" max="6912" width="36.85546875" style="125"/>
    <col min="6913" max="6913" width="18.5703125" style="125" customWidth="1"/>
    <col min="6914" max="6922" width="31.42578125" style="125" customWidth="1"/>
    <col min="6923" max="6939" width="36.85546875" style="125" customWidth="1"/>
    <col min="6940" max="6940" width="37" style="125" customWidth="1"/>
    <col min="6941" max="6956" width="36.85546875" style="125" customWidth="1"/>
    <col min="6957" max="6957" width="37.140625" style="125" customWidth="1"/>
    <col min="6958" max="6959" width="36.85546875" style="125" customWidth="1"/>
    <col min="6960" max="6960" width="36.5703125" style="125" customWidth="1"/>
    <col min="6961" max="6962" width="36.85546875" style="125" customWidth="1"/>
    <col min="6963" max="6963" width="36.5703125" style="125" customWidth="1"/>
    <col min="6964" max="6964" width="37" style="125" customWidth="1"/>
    <col min="6965" max="6983" width="36.85546875" style="125" customWidth="1"/>
    <col min="6984" max="6984" width="37" style="125" customWidth="1"/>
    <col min="6985" max="7002" width="36.85546875" style="125" customWidth="1"/>
    <col min="7003" max="7003" width="36.5703125" style="125" customWidth="1"/>
    <col min="7004" max="7016" width="36.85546875" style="125" customWidth="1"/>
    <col min="7017" max="7017" width="36.5703125" style="125" customWidth="1"/>
    <col min="7018" max="7020" width="36.85546875" style="125" customWidth="1"/>
    <col min="7021" max="7021" width="36.5703125" style="125" customWidth="1"/>
    <col min="7022" max="7029" width="36.85546875" style="125" customWidth="1"/>
    <col min="7030" max="7030" width="36.5703125" style="125" customWidth="1"/>
    <col min="7031" max="7168" width="36.85546875" style="125"/>
    <col min="7169" max="7169" width="18.5703125" style="125" customWidth="1"/>
    <col min="7170" max="7178" width="31.42578125" style="125" customWidth="1"/>
    <col min="7179" max="7195" width="36.85546875" style="125" customWidth="1"/>
    <col min="7196" max="7196" width="37" style="125" customWidth="1"/>
    <col min="7197" max="7212" width="36.85546875" style="125" customWidth="1"/>
    <col min="7213" max="7213" width="37.140625" style="125" customWidth="1"/>
    <col min="7214" max="7215" width="36.85546875" style="125" customWidth="1"/>
    <col min="7216" max="7216" width="36.5703125" style="125" customWidth="1"/>
    <col min="7217" max="7218" width="36.85546875" style="125" customWidth="1"/>
    <col min="7219" max="7219" width="36.5703125" style="125" customWidth="1"/>
    <col min="7220" max="7220" width="37" style="125" customWidth="1"/>
    <col min="7221" max="7239" width="36.85546875" style="125" customWidth="1"/>
    <col min="7240" max="7240" width="37" style="125" customWidth="1"/>
    <col min="7241" max="7258" width="36.85546875" style="125" customWidth="1"/>
    <col min="7259" max="7259" width="36.5703125" style="125" customWidth="1"/>
    <col min="7260" max="7272" width="36.85546875" style="125" customWidth="1"/>
    <col min="7273" max="7273" width="36.5703125" style="125" customWidth="1"/>
    <col min="7274" max="7276" width="36.85546875" style="125" customWidth="1"/>
    <col min="7277" max="7277" width="36.5703125" style="125" customWidth="1"/>
    <col min="7278" max="7285" width="36.85546875" style="125" customWidth="1"/>
    <col min="7286" max="7286" width="36.5703125" style="125" customWidth="1"/>
    <col min="7287" max="7424" width="36.85546875" style="125"/>
    <col min="7425" max="7425" width="18.5703125" style="125" customWidth="1"/>
    <col min="7426" max="7434" width="31.42578125" style="125" customWidth="1"/>
    <col min="7435" max="7451" width="36.85546875" style="125" customWidth="1"/>
    <col min="7452" max="7452" width="37" style="125" customWidth="1"/>
    <col min="7453" max="7468" width="36.85546875" style="125" customWidth="1"/>
    <col min="7469" max="7469" width="37.140625" style="125" customWidth="1"/>
    <col min="7470" max="7471" width="36.85546875" style="125" customWidth="1"/>
    <col min="7472" max="7472" width="36.5703125" style="125" customWidth="1"/>
    <col min="7473" max="7474" width="36.85546875" style="125" customWidth="1"/>
    <col min="7475" max="7475" width="36.5703125" style="125" customWidth="1"/>
    <col min="7476" max="7476" width="37" style="125" customWidth="1"/>
    <col min="7477" max="7495" width="36.85546875" style="125" customWidth="1"/>
    <col min="7496" max="7496" width="37" style="125" customWidth="1"/>
    <col min="7497" max="7514" width="36.85546875" style="125" customWidth="1"/>
    <col min="7515" max="7515" width="36.5703125" style="125" customWidth="1"/>
    <col min="7516" max="7528" width="36.85546875" style="125" customWidth="1"/>
    <col min="7529" max="7529" width="36.5703125" style="125" customWidth="1"/>
    <col min="7530" max="7532" width="36.85546875" style="125" customWidth="1"/>
    <col min="7533" max="7533" width="36.5703125" style="125" customWidth="1"/>
    <col min="7534" max="7541" width="36.85546875" style="125" customWidth="1"/>
    <col min="7542" max="7542" width="36.5703125" style="125" customWidth="1"/>
    <col min="7543" max="7680" width="36.85546875" style="125"/>
    <col min="7681" max="7681" width="18.5703125" style="125" customWidth="1"/>
    <col min="7682" max="7690" width="31.42578125" style="125" customWidth="1"/>
    <col min="7691" max="7707" width="36.85546875" style="125" customWidth="1"/>
    <col min="7708" max="7708" width="37" style="125" customWidth="1"/>
    <col min="7709" max="7724" width="36.85546875" style="125" customWidth="1"/>
    <col min="7725" max="7725" width="37.140625" style="125" customWidth="1"/>
    <col min="7726" max="7727" width="36.85546875" style="125" customWidth="1"/>
    <col min="7728" max="7728" width="36.5703125" style="125" customWidth="1"/>
    <col min="7729" max="7730" width="36.85546875" style="125" customWidth="1"/>
    <col min="7731" max="7731" width="36.5703125" style="125" customWidth="1"/>
    <col min="7732" max="7732" width="37" style="125" customWidth="1"/>
    <col min="7733" max="7751" width="36.85546875" style="125" customWidth="1"/>
    <col min="7752" max="7752" width="37" style="125" customWidth="1"/>
    <col min="7753" max="7770" width="36.85546875" style="125" customWidth="1"/>
    <col min="7771" max="7771" width="36.5703125" style="125" customWidth="1"/>
    <col min="7772" max="7784" width="36.85546875" style="125" customWidth="1"/>
    <col min="7785" max="7785" width="36.5703125" style="125" customWidth="1"/>
    <col min="7786" max="7788" width="36.85546875" style="125" customWidth="1"/>
    <col min="7789" max="7789" width="36.5703125" style="125" customWidth="1"/>
    <col min="7790" max="7797" width="36.85546875" style="125" customWidth="1"/>
    <col min="7798" max="7798" width="36.5703125" style="125" customWidth="1"/>
    <col min="7799" max="7936" width="36.85546875" style="125"/>
    <col min="7937" max="7937" width="18.5703125" style="125" customWidth="1"/>
    <col min="7938" max="7946" width="31.42578125" style="125" customWidth="1"/>
    <col min="7947" max="7963" width="36.85546875" style="125" customWidth="1"/>
    <col min="7964" max="7964" width="37" style="125" customWidth="1"/>
    <col min="7965" max="7980" width="36.85546875" style="125" customWidth="1"/>
    <col min="7981" max="7981" width="37.140625" style="125" customWidth="1"/>
    <col min="7982" max="7983" width="36.85546875" style="125" customWidth="1"/>
    <col min="7984" max="7984" width="36.5703125" style="125" customWidth="1"/>
    <col min="7985" max="7986" width="36.85546875" style="125" customWidth="1"/>
    <col min="7987" max="7987" width="36.5703125" style="125" customWidth="1"/>
    <col min="7988" max="7988" width="37" style="125" customWidth="1"/>
    <col min="7989" max="8007" width="36.85546875" style="125" customWidth="1"/>
    <col min="8008" max="8008" width="37" style="125" customWidth="1"/>
    <col min="8009" max="8026" width="36.85546875" style="125" customWidth="1"/>
    <col min="8027" max="8027" width="36.5703125" style="125" customWidth="1"/>
    <col min="8028" max="8040" width="36.85546875" style="125" customWidth="1"/>
    <col min="8041" max="8041" width="36.5703125" style="125" customWidth="1"/>
    <col min="8042" max="8044" width="36.85546875" style="125" customWidth="1"/>
    <col min="8045" max="8045" width="36.5703125" style="125" customWidth="1"/>
    <col min="8046" max="8053" width="36.85546875" style="125" customWidth="1"/>
    <col min="8054" max="8054" width="36.5703125" style="125" customWidth="1"/>
    <col min="8055" max="8192" width="36.85546875" style="125"/>
    <col min="8193" max="8193" width="18.5703125" style="125" customWidth="1"/>
    <col min="8194" max="8202" width="31.42578125" style="125" customWidth="1"/>
    <col min="8203" max="8219" width="36.85546875" style="125" customWidth="1"/>
    <col min="8220" max="8220" width="37" style="125" customWidth="1"/>
    <col min="8221" max="8236" width="36.85546875" style="125" customWidth="1"/>
    <col min="8237" max="8237" width="37.140625" style="125" customWidth="1"/>
    <col min="8238" max="8239" width="36.85546875" style="125" customWidth="1"/>
    <col min="8240" max="8240" width="36.5703125" style="125" customWidth="1"/>
    <col min="8241" max="8242" width="36.85546875" style="125" customWidth="1"/>
    <col min="8243" max="8243" width="36.5703125" style="125" customWidth="1"/>
    <col min="8244" max="8244" width="37" style="125" customWidth="1"/>
    <col min="8245" max="8263" width="36.85546875" style="125" customWidth="1"/>
    <col min="8264" max="8264" width="37" style="125" customWidth="1"/>
    <col min="8265" max="8282" width="36.85546875" style="125" customWidth="1"/>
    <col min="8283" max="8283" width="36.5703125" style="125" customWidth="1"/>
    <col min="8284" max="8296" width="36.85546875" style="125" customWidth="1"/>
    <col min="8297" max="8297" width="36.5703125" style="125" customWidth="1"/>
    <col min="8298" max="8300" width="36.85546875" style="125" customWidth="1"/>
    <col min="8301" max="8301" width="36.5703125" style="125" customWidth="1"/>
    <col min="8302" max="8309" width="36.85546875" style="125" customWidth="1"/>
    <col min="8310" max="8310" width="36.5703125" style="125" customWidth="1"/>
    <col min="8311" max="8448" width="36.85546875" style="125"/>
    <col min="8449" max="8449" width="18.5703125" style="125" customWidth="1"/>
    <col min="8450" max="8458" width="31.42578125" style="125" customWidth="1"/>
    <col min="8459" max="8475" width="36.85546875" style="125" customWidth="1"/>
    <col min="8476" max="8476" width="37" style="125" customWidth="1"/>
    <col min="8477" max="8492" width="36.85546875" style="125" customWidth="1"/>
    <col min="8493" max="8493" width="37.140625" style="125" customWidth="1"/>
    <col min="8494" max="8495" width="36.85546875" style="125" customWidth="1"/>
    <col min="8496" max="8496" width="36.5703125" style="125" customWidth="1"/>
    <col min="8497" max="8498" width="36.85546875" style="125" customWidth="1"/>
    <col min="8499" max="8499" width="36.5703125" style="125" customWidth="1"/>
    <col min="8500" max="8500" width="37" style="125" customWidth="1"/>
    <col min="8501" max="8519" width="36.85546875" style="125" customWidth="1"/>
    <col min="8520" max="8520" width="37" style="125" customWidth="1"/>
    <col min="8521" max="8538" width="36.85546875" style="125" customWidth="1"/>
    <col min="8539" max="8539" width="36.5703125" style="125" customWidth="1"/>
    <col min="8540" max="8552" width="36.85546875" style="125" customWidth="1"/>
    <col min="8553" max="8553" width="36.5703125" style="125" customWidth="1"/>
    <col min="8554" max="8556" width="36.85546875" style="125" customWidth="1"/>
    <col min="8557" max="8557" width="36.5703125" style="125" customWidth="1"/>
    <col min="8558" max="8565" width="36.85546875" style="125" customWidth="1"/>
    <col min="8566" max="8566" width="36.5703125" style="125" customWidth="1"/>
    <col min="8567" max="8704" width="36.85546875" style="125"/>
    <col min="8705" max="8705" width="18.5703125" style="125" customWidth="1"/>
    <col min="8706" max="8714" width="31.42578125" style="125" customWidth="1"/>
    <col min="8715" max="8731" width="36.85546875" style="125" customWidth="1"/>
    <col min="8732" max="8732" width="37" style="125" customWidth="1"/>
    <col min="8733" max="8748" width="36.85546875" style="125" customWidth="1"/>
    <col min="8749" max="8749" width="37.140625" style="125" customWidth="1"/>
    <col min="8750" max="8751" width="36.85546875" style="125" customWidth="1"/>
    <col min="8752" max="8752" width="36.5703125" style="125" customWidth="1"/>
    <col min="8753" max="8754" width="36.85546875" style="125" customWidth="1"/>
    <col min="8755" max="8755" width="36.5703125" style="125" customWidth="1"/>
    <col min="8756" max="8756" width="37" style="125" customWidth="1"/>
    <col min="8757" max="8775" width="36.85546875" style="125" customWidth="1"/>
    <col min="8776" max="8776" width="37" style="125" customWidth="1"/>
    <col min="8777" max="8794" width="36.85546875" style="125" customWidth="1"/>
    <col min="8795" max="8795" width="36.5703125" style="125" customWidth="1"/>
    <col min="8796" max="8808" width="36.85546875" style="125" customWidth="1"/>
    <col min="8809" max="8809" width="36.5703125" style="125" customWidth="1"/>
    <col min="8810" max="8812" width="36.85546875" style="125" customWidth="1"/>
    <col min="8813" max="8813" width="36.5703125" style="125" customWidth="1"/>
    <col min="8814" max="8821" width="36.85546875" style="125" customWidth="1"/>
    <col min="8822" max="8822" width="36.5703125" style="125" customWidth="1"/>
    <col min="8823" max="8960" width="36.85546875" style="125"/>
    <col min="8961" max="8961" width="18.5703125" style="125" customWidth="1"/>
    <col min="8962" max="8970" width="31.42578125" style="125" customWidth="1"/>
    <col min="8971" max="8987" width="36.85546875" style="125" customWidth="1"/>
    <col min="8988" max="8988" width="37" style="125" customWidth="1"/>
    <col min="8989" max="9004" width="36.85546875" style="125" customWidth="1"/>
    <col min="9005" max="9005" width="37.140625" style="125" customWidth="1"/>
    <col min="9006" max="9007" width="36.85546875" style="125" customWidth="1"/>
    <col min="9008" max="9008" width="36.5703125" style="125" customWidth="1"/>
    <col min="9009" max="9010" width="36.85546875" style="125" customWidth="1"/>
    <col min="9011" max="9011" width="36.5703125" style="125" customWidth="1"/>
    <col min="9012" max="9012" width="37" style="125" customWidth="1"/>
    <col min="9013" max="9031" width="36.85546875" style="125" customWidth="1"/>
    <col min="9032" max="9032" width="37" style="125" customWidth="1"/>
    <col min="9033" max="9050" width="36.85546875" style="125" customWidth="1"/>
    <col min="9051" max="9051" width="36.5703125" style="125" customWidth="1"/>
    <col min="9052" max="9064" width="36.85546875" style="125" customWidth="1"/>
    <col min="9065" max="9065" width="36.5703125" style="125" customWidth="1"/>
    <col min="9066" max="9068" width="36.85546875" style="125" customWidth="1"/>
    <col min="9069" max="9069" width="36.5703125" style="125" customWidth="1"/>
    <col min="9070" max="9077" width="36.85546875" style="125" customWidth="1"/>
    <col min="9078" max="9078" width="36.5703125" style="125" customWidth="1"/>
    <col min="9079" max="9216" width="36.85546875" style="125"/>
    <col min="9217" max="9217" width="18.5703125" style="125" customWidth="1"/>
    <col min="9218" max="9226" width="31.42578125" style="125" customWidth="1"/>
    <col min="9227" max="9243" width="36.85546875" style="125" customWidth="1"/>
    <col min="9244" max="9244" width="37" style="125" customWidth="1"/>
    <col min="9245" max="9260" width="36.85546875" style="125" customWidth="1"/>
    <col min="9261" max="9261" width="37.140625" style="125" customWidth="1"/>
    <col min="9262" max="9263" width="36.85546875" style="125" customWidth="1"/>
    <col min="9264" max="9264" width="36.5703125" style="125" customWidth="1"/>
    <col min="9265" max="9266" width="36.85546875" style="125" customWidth="1"/>
    <col min="9267" max="9267" width="36.5703125" style="125" customWidth="1"/>
    <col min="9268" max="9268" width="37" style="125" customWidth="1"/>
    <col min="9269" max="9287" width="36.85546875" style="125" customWidth="1"/>
    <col min="9288" max="9288" width="37" style="125" customWidth="1"/>
    <col min="9289" max="9306" width="36.85546875" style="125" customWidth="1"/>
    <col min="9307" max="9307" width="36.5703125" style="125" customWidth="1"/>
    <col min="9308" max="9320" width="36.85546875" style="125" customWidth="1"/>
    <col min="9321" max="9321" width="36.5703125" style="125" customWidth="1"/>
    <col min="9322" max="9324" width="36.85546875" style="125" customWidth="1"/>
    <col min="9325" max="9325" width="36.5703125" style="125" customWidth="1"/>
    <col min="9326" max="9333" width="36.85546875" style="125" customWidth="1"/>
    <col min="9334" max="9334" width="36.5703125" style="125" customWidth="1"/>
    <col min="9335" max="9472" width="36.85546875" style="125"/>
    <col min="9473" max="9473" width="18.5703125" style="125" customWidth="1"/>
    <col min="9474" max="9482" width="31.42578125" style="125" customWidth="1"/>
    <col min="9483" max="9499" width="36.85546875" style="125" customWidth="1"/>
    <col min="9500" max="9500" width="37" style="125" customWidth="1"/>
    <col min="9501" max="9516" width="36.85546875" style="125" customWidth="1"/>
    <col min="9517" max="9517" width="37.140625" style="125" customWidth="1"/>
    <col min="9518" max="9519" width="36.85546875" style="125" customWidth="1"/>
    <col min="9520" max="9520" width="36.5703125" style="125" customWidth="1"/>
    <col min="9521" max="9522" width="36.85546875" style="125" customWidth="1"/>
    <col min="9523" max="9523" width="36.5703125" style="125" customWidth="1"/>
    <col min="9524" max="9524" width="37" style="125" customWidth="1"/>
    <col min="9525" max="9543" width="36.85546875" style="125" customWidth="1"/>
    <col min="9544" max="9544" width="37" style="125" customWidth="1"/>
    <col min="9545" max="9562" width="36.85546875" style="125" customWidth="1"/>
    <col min="9563" max="9563" width="36.5703125" style="125" customWidth="1"/>
    <col min="9564" max="9576" width="36.85546875" style="125" customWidth="1"/>
    <col min="9577" max="9577" width="36.5703125" style="125" customWidth="1"/>
    <col min="9578" max="9580" width="36.85546875" style="125" customWidth="1"/>
    <col min="9581" max="9581" width="36.5703125" style="125" customWidth="1"/>
    <col min="9582" max="9589" width="36.85546875" style="125" customWidth="1"/>
    <col min="9590" max="9590" width="36.5703125" style="125" customWidth="1"/>
    <col min="9591" max="9728" width="36.85546875" style="125"/>
    <col min="9729" max="9729" width="18.5703125" style="125" customWidth="1"/>
    <col min="9730" max="9738" width="31.42578125" style="125" customWidth="1"/>
    <col min="9739" max="9755" width="36.85546875" style="125" customWidth="1"/>
    <col min="9756" max="9756" width="37" style="125" customWidth="1"/>
    <col min="9757" max="9772" width="36.85546875" style="125" customWidth="1"/>
    <col min="9773" max="9773" width="37.140625" style="125" customWidth="1"/>
    <col min="9774" max="9775" width="36.85546875" style="125" customWidth="1"/>
    <col min="9776" max="9776" width="36.5703125" style="125" customWidth="1"/>
    <col min="9777" max="9778" width="36.85546875" style="125" customWidth="1"/>
    <col min="9779" max="9779" width="36.5703125" style="125" customWidth="1"/>
    <col min="9780" max="9780" width="37" style="125" customWidth="1"/>
    <col min="9781" max="9799" width="36.85546875" style="125" customWidth="1"/>
    <col min="9800" max="9800" width="37" style="125" customWidth="1"/>
    <col min="9801" max="9818" width="36.85546875" style="125" customWidth="1"/>
    <col min="9819" max="9819" width="36.5703125" style="125" customWidth="1"/>
    <col min="9820" max="9832" width="36.85546875" style="125" customWidth="1"/>
    <col min="9833" max="9833" width="36.5703125" style="125" customWidth="1"/>
    <col min="9834" max="9836" width="36.85546875" style="125" customWidth="1"/>
    <col min="9837" max="9837" width="36.5703125" style="125" customWidth="1"/>
    <col min="9838" max="9845" width="36.85546875" style="125" customWidth="1"/>
    <col min="9846" max="9846" width="36.5703125" style="125" customWidth="1"/>
    <col min="9847" max="9984" width="36.85546875" style="125"/>
    <col min="9985" max="9985" width="18.5703125" style="125" customWidth="1"/>
    <col min="9986" max="9994" width="31.42578125" style="125" customWidth="1"/>
    <col min="9995" max="10011" width="36.85546875" style="125" customWidth="1"/>
    <col min="10012" max="10012" width="37" style="125" customWidth="1"/>
    <col min="10013" max="10028" width="36.85546875" style="125" customWidth="1"/>
    <col min="10029" max="10029" width="37.140625" style="125" customWidth="1"/>
    <col min="10030" max="10031" width="36.85546875" style="125" customWidth="1"/>
    <col min="10032" max="10032" width="36.5703125" style="125" customWidth="1"/>
    <col min="10033" max="10034" width="36.85546875" style="125" customWidth="1"/>
    <col min="10035" max="10035" width="36.5703125" style="125" customWidth="1"/>
    <col min="10036" max="10036" width="37" style="125" customWidth="1"/>
    <col min="10037" max="10055" width="36.85546875" style="125" customWidth="1"/>
    <col min="10056" max="10056" width="37" style="125" customWidth="1"/>
    <col min="10057" max="10074" width="36.85546875" style="125" customWidth="1"/>
    <col min="10075" max="10075" width="36.5703125" style="125" customWidth="1"/>
    <col min="10076" max="10088" width="36.85546875" style="125" customWidth="1"/>
    <col min="10089" max="10089" width="36.5703125" style="125" customWidth="1"/>
    <col min="10090" max="10092" width="36.85546875" style="125" customWidth="1"/>
    <col min="10093" max="10093" width="36.5703125" style="125" customWidth="1"/>
    <col min="10094" max="10101" width="36.85546875" style="125" customWidth="1"/>
    <col min="10102" max="10102" width="36.5703125" style="125" customWidth="1"/>
    <col min="10103" max="10240" width="36.85546875" style="125"/>
    <col min="10241" max="10241" width="18.5703125" style="125" customWidth="1"/>
    <col min="10242" max="10250" width="31.42578125" style="125" customWidth="1"/>
    <col min="10251" max="10267" width="36.85546875" style="125" customWidth="1"/>
    <col min="10268" max="10268" width="37" style="125" customWidth="1"/>
    <col min="10269" max="10284" width="36.85546875" style="125" customWidth="1"/>
    <col min="10285" max="10285" width="37.140625" style="125" customWidth="1"/>
    <col min="10286" max="10287" width="36.85546875" style="125" customWidth="1"/>
    <col min="10288" max="10288" width="36.5703125" style="125" customWidth="1"/>
    <col min="10289" max="10290" width="36.85546875" style="125" customWidth="1"/>
    <col min="10291" max="10291" width="36.5703125" style="125" customWidth="1"/>
    <col min="10292" max="10292" width="37" style="125" customWidth="1"/>
    <col min="10293" max="10311" width="36.85546875" style="125" customWidth="1"/>
    <col min="10312" max="10312" width="37" style="125" customWidth="1"/>
    <col min="10313" max="10330" width="36.85546875" style="125" customWidth="1"/>
    <col min="10331" max="10331" width="36.5703125" style="125" customWidth="1"/>
    <col min="10332" max="10344" width="36.85546875" style="125" customWidth="1"/>
    <col min="10345" max="10345" width="36.5703125" style="125" customWidth="1"/>
    <col min="10346" max="10348" width="36.85546875" style="125" customWidth="1"/>
    <col min="10349" max="10349" width="36.5703125" style="125" customWidth="1"/>
    <col min="10350" max="10357" width="36.85546875" style="125" customWidth="1"/>
    <col min="10358" max="10358" width="36.5703125" style="125" customWidth="1"/>
    <col min="10359" max="10496" width="36.85546875" style="125"/>
    <col min="10497" max="10497" width="18.5703125" style="125" customWidth="1"/>
    <col min="10498" max="10506" width="31.42578125" style="125" customWidth="1"/>
    <col min="10507" max="10523" width="36.85546875" style="125" customWidth="1"/>
    <col min="10524" max="10524" width="37" style="125" customWidth="1"/>
    <col min="10525" max="10540" width="36.85546875" style="125" customWidth="1"/>
    <col min="10541" max="10541" width="37.140625" style="125" customWidth="1"/>
    <col min="10542" max="10543" width="36.85546875" style="125" customWidth="1"/>
    <col min="10544" max="10544" width="36.5703125" style="125" customWidth="1"/>
    <col min="10545" max="10546" width="36.85546875" style="125" customWidth="1"/>
    <col min="10547" max="10547" width="36.5703125" style="125" customWidth="1"/>
    <col min="10548" max="10548" width="37" style="125" customWidth="1"/>
    <col min="10549" max="10567" width="36.85546875" style="125" customWidth="1"/>
    <col min="10568" max="10568" width="37" style="125" customWidth="1"/>
    <col min="10569" max="10586" width="36.85546875" style="125" customWidth="1"/>
    <col min="10587" max="10587" width="36.5703125" style="125" customWidth="1"/>
    <col min="10588" max="10600" width="36.85546875" style="125" customWidth="1"/>
    <col min="10601" max="10601" width="36.5703125" style="125" customWidth="1"/>
    <col min="10602" max="10604" width="36.85546875" style="125" customWidth="1"/>
    <col min="10605" max="10605" width="36.5703125" style="125" customWidth="1"/>
    <col min="10606" max="10613" width="36.85546875" style="125" customWidth="1"/>
    <col min="10614" max="10614" width="36.5703125" style="125" customWidth="1"/>
    <col min="10615" max="10752" width="36.85546875" style="125"/>
    <col min="10753" max="10753" width="18.5703125" style="125" customWidth="1"/>
    <col min="10754" max="10762" width="31.42578125" style="125" customWidth="1"/>
    <col min="10763" max="10779" width="36.85546875" style="125" customWidth="1"/>
    <col min="10780" max="10780" width="37" style="125" customWidth="1"/>
    <col min="10781" max="10796" width="36.85546875" style="125" customWidth="1"/>
    <col min="10797" max="10797" width="37.140625" style="125" customWidth="1"/>
    <col min="10798" max="10799" width="36.85546875" style="125" customWidth="1"/>
    <col min="10800" max="10800" width="36.5703125" style="125" customWidth="1"/>
    <col min="10801" max="10802" width="36.85546875" style="125" customWidth="1"/>
    <col min="10803" max="10803" width="36.5703125" style="125" customWidth="1"/>
    <col min="10804" max="10804" width="37" style="125" customWidth="1"/>
    <col min="10805" max="10823" width="36.85546875" style="125" customWidth="1"/>
    <col min="10824" max="10824" width="37" style="125" customWidth="1"/>
    <col min="10825" max="10842" width="36.85546875" style="125" customWidth="1"/>
    <col min="10843" max="10843" width="36.5703125" style="125" customWidth="1"/>
    <col min="10844" max="10856" width="36.85546875" style="125" customWidth="1"/>
    <col min="10857" max="10857" width="36.5703125" style="125" customWidth="1"/>
    <col min="10858" max="10860" width="36.85546875" style="125" customWidth="1"/>
    <col min="10861" max="10861" width="36.5703125" style="125" customWidth="1"/>
    <col min="10862" max="10869" width="36.85546875" style="125" customWidth="1"/>
    <col min="10870" max="10870" width="36.5703125" style="125" customWidth="1"/>
    <col min="10871" max="11008" width="36.85546875" style="125"/>
    <col min="11009" max="11009" width="18.5703125" style="125" customWidth="1"/>
    <col min="11010" max="11018" width="31.42578125" style="125" customWidth="1"/>
    <col min="11019" max="11035" width="36.85546875" style="125" customWidth="1"/>
    <col min="11036" max="11036" width="37" style="125" customWidth="1"/>
    <col min="11037" max="11052" width="36.85546875" style="125" customWidth="1"/>
    <col min="11053" max="11053" width="37.140625" style="125" customWidth="1"/>
    <col min="11054" max="11055" width="36.85546875" style="125" customWidth="1"/>
    <col min="11056" max="11056" width="36.5703125" style="125" customWidth="1"/>
    <col min="11057" max="11058" width="36.85546875" style="125" customWidth="1"/>
    <col min="11059" max="11059" width="36.5703125" style="125" customWidth="1"/>
    <col min="11060" max="11060" width="37" style="125" customWidth="1"/>
    <col min="11061" max="11079" width="36.85546875" style="125" customWidth="1"/>
    <col min="11080" max="11080" width="37" style="125" customWidth="1"/>
    <col min="11081" max="11098" width="36.85546875" style="125" customWidth="1"/>
    <col min="11099" max="11099" width="36.5703125" style="125" customWidth="1"/>
    <col min="11100" max="11112" width="36.85546875" style="125" customWidth="1"/>
    <col min="11113" max="11113" width="36.5703125" style="125" customWidth="1"/>
    <col min="11114" max="11116" width="36.85546875" style="125" customWidth="1"/>
    <col min="11117" max="11117" width="36.5703125" style="125" customWidth="1"/>
    <col min="11118" max="11125" width="36.85546875" style="125" customWidth="1"/>
    <col min="11126" max="11126" width="36.5703125" style="125" customWidth="1"/>
    <col min="11127" max="11264" width="36.85546875" style="125"/>
    <col min="11265" max="11265" width="18.5703125" style="125" customWidth="1"/>
    <col min="11266" max="11274" width="31.42578125" style="125" customWidth="1"/>
    <col min="11275" max="11291" width="36.85546875" style="125" customWidth="1"/>
    <col min="11292" max="11292" width="37" style="125" customWidth="1"/>
    <col min="11293" max="11308" width="36.85546875" style="125" customWidth="1"/>
    <col min="11309" max="11309" width="37.140625" style="125" customWidth="1"/>
    <col min="11310" max="11311" width="36.85546875" style="125" customWidth="1"/>
    <col min="11312" max="11312" width="36.5703125" style="125" customWidth="1"/>
    <col min="11313" max="11314" width="36.85546875" style="125" customWidth="1"/>
    <col min="11315" max="11315" width="36.5703125" style="125" customWidth="1"/>
    <col min="11316" max="11316" width="37" style="125" customWidth="1"/>
    <col min="11317" max="11335" width="36.85546875" style="125" customWidth="1"/>
    <col min="11336" max="11336" width="37" style="125" customWidth="1"/>
    <col min="11337" max="11354" width="36.85546875" style="125" customWidth="1"/>
    <col min="11355" max="11355" width="36.5703125" style="125" customWidth="1"/>
    <col min="11356" max="11368" width="36.85546875" style="125" customWidth="1"/>
    <col min="11369" max="11369" width="36.5703125" style="125" customWidth="1"/>
    <col min="11370" max="11372" width="36.85546875" style="125" customWidth="1"/>
    <col min="11373" max="11373" width="36.5703125" style="125" customWidth="1"/>
    <col min="11374" max="11381" width="36.85546875" style="125" customWidth="1"/>
    <col min="11382" max="11382" width="36.5703125" style="125" customWidth="1"/>
    <col min="11383" max="11520" width="36.85546875" style="125"/>
    <col min="11521" max="11521" width="18.5703125" style="125" customWidth="1"/>
    <col min="11522" max="11530" width="31.42578125" style="125" customWidth="1"/>
    <col min="11531" max="11547" width="36.85546875" style="125" customWidth="1"/>
    <col min="11548" max="11548" width="37" style="125" customWidth="1"/>
    <col min="11549" max="11564" width="36.85546875" style="125" customWidth="1"/>
    <col min="11565" max="11565" width="37.140625" style="125" customWidth="1"/>
    <col min="11566" max="11567" width="36.85546875" style="125" customWidth="1"/>
    <col min="11568" max="11568" width="36.5703125" style="125" customWidth="1"/>
    <col min="11569" max="11570" width="36.85546875" style="125" customWidth="1"/>
    <col min="11571" max="11571" width="36.5703125" style="125" customWidth="1"/>
    <col min="11572" max="11572" width="37" style="125" customWidth="1"/>
    <col min="11573" max="11591" width="36.85546875" style="125" customWidth="1"/>
    <col min="11592" max="11592" width="37" style="125" customWidth="1"/>
    <col min="11593" max="11610" width="36.85546875" style="125" customWidth="1"/>
    <col min="11611" max="11611" width="36.5703125" style="125" customWidth="1"/>
    <col min="11612" max="11624" width="36.85546875" style="125" customWidth="1"/>
    <col min="11625" max="11625" width="36.5703125" style="125" customWidth="1"/>
    <col min="11626" max="11628" width="36.85546875" style="125" customWidth="1"/>
    <col min="11629" max="11629" width="36.5703125" style="125" customWidth="1"/>
    <col min="11630" max="11637" width="36.85546875" style="125" customWidth="1"/>
    <col min="11638" max="11638" width="36.5703125" style="125" customWidth="1"/>
    <col min="11639" max="11776" width="36.85546875" style="125"/>
    <col min="11777" max="11777" width="18.5703125" style="125" customWidth="1"/>
    <col min="11778" max="11786" width="31.42578125" style="125" customWidth="1"/>
    <col min="11787" max="11803" width="36.85546875" style="125" customWidth="1"/>
    <col min="11804" max="11804" width="37" style="125" customWidth="1"/>
    <col min="11805" max="11820" width="36.85546875" style="125" customWidth="1"/>
    <col min="11821" max="11821" width="37.140625" style="125" customWidth="1"/>
    <col min="11822" max="11823" width="36.85546875" style="125" customWidth="1"/>
    <col min="11824" max="11824" width="36.5703125" style="125" customWidth="1"/>
    <col min="11825" max="11826" width="36.85546875" style="125" customWidth="1"/>
    <col min="11827" max="11827" width="36.5703125" style="125" customWidth="1"/>
    <col min="11828" max="11828" width="37" style="125" customWidth="1"/>
    <col min="11829" max="11847" width="36.85546875" style="125" customWidth="1"/>
    <col min="11848" max="11848" width="37" style="125" customWidth="1"/>
    <col min="11849" max="11866" width="36.85546875" style="125" customWidth="1"/>
    <col min="11867" max="11867" width="36.5703125" style="125" customWidth="1"/>
    <col min="11868" max="11880" width="36.85546875" style="125" customWidth="1"/>
    <col min="11881" max="11881" width="36.5703125" style="125" customWidth="1"/>
    <col min="11882" max="11884" width="36.85546875" style="125" customWidth="1"/>
    <col min="11885" max="11885" width="36.5703125" style="125" customWidth="1"/>
    <col min="11886" max="11893" width="36.85546875" style="125" customWidth="1"/>
    <col min="11894" max="11894" width="36.5703125" style="125" customWidth="1"/>
    <col min="11895" max="12032" width="36.85546875" style="125"/>
    <col min="12033" max="12033" width="18.5703125" style="125" customWidth="1"/>
    <col min="12034" max="12042" width="31.42578125" style="125" customWidth="1"/>
    <col min="12043" max="12059" width="36.85546875" style="125" customWidth="1"/>
    <col min="12060" max="12060" width="37" style="125" customWidth="1"/>
    <col min="12061" max="12076" width="36.85546875" style="125" customWidth="1"/>
    <col min="12077" max="12077" width="37.140625" style="125" customWidth="1"/>
    <col min="12078" max="12079" width="36.85546875" style="125" customWidth="1"/>
    <col min="12080" max="12080" width="36.5703125" style="125" customWidth="1"/>
    <col min="12081" max="12082" width="36.85546875" style="125" customWidth="1"/>
    <col min="12083" max="12083" width="36.5703125" style="125" customWidth="1"/>
    <col min="12084" max="12084" width="37" style="125" customWidth="1"/>
    <col min="12085" max="12103" width="36.85546875" style="125" customWidth="1"/>
    <col min="12104" max="12104" width="37" style="125" customWidth="1"/>
    <col min="12105" max="12122" width="36.85546875" style="125" customWidth="1"/>
    <col min="12123" max="12123" width="36.5703125" style="125" customWidth="1"/>
    <col min="12124" max="12136" width="36.85546875" style="125" customWidth="1"/>
    <col min="12137" max="12137" width="36.5703125" style="125" customWidth="1"/>
    <col min="12138" max="12140" width="36.85546875" style="125" customWidth="1"/>
    <col min="12141" max="12141" width="36.5703125" style="125" customWidth="1"/>
    <col min="12142" max="12149" width="36.85546875" style="125" customWidth="1"/>
    <col min="12150" max="12150" width="36.5703125" style="125" customWidth="1"/>
    <col min="12151" max="12288" width="36.85546875" style="125"/>
    <col min="12289" max="12289" width="18.5703125" style="125" customWidth="1"/>
    <col min="12290" max="12298" width="31.42578125" style="125" customWidth="1"/>
    <col min="12299" max="12315" width="36.85546875" style="125" customWidth="1"/>
    <col min="12316" max="12316" width="37" style="125" customWidth="1"/>
    <col min="12317" max="12332" width="36.85546875" style="125" customWidth="1"/>
    <col min="12333" max="12333" width="37.140625" style="125" customWidth="1"/>
    <col min="12334" max="12335" width="36.85546875" style="125" customWidth="1"/>
    <col min="12336" max="12336" width="36.5703125" style="125" customWidth="1"/>
    <col min="12337" max="12338" width="36.85546875" style="125" customWidth="1"/>
    <col min="12339" max="12339" width="36.5703125" style="125" customWidth="1"/>
    <col min="12340" max="12340" width="37" style="125" customWidth="1"/>
    <col min="12341" max="12359" width="36.85546875" style="125" customWidth="1"/>
    <col min="12360" max="12360" width="37" style="125" customWidth="1"/>
    <col min="12361" max="12378" width="36.85546875" style="125" customWidth="1"/>
    <col min="12379" max="12379" width="36.5703125" style="125" customWidth="1"/>
    <col min="12380" max="12392" width="36.85546875" style="125" customWidth="1"/>
    <col min="12393" max="12393" width="36.5703125" style="125" customWidth="1"/>
    <col min="12394" max="12396" width="36.85546875" style="125" customWidth="1"/>
    <col min="12397" max="12397" width="36.5703125" style="125" customWidth="1"/>
    <col min="12398" max="12405" width="36.85546875" style="125" customWidth="1"/>
    <col min="12406" max="12406" width="36.5703125" style="125" customWidth="1"/>
    <col min="12407" max="12544" width="36.85546875" style="125"/>
    <col min="12545" max="12545" width="18.5703125" style="125" customWidth="1"/>
    <col min="12546" max="12554" width="31.42578125" style="125" customWidth="1"/>
    <col min="12555" max="12571" width="36.85546875" style="125" customWidth="1"/>
    <col min="12572" max="12572" width="37" style="125" customWidth="1"/>
    <col min="12573" max="12588" width="36.85546875" style="125" customWidth="1"/>
    <col min="12589" max="12589" width="37.140625" style="125" customWidth="1"/>
    <col min="12590" max="12591" width="36.85546875" style="125" customWidth="1"/>
    <col min="12592" max="12592" width="36.5703125" style="125" customWidth="1"/>
    <col min="12593" max="12594" width="36.85546875" style="125" customWidth="1"/>
    <col min="12595" max="12595" width="36.5703125" style="125" customWidth="1"/>
    <col min="12596" max="12596" width="37" style="125" customWidth="1"/>
    <col min="12597" max="12615" width="36.85546875" style="125" customWidth="1"/>
    <col min="12616" max="12616" width="37" style="125" customWidth="1"/>
    <col min="12617" max="12634" width="36.85546875" style="125" customWidth="1"/>
    <col min="12635" max="12635" width="36.5703125" style="125" customWidth="1"/>
    <col min="12636" max="12648" width="36.85546875" style="125" customWidth="1"/>
    <col min="12649" max="12649" width="36.5703125" style="125" customWidth="1"/>
    <col min="12650" max="12652" width="36.85546875" style="125" customWidth="1"/>
    <col min="12653" max="12653" width="36.5703125" style="125" customWidth="1"/>
    <col min="12654" max="12661" width="36.85546875" style="125" customWidth="1"/>
    <col min="12662" max="12662" width="36.5703125" style="125" customWidth="1"/>
    <col min="12663" max="12800" width="36.85546875" style="125"/>
    <col min="12801" max="12801" width="18.5703125" style="125" customWidth="1"/>
    <col min="12802" max="12810" width="31.42578125" style="125" customWidth="1"/>
    <col min="12811" max="12827" width="36.85546875" style="125" customWidth="1"/>
    <col min="12828" max="12828" width="37" style="125" customWidth="1"/>
    <col min="12829" max="12844" width="36.85546875" style="125" customWidth="1"/>
    <col min="12845" max="12845" width="37.140625" style="125" customWidth="1"/>
    <col min="12846" max="12847" width="36.85546875" style="125" customWidth="1"/>
    <col min="12848" max="12848" width="36.5703125" style="125" customWidth="1"/>
    <col min="12849" max="12850" width="36.85546875" style="125" customWidth="1"/>
    <col min="12851" max="12851" width="36.5703125" style="125" customWidth="1"/>
    <col min="12852" max="12852" width="37" style="125" customWidth="1"/>
    <col min="12853" max="12871" width="36.85546875" style="125" customWidth="1"/>
    <col min="12872" max="12872" width="37" style="125" customWidth="1"/>
    <col min="12873" max="12890" width="36.85546875" style="125" customWidth="1"/>
    <col min="12891" max="12891" width="36.5703125" style="125" customWidth="1"/>
    <col min="12892" max="12904" width="36.85546875" style="125" customWidth="1"/>
    <col min="12905" max="12905" width="36.5703125" style="125" customWidth="1"/>
    <col min="12906" max="12908" width="36.85546875" style="125" customWidth="1"/>
    <col min="12909" max="12909" width="36.5703125" style="125" customWidth="1"/>
    <col min="12910" max="12917" width="36.85546875" style="125" customWidth="1"/>
    <col min="12918" max="12918" width="36.5703125" style="125" customWidth="1"/>
    <col min="12919" max="13056" width="36.85546875" style="125"/>
    <col min="13057" max="13057" width="18.5703125" style="125" customWidth="1"/>
    <col min="13058" max="13066" width="31.42578125" style="125" customWidth="1"/>
    <col min="13067" max="13083" width="36.85546875" style="125" customWidth="1"/>
    <col min="13084" max="13084" width="37" style="125" customWidth="1"/>
    <col min="13085" max="13100" width="36.85546875" style="125" customWidth="1"/>
    <col min="13101" max="13101" width="37.140625" style="125" customWidth="1"/>
    <col min="13102" max="13103" width="36.85546875" style="125" customWidth="1"/>
    <col min="13104" max="13104" width="36.5703125" style="125" customWidth="1"/>
    <col min="13105" max="13106" width="36.85546875" style="125" customWidth="1"/>
    <col min="13107" max="13107" width="36.5703125" style="125" customWidth="1"/>
    <col min="13108" max="13108" width="37" style="125" customWidth="1"/>
    <col min="13109" max="13127" width="36.85546875" style="125" customWidth="1"/>
    <col min="13128" max="13128" width="37" style="125" customWidth="1"/>
    <col min="13129" max="13146" width="36.85546875" style="125" customWidth="1"/>
    <col min="13147" max="13147" width="36.5703125" style="125" customWidth="1"/>
    <col min="13148" max="13160" width="36.85546875" style="125" customWidth="1"/>
    <col min="13161" max="13161" width="36.5703125" style="125" customWidth="1"/>
    <col min="13162" max="13164" width="36.85546875" style="125" customWidth="1"/>
    <col min="13165" max="13165" width="36.5703125" style="125" customWidth="1"/>
    <col min="13166" max="13173" width="36.85546875" style="125" customWidth="1"/>
    <col min="13174" max="13174" width="36.5703125" style="125" customWidth="1"/>
    <col min="13175" max="13312" width="36.85546875" style="125"/>
    <col min="13313" max="13313" width="18.5703125" style="125" customWidth="1"/>
    <col min="13314" max="13322" width="31.42578125" style="125" customWidth="1"/>
    <col min="13323" max="13339" width="36.85546875" style="125" customWidth="1"/>
    <col min="13340" max="13340" width="37" style="125" customWidth="1"/>
    <col min="13341" max="13356" width="36.85546875" style="125" customWidth="1"/>
    <col min="13357" max="13357" width="37.140625" style="125" customWidth="1"/>
    <col min="13358" max="13359" width="36.85546875" style="125" customWidth="1"/>
    <col min="13360" max="13360" width="36.5703125" style="125" customWidth="1"/>
    <col min="13361" max="13362" width="36.85546875" style="125" customWidth="1"/>
    <col min="13363" max="13363" width="36.5703125" style="125" customWidth="1"/>
    <col min="13364" max="13364" width="37" style="125" customWidth="1"/>
    <col min="13365" max="13383" width="36.85546875" style="125" customWidth="1"/>
    <col min="13384" max="13384" width="37" style="125" customWidth="1"/>
    <col min="13385" max="13402" width="36.85546875" style="125" customWidth="1"/>
    <col min="13403" max="13403" width="36.5703125" style="125" customWidth="1"/>
    <col min="13404" max="13416" width="36.85546875" style="125" customWidth="1"/>
    <col min="13417" max="13417" width="36.5703125" style="125" customWidth="1"/>
    <col min="13418" max="13420" width="36.85546875" style="125" customWidth="1"/>
    <col min="13421" max="13421" width="36.5703125" style="125" customWidth="1"/>
    <col min="13422" max="13429" width="36.85546875" style="125" customWidth="1"/>
    <col min="13430" max="13430" width="36.5703125" style="125" customWidth="1"/>
    <col min="13431" max="13568" width="36.85546875" style="125"/>
    <col min="13569" max="13569" width="18.5703125" style="125" customWidth="1"/>
    <col min="13570" max="13578" width="31.42578125" style="125" customWidth="1"/>
    <col min="13579" max="13595" width="36.85546875" style="125" customWidth="1"/>
    <col min="13596" max="13596" width="37" style="125" customWidth="1"/>
    <col min="13597" max="13612" width="36.85546875" style="125" customWidth="1"/>
    <col min="13613" max="13613" width="37.140625" style="125" customWidth="1"/>
    <col min="13614" max="13615" width="36.85546875" style="125" customWidth="1"/>
    <col min="13616" max="13616" width="36.5703125" style="125" customWidth="1"/>
    <col min="13617" max="13618" width="36.85546875" style="125" customWidth="1"/>
    <col min="13619" max="13619" width="36.5703125" style="125" customWidth="1"/>
    <col min="13620" max="13620" width="37" style="125" customWidth="1"/>
    <col min="13621" max="13639" width="36.85546875" style="125" customWidth="1"/>
    <col min="13640" max="13640" width="37" style="125" customWidth="1"/>
    <col min="13641" max="13658" width="36.85546875" style="125" customWidth="1"/>
    <col min="13659" max="13659" width="36.5703125" style="125" customWidth="1"/>
    <col min="13660" max="13672" width="36.85546875" style="125" customWidth="1"/>
    <col min="13673" max="13673" width="36.5703125" style="125" customWidth="1"/>
    <col min="13674" max="13676" width="36.85546875" style="125" customWidth="1"/>
    <col min="13677" max="13677" width="36.5703125" style="125" customWidth="1"/>
    <col min="13678" max="13685" width="36.85546875" style="125" customWidth="1"/>
    <col min="13686" max="13686" width="36.5703125" style="125" customWidth="1"/>
    <col min="13687" max="13824" width="36.85546875" style="125"/>
    <col min="13825" max="13825" width="18.5703125" style="125" customWidth="1"/>
    <col min="13826" max="13834" width="31.42578125" style="125" customWidth="1"/>
    <col min="13835" max="13851" width="36.85546875" style="125" customWidth="1"/>
    <col min="13852" max="13852" width="37" style="125" customWidth="1"/>
    <col min="13853" max="13868" width="36.85546875" style="125" customWidth="1"/>
    <col min="13869" max="13869" width="37.140625" style="125" customWidth="1"/>
    <col min="13870" max="13871" width="36.85546875" style="125" customWidth="1"/>
    <col min="13872" max="13872" width="36.5703125" style="125" customWidth="1"/>
    <col min="13873" max="13874" width="36.85546875" style="125" customWidth="1"/>
    <col min="13875" max="13875" width="36.5703125" style="125" customWidth="1"/>
    <col min="13876" max="13876" width="37" style="125" customWidth="1"/>
    <col min="13877" max="13895" width="36.85546875" style="125" customWidth="1"/>
    <col min="13896" max="13896" width="37" style="125" customWidth="1"/>
    <col min="13897" max="13914" width="36.85546875" style="125" customWidth="1"/>
    <col min="13915" max="13915" width="36.5703125" style="125" customWidth="1"/>
    <col min="13916" max="13928" width="36.85546875" style="125" customWidth="1"/>
    <col min="13929" max="13929" width="36.5703125" style="125" customWidth="1"/>
    <col min="13930" max="13932" width="36.85546875" style="125" customWidth="1"/>
    <col min="13933" max="13933" width="36.5703125" style="125" customWidth="1"/>
    <col min="13934" max="13941" width="36.85546875" style="125" customWidth="1"/>
    <col min="13942" max="13942" width="36.5703125" style="125" customWidth="1"/>
    <col min="13943" max="14080" width="36.85546875" style="125"/>
    <col min="14081" max="14081" width="18.5703125" style="125" customWidth="1"/>
    <col min="14082" max="14090" width="31.42578125" style="125" customWidth="1"/>
    <col min="14091" max="14107" width="36.85546875" style="125" customWidth="1"/>
    <col min="14108" max="14108" width="37" style="125" customWidth="1"/>
    <col min="14109" max="14124" width="36.85546875" style="125" customWidth="1"/>
    <col min="14125" max="14125" width="37.140625" style="125" customWidth="1"/>
    <col min="14126" max="14127" width="36.85546875" style="125" customWidth="1"/>
    <col min="14128" max="14128" width="36.5703125" style="125" customWidth="1"/>
    <col min="14129" max="14130" width="36.85546875" style="125" customWidth="1"/>
    <col min="14131" max="14131" width="36.5703125" style="125" customWidth="1"/>
    <col min="14132" max="14132" width="37" style="125" customWidth="1"/>
    <col min="14133" max="14151" width="36.85546875" style="125" customWidth="1"/>
    <col min="14152" max="14152" width="37" style="125" customWidth="1"/>
    <col min="14153" max="14170" width="36.85546875" style="125" customWidth="1"/>
    <col min="14171" max="14171" width="36.5703125" style="125" customWidth="1"/>
    <col min="14172" max="14184" width="36.85546875" style="125" customWidth="1"/>
    <col min="14185" max="14185" width="36.5703125" style="125" customWidth="1"/>
    <col min="14186" max="14188" width="36.85546875" style="125" customWidth="1"/>
    <col min="14189" max="14189" width="36.5703125" style="125" customWidth="1"/>
    <col min="14190" max="14197" width="36.85546875" style="125" customWidth="1"/>
    <col min="14198" max="14198" width="36.5703125" style="125" customWidth="1"/>
    <col min="14199" max="14336" width="36.85546875" style="125"/>
    <col min="14337" max="14337" width="18.5703125" style="125" customWidth="1"/>
    <col min="14338" max="14346" width="31.42578125" style="125" customWidth="1"/>
    <col min="14347" max="14363" width="36.85546875" style="125" customWidth="1"/>
    <col min="14364" max="14364" width="37" style="125" customWidth="1"/>
    <col min="14365" max="14380" width="36.85546875" style="125" customWidth="1"/>
    <col min="14381" max="14381" width="37.140625" style="125" customWidth="1"/>
    <col min="14382" max="14383" width="36.85546875" style="125" customWidth="1"/>
    <col min="14384" max="14384" width="36.5703125" style="125" customWidth="1"/>
    <col min="14385" max="14386" width="36.85546875" style="125" customWidth="1"/>
    <col min="14387" max="14387" width="36.5703125" style="125" customWidth="1"/>
    <col min="14388" max="14388" width="37" style="125" customWidth="1"/>
    <col min="14389" max="14407" width="36.85546875" style="125" customWidth="1"/>
    <col min="14408" max="14408" width="37" style="125" customWidth="1"/>
    <col min="14409" max="14426" width="36.85546875" style="125" customWidth="1"/>
    <col min="14427" max="14427" width="36.5703125" style="125" customWidth="1"/>
    <col min="14428" max="14440" width="36.85546875" style="125" customWidth="1"/>
    <col min="14441" max="14441" width="36.5703125" style="125" customWidth="1"/>
    <col min="14442" max="14444" width="36.85546875" style="125" customWidth="1"/>
    <col min="14445" max="14445" width="36.5703125" style="125" customWidth="1"/>
    <col min="14446" max="14453" width="36.85546875" style="125" customWidth="1"/>
    <col min="14454" max="14454" width="36.5703125" style="125" customWidth="1"/>
    <col min="14455" max="14592" width="36.85546875" style="125"/>
    <col min="14593" max="14593" width="18.5703125" style="125" customWidth="1"/>
    <col min="14594" max="14602" width="31.42578125" style="125" customWidth="1"/>
    <col min="14603" max="14619" width="36.85546875" style="125" customWidth="1"/>
    <col min="14620" max="14620" width="37" style="125" customWidth="1"/>
    <col min="14621" max="14636" width="36.85546875" style="125" customWidth="1"/>
    <col min="14637" max="14637" width="37.140625" style="125" customWidth="1"/>
    <col min="14638" max="14639" width="36.85546875" style="125" customWidth="1"/>
    <col min="14640" max="14640" width="36.5703125" style="125" customWidth="1"/>
    <col min="14641" max="14642" width="36.85546875" style="125" customWidth="1"/>
    <col min="14643" max="14643" width="36.5703125" style="125" customWidth="1"/>
    <col min="14644" max="14644" width="37" style="125" customWidth="1"/>
    <col min="14645" max="14663" width="36.85546875" style="125" customWidth="1"/>
    <col min="14664" max="14664" width="37" style="125" customWidth="1"/>
    <col min="14665" max="14682" width="36.85546875" style="125" customWidth="1"/>
    <col min="14683" max="14683" width="36.5703125" style="125" customWidth="1"/>
    <col min="14684" max="14696" width="36.85546875" style="125" customWidth="1"/>
    <col min="14697" max="14697" width="36.5703125" style="125" customWidth="1"/>
    <col min="14698" max="14700" width="36.85546875" style="125" customWidth="1"/>
    <col min="14701" max="14701" width="36.5703125" style="125" customWidth="1"/>
    <col min="14702" max="14709" width="36.85546875" style="125" customWidth="1"/>
    <col min="14710" max="14710" width="36.5703125" style="125" customWidth="1"/>
    <col min="14711" max="14848" width="36.85546875" style="125"/>
    <col min="14849" max="14849" width="18.5703125" style="125" customWidth="1"/>
    <col min="14850" max="14858" width="31.42578125" style="125" customWidth="1"/>
    <col min="14859" max="14875" width="36.85546875" style="125" customWidth="1"/>
    <col min="14876" max="14876" width="37" style="125" customWidth="1"/>
    <col min="14877" max="14892" width="36.85546875" style="125" customWidth="1"/>
    <col min="14893" max="14893" width="37.140625" style="125" customWidth="1"/>
    <col min="14894" max="14895" width="36.85546875" style="125" customWidth="1"/>
    <col min="14896" max="14896" width="36.5703125" style="125" customWidth="1"/>
    <col min="14897" max="14898" width="36.85546875" style="125" customWidth="1"/>
    <col min="14899" max="14899" width="36.5703125" style="125" customWidth="1"/>
    <col min="14900" max="14900" width="37" style="125" customWidth="1"/>
    <col min="14901" max="14919" width="36.85546875" style="125" customWidth="1"/>
    <col min="14920" max="14920" width="37" style="125" customWidth="1"/>
    <col min="14921" max="14938" width="36.85546875" style="125" customWidth="1"/>
    <col min="14939" max="14939" width="36.5703125" style="125" customWidth="1"/>
    <col min="14940" max="14952" width="36.85546875" style="125" customWidth="1"/>
    <col min="14953" max="14953" width="36.5703125" style="125" customWidth="1"/>
    <col min="14954" max="14956" width="36.85546875" style="125" customWidth="1"/>
    <col min="14957" max="14957" width="36.5703125" style="125" customWidth="1"/>
    <col min="14958" max="14965" width="36.85546875" style="125" customWidth="1"/>
    <col min="14966" max="14966" width="36.5703125" style="125" customWidth="1"/>
    <col min="14967" max="15104" width="36.85546875" style="125"/>
    <col min="15105" max="15105" width="18.5703125" style="125" customWidth="1"/>
    <col min="15106" max="15114" width="31.42578125" style="125" customWidth="1"/>
    <col min="15115" max="15131" width="36.85546875" style="125" customWidth="1"/>
    <col min="15132" max="15132" width="37" style="125" customWidth="1"/>
    <col min="15133" max="15148" width="36.85546875" style="125" customWidth="1"/>
    <col min="15149" max="15149" width="37.140625" style="125" customWidth="1"/>
    <col min="15150" max="15151" width="36.85546875" style="125" customWidth="1"/>
    <col min="15152" max="15152" width="36.5703125" style="125" customWidth="1"/>
    <col min="15153" max="15154" width="36.85546875" style="125" customWidth="1"/>
    <col min="15155" max="15155" width="36.5703125" style="125" customWidth="1"/>
    <col min="15156" max="15156" width="37" style="125" customWidth="1"/>
    <col min="15157" max="15175" width="36.85546875" style="125" customWidth="1"/>
    <col min="15176" max="15176" width="37" style="125" customWidth="1"/>
    <col min="15177" max="15194" width="36.85546875" style="125" customWidth="1"/>
    <col min="15195" max="15195" width="36.5703125" style="125" customWidth="1"/>
    <col min="15196" max="15208" width="36.85546875" style="125" customWidth="1"/>
    <col min="15209" max="15209" width="36.5703125" style="125" customWidth="1"/>
    <col min="15210" max="15212" width="36.85546875" style="125" customWidth="1"/>
    <col min="15213" max="15213" width="36.5703125" style="125" customWidth="1"/>
    <col min="15214" max="15221" width="36.85546875" style="125" customWidth="1"/>
    <col min="15222" max="15222" width="36.5703125" style="125" customWidth="1"/>
    <col min="15223" max="15360" width="36.85546875" style="125"/>
    <col min="15361" max="15361" width="18.5703125" style="125" customWidth="1"/>
    <col min="15362" max="15370" width="31.42578125" style="125" customWidth="1"/>
    <col min="15371" max="15387" width="36.85546875" style="125" customWidth="1"/>
    <col min="15388" max="15388" width="37" style="125" customWidth="1"/>
    <col min="15389" max="15404" width="36.85546875" style="125" customWidth="1"/>
    <col min="15405" max="15405" width="37.140625" style="125" customWidth="1"/>
    <col min="15406" max="15407" width="36.85546875" style="125" customWidth="1"/>
    <col min="15408" max="15408" width="36.5703125" style="125" customWidth="1"/>
    <col min="15409" max="15410" width="36.85546875" style="125" customWidth="1"/>
    <col min="15411" max="15411" width="36.5703125" style="125" customWidth="1"/>
    <col min="15412" max="15412" width="37" style="125" customWidth="1"/>
    <col min="15413" max="15431" width="36.85546875" style="125" customWidth="1"/>
    <col min="15432" max="15432" width="37" style="125" customWidth="1"/>
    <col min="15433" max="15450" width="36.85546875" style="125" customWidth="1"/>
    <col min="15451" max="15451" width="36.5703125" style="125" customWidth="1"/>
    <col min="15452" max="15464" width="36.85546875" style="125" customWidth="1"/>
    <col min="15465" max="15465" width="36.5703125" style="125" customWidth="1"/>
    <col min="15466" max="15468" width="36.85546875" style="125" customWidth="1"/>
    <col min="15469" max="15469" width="36.5703125" style="125" customWidth="1"/>
    <col min="15470" max="15477" width="36.85546875" style="125" customWidth="1"/>
    <col min="15478" max="15478" width="36.5703125" style="125" customWidth="1"/>
    <col min="15479" max="15616" width="36.85546875" style="125"/>
    <col min="15617" max="15617" width="18.5703125" style="125" customWidth="1"/>
    <col min="15618" max="15626" width="31.42578125" style="125" customWidth="1"/>
    <col min="15627" max="15643" width="36.85546875" style="125" customWidth="1"/>
    <col min="15644" max="15644" width="37" style="125" customWidth="1"/>
    <col min="15645" max="15660" width="36.85546875" style="125" customWidth="1"/>
    <col min="15661" max="15661" width="37.140625" style="125" customWidth="1"/>
    <col min="15662" max="15663" width="36.85546875" style="125" customWidth="1"/>
    <col min="15664" max="15664" width="36.5703125" style="125" customWidth="1"/>
    <col min="15665" max="15666" width="36.85546875" style="125" customWidth="1"/>
    <col min="15667" max="15667" width="36.5703125" style="125" customWidth="1"/>
    <col min="15668" max="15668" width="37" style="125" customWidth="1"/>
    <col min="15669" max="15687" width="36.85546875" style="125" customWidth="1"/>
    <col min="15688" max="15688" width="37" style="125" customWidth="1"/>
    <col min="15689" max="15706" width="36.85546875" style="125" customWidth="1"/>
    <col min="15707" max="15707" width="36.5703125" style="125" customWidth="1"/>
    <col min="15708" max="15720" width="36.85546875" style="125" customWidth="1"/>
    <col min="15721" max="15721" width="36.5703125" style="125" customWidth="1"/>
    <col min="15722" max="15724" width="36.85546875" style="125" customWidth="1"/>
    <col min="15725" max="15725" width="36.5703125" style="125" customWidth="1"/>
    <col min="15726" max="15733" width="36.85546875" style="125" customWidth="1"/>
    <col min="15734" max="15734" width="36.5703125" style="125" customWidth="1"/>
    <col min="15735" max="15872" width="36.85546875" style="125"/>
    <col min="15873" max="15873" width="18.5703125" style="125" customWidth="1"/>
    <col min="15874" max="15882" width="31.42578125" style="125" customWidth="1"/>
    <col min="15883" max="15899" width="36.85546875" style="125" customWidth="1"/>
    <col min="15900" max="15900" width="37" style="125" customWidth="1"/>
    <col min="15901" max="15916" width="36.85546875" style="125" customWidth="1"/>
    <col min="15917" max="15917" width="37.140625" style="125" customWidth="1"/>
    <col min="15918" max="15919" width="36.85546875" style="125" customWidth="1"/>
    <col min="15920" max="15920" width="36.5703125" style="125" customWidth="1"/>
    <col min="15921" max="15922" width="36.85546875" style="125" customWidth="1"/>
    <col min="15923" max="15923" width="36.5703125" style="125" customWidth="1"/>
    <col min="15924" max="15924" width="37" style="125" customWidth="1"/>
    <col min="15925" max="15943" width="36.85546875" style="125" customWidth="1"/>
    <col min="15944" max="15944" width="37" style="125" customWidth="1"/>
    <col min="15945" max="15962" width="36.85546875" style="125" customWidth="1"/>
    <col min="15963" max="15963" width="36.5703125" style="125" customWidth="1"/>
    <col min="15964" max="15976" width="36.85546875" style="125" customWidth="1"/>
    <col min="15977" max="15977" width="36.5703125" style="125" customWidth="1"/>
    <col min="15978" max="15980" width="36.85546875" style="125" customWidth="1"/>
    <col min="15981" max="15981" width="36.5703125" style="125" customWidth="1"/>
    <col min="15982" max="15989" width="36.85546875" style="125" customWidth="1"/>
    <col min="15990" max="15990" width="36.5703125" style="125" customWidth="1"/>
    <col min="15991" max="16128" width="36.85546875" style="125"/>
    <col min="16129" max="16129" width="18.5703125" style="125" customWidth="1"/>
    <col min="16130" max="16138" width="31.42578125" style="125" customWidth="1"/>
    <col min="16139" max="16155" width="36.85546875" style="125" customWidth="1"/>
    <col min="16156" max="16156" width="37" style="125" customWidth="1"/>
    <col min="16157" max="16172" width="36.85546875" style="125" customWidth="1"/>
    <col min="16173" max="16173" width="37.140625" style="125" customWidth="1"/>
    <col min="16174" max="16175" width="36.85546875" style="125" customWidth="1"/>
    <col min="16176" max="16176" width="36.5703125" style="125" customWidth="1"/>
    <col min="16177" max="16178" width="36.85546875" style="125" customWidth="1"/>
    <col min="16179" max="16179" width="36.5703125" style="125" customWidth="1"/>
    <col min="16180" max="16180" width="37" style="125" customWidth="1"/>
    <col min="16181" max="16199" width="36.85546875" style="125" customWidth="1"/>
    <col min="16200" max="16200" width="37" style="125" customWidth="1"/>
    <col min="16201" max="16218" width="36.85546875" style="125" customWidth="1"/>
    <col min="16219" max="16219" width="36.5703125" style="125" customWidth="1"/>
    <col min="16220" max="16232" width="36.85546875" style="125" customWidth="1"/>
    <col min="16233" max="16233" width="36.5703125" style="125" customWidth="1"/>
    <col min="16234" max="16236" width="36.85546875" style="125" customWidth="1"/>
    <col min="16237" max="16237" width="36.5703125" style="125" customWidth="1"/>
    <col min="16238" max="16245" width="36.85546875" style="125" customWidth="1"/>
    <col min="16246" max="16246" width="36.5703125" style="125" customWidth="1"/>
    <col min="16247" max="16384" width="36.85546875" style="125"/>
  </cols>
  <sheetData>
    <row r="1" spans="1:245" s="73" customFormat="1" ht="12.75" customHeight="1" x14ac:dyDescent="0.25">
      <c r="A1" s="69" t="s">
        <v>110</v>
      </c>
      <c r="B1" s="70"/>
      <c r="C1" s="71"/>
      <c r="D1" s="71"/>
      <c r="E1" s="71"/>
      <c r="F1" s="71"/>
      <c r="G1" s="71"/>
      <c r="H1" s="71"/>
      <c r="I1" s="71"/>
      <c r="J1" s="71"/>
      <c r="K1" s="72"/>
      <c r="L1" s="72"/>
      <c r="M1" s="72"/>
      <c r="N1" s="72"/>
      <c r="O1" s="72"/>
      <c r="P1" s="72"/>
      <c r="Q1" s="72"/>
      <c r="R1" s="72"/>
      <c r="S1" s="72"/>
      <c r="T1" s="72"/>
      <c r="U1" s="72"/>
      <c r="V1" s="72"/>
      <c r="W1" s="72"/>
      <c r="X1" s="72"/>
      <c r="Y1" s="72"/>
      <c r="Z1" s="72"/>
      <c r="AA1" s="72"/>
      <c r="AB1" s="72"/>
      <c r="AC1" s="72"/>
      <c r="AD1" s="72"/>
      <c r="AE1" s="72"/>
      <c r="AF1" s="72"/>
      <c r="AG1" s="72"/>
      <c r="AH1" s="72"/>
      <c r="AI1" s="72"/>
    </row>
    <row r="2" spans="1:245" s="77" customFormat="1" ht="12.75" customHeight="1" x14ac:dyDescent="0.25">
      <c r="A2" s="74" t="s">
        <v>111</v>
      </c>
      <c r="B2" s="75">
        <v>1</v>
      </c>
      <c r="C2" s="75">
        <v>2</v>
      </c>
      <c r="D2" s="75">
        <v>3</v>
      </c>
      <c r="E2" s="75">
        <v>4</v>
      </c>
      <c r="F2" s="75">
        <v>5</v>
      </c>
      <c r="G2" s="75">
        <v>6</v>
      </c>
      <c r="H2" s="75">
        <v>7</v>
      </c>
      <c r="I2" s="75">
        <v>8</v>
      </c>
      <c r="J2" s="75">
        <v>9</v>
      </c>
      <c r="K2" s="75"/>
      <c r="L2" s="75"/>
      <c r="M2" s="75"/>
      <c r="N2" s="75"/>
      <c r="O2" s="75"/>
      <c r="P2" s="75"/>
      <c r="Q2" s="75"/>
      <c r="R2" s="75"/>
      <c r="S2" s="75"/>
      <c r="T2" s="75"/>
      <c r="U2" s="75"/>
      <c r="V2" s="75"/>
      <c r="W2" s="75"/>
      <c r="X2" s="75"/>
      <c r="Y2" s="75"/>
      <c r="Z2" s="75"/>
      <c r="AA2" s="75"/>
      <c r="AB2" s="75"/>
      <c r="AC2" s="75"/>
      <c r="AD2" s="75"/>
      <c r="AE2" s="75"/>
      <c r="AF2" s="75"/>
      <c r="AG2" s="75"/>
      <c r="AH2" s="75"/>
      <c r="AI2" s="75"/>
      <c r="AJ2" s="76"/>
      <c r="AK2" s="76" t="str">
        <f t="shared" ref="AK2:CV2" si="0">IF(AK3="","",AJ2+1)</f>
        <v/>
      </c>
      <c r="AL2" s="76" t="str">
        <f t="shared" si="0"/>
        <v/>
      </c>
      <c r="AM2" s="76" t="str">
        <f t="shared" si="0"/>
        <v/>
      </c>
      <c r="AN2" s="76" t="str">
        <f t="shared" si="0"/>
        <v/>
      </c>
      <c r="AO2" s="76" t="str">
        <f t="shared" si="0"/>
        <v/>
      </c>
      <c r="AP2" s="76" t="str">
        <f t="shared" si="0"/>
        <v/>
      </c>
      <c r="AQ2" s="76" t="str">
        <f t="shared" si="0"/>
        <v/>
      </c>
      <c r="AR2" s="76" t="str">
        <f t="shared" si="0"/>
        <v/>
      </c>
      <c r="AS2" s="76" t="str">
        <f t="shared" si="0"/>
        <v/>
      </c>
      <c r="AT2" s="76" t="str">
        <f t="shared" si="0"/>
        <v/>
      </c>
      <c r="AU2" s="76" t="str">
        <f t="shared" si="0"/>
        <v/>
      </c>
      <c r="AV2" s="76" t="str">
        <f t="shared" si="0"/>
        <v/>
      </c>
      <c r="AW2" s="76" t="str">
        <f t="shared" si="0"/>
        <v/>
      </c>
      <c r="AX2" s="76" t="str">
        <f t="shared" si="0"/>
        <v/>
      </c>
      <c r="AY2" s="76" t="str">
        <f t="shared" si="0"/>
        <v/>
      </c>
      <c r="AZ2" s="76" t="str">
        <f t="shared" si="0"/>
        <v/>
      </c>
      <c r="BA2" s="76" t="str">
        <f t="shared" si="0"/>
        <v/>
      </c>
      <c r="BB2" s="76" t="str">
        <f t="shared" si="0"/>
        <v/>
      </c>
      <c r="BC2" s="76" t="str">
        <f t="shared" si="0"/>
        <v/>
      </c>
      <c r="BD2" s="76" t="str">
        <f t="shared" si="0"/>
        <v/>
      </c>
      <c r="BE2" s="76" t="str">
        <f t="shared" si="0"/>
        <v/>
      </c>
      <c r="BF2" s="76" t="str">
        <f t="shared" si="0"/>
        <v/>
      </c>
      <c r="BG2" s="76" t="str">
        <f t="shared" si="0"/>
        <v/>
      </c>
      <c r="BH2" s="76" t="str">
        <f t="shared" si="0"/>
        <v/>
      </c>
      <c r="BI2" s="76" t="str">
        <f t="shared" si="0"/>
        <v/>
      </c>
      <c r="BJ2" s="76" t="str">
        <f t="shared" si="0"/>
        <v/>
      </c>
      <c r="BK2" s="76" t="str">
        <f t="shared" si="0"/>
        <v/>
      </c>
      <c r="BL2" s="76" t="str">
        <f t="shared" si="0"/>
        <v/>
      </c>
      <c r="BM2" s="76" t="str">
        <f t="shared" si="0"/>
        <v/>
      </c>
      <c r="BN2" s="76" t="str">
        <f t="shared" si="0"/>
        <v/>
      </c>
      <c r="BO2" s="76" t="str">
        <f t="shared" si="0"/>
        <v/>
      </c>
      <c r="BP2" s="76" t="str">
        <f t="shared" si="0"/>
        <v/>
      </c>
      <c r="BQ2" s="76" t="str">
        <f t="shared" si="0"/>
        <v/>
      </c>
      <c r="BR2" s="76" t="str">
        <f t="shared" si="0"/>
        <v/>
      </c>
      <c r="BS2" s="76" t="str">
        <f t="shared" si="0"/>
        <v/>
      </c>
      <c r="BT2" s="76" t="str">
        <f t="shared" si="0"/>
        <v/>
      </c>
      <c r="BU2" s="76" t="str">
        <f t="shared" si="0"/>
        <v/>
      </c>
      <c r="BV2" s="76" t="str">
        <f t="shared" si="0"/>
        <v/>
      </c>
      <c r="BW2" s="76" t="str">
        <f t="shared" si="0"/>
        <v/>
      </c>
      <c r="BX2" s="76" t="str">
        <f t="shared" si="0"/>
        <v/>
      </c>
      <c r="BY2" s="76" t="str">
        <f t="shared" si="0"/>
        <v/>
      </c>
      <c r="BZ2" s="76" t="str">
        <f t="shared" si="0"/>
        <v/>
      </c>
      <c r="CA2" s="76" t="str">
        <f t="shared" si="0"/>
        <v/>
      </c>
      <c r="CB2" s="76" t="str">
        <f t="shared" si="0"/>
        <v/>
      </c>
      <c r="CC2" s="76" t="str">
        <f t="shared" si="0"/>
        <v/>
      </c>
      <c r="CD2" s="76" t="str">
        <f t="shared" si="0"/>
        <v/>
      </c>
      <c r="CE2" s="76" t="str">
        <f t="shared" si="0"/>
        <v/>
      </c>
      <c r="CF2" s="76" t="str">
        <f t="shared" si="0"/>
        <v/>
      </c>
      <c r="CG2" s="76" t="str">
        <f t="shared" si="0"/>
        <v/>
      </c>
      <c r="CH2" s="76" t="str">
        <f t="shared" si="0"/>
        <v/>
      </c>
      <c r="CI2" s="76" t="str">
        <f t="shared" si="0"/>
        <v/>
      </c>
      <c r="CJ2" s="76" t="str">
        <f t="shared" si="0"/>
        <v/>
      </c>
      <c r="CK2" s="76" t="str">
        <f t="shared" si="0"/>
        <v/>
      </c>
      <c r="CL2" s="76" t="str">
        <f t="shared" si="0"/>
        <v/>
      </c>
      <c r="CM2" s="76" t="str">
        <f t="shared" si="0"/>
        <v/>
      </c>
      <c r="CN2" s="76" t="str">
        <f t="shared" si="0"/>
        <v/>
      </c>
      <c r="CO2" s="76" t="str">
        <f t="shared" si="0"/>
        <v/>
      </c>
      <c r="CP2" s="76" t="str">
        <f t="shared" si="0"/>
        <v/>
      </c>
      <c r="CQ2" s="76" t="str">
        <f t="shared" si="0"/>
        <v/>
      </c>
      <c r="CR2" s="76" t="str">
        <f t="shared" si="0"/>
        <v/>
      </c>
      <c r="CS2" s="76" t="str">
        <f t="shared" si="0"/>
        <v/>
      </c>
      <c r="CT2" s="76" t="str">
        <f t="shared" si="0"/>
        <v/>
      </c>
      <c r="CU2" s="76" t="str">
        <f t="shared" si="0"/>
        <v/>
      </c>
      <c r="CV2" s="76" t="str">
        <f t="shared" si="0"/>
        <v/>
      </c>
      <c r="CW2" s="76" t="str">
        <f t="shared" ref="CW2:FH2" si="1">IF(CW3="","",CV2+1)</f>
        <v/>
      </c>
      <c r="CX2" s="76" t="str">
        <f t="shared" si="1"/>
        <v/>
      </c>
      <c r="CY2" s="76" t="str">
        <f t="shared" si="1"/>
        <v/>
      </c>
      <c r="CZ2" s="76" t="str">
        <f t="shared" si="1"/>
        <v/>
      </c>
      <c r="DA2" s="76" t="str">
        <f t="shared" si="1"/>
        <v/>
      </c>
      <c r="DB2" s="76" t="str">
        <f t="shared" si="1"/>
        <v/>
      </c>
      <c r="DC2" s="76" t="str">
        <f t="shared" si="1"/>
        <v/>
      </c>
      <c r="DD2" s="76" t="str">
        <f t="shared" si="1"/>
        <v/>
      </c>
      <c r="DE2" s="76" t="str">
        <f t="shared" si="1"/>
        <v/>
      </c>
      <c r="DF2" s="76" t="str">
        <f t="shared" si="1"/>
        <v/>
      </c>
      <c r="DG2" s="76" t="str">
        <f t="shared" si="1"/>
        <v/>
      </c>
      <c r="DH2" s="76" t="str">
        <f t="shared" si="1"/>
        <v/>
      </c>
      <c r="DI2" s="76" t="str">
        <f t="shared" si="1"/>
        <v/>
      </c>
      <c r="DJ2" s="76" t="str">
        <f t="shared" si="1"/>
        <v/>
      </c>
      <c r="DK2" s="76" t="str">
        <f t="shared" si="1"/>
        <v/>
      </c>
      <c r="DL2" s="76" t="str">
        <f t="shared" si="1"/>
        <v/>
      </c>
      <c r="DM2" s="76" t="str">
        <f t="shared" si="1"/>
        <v/>
      </c>
      <c r="DN2" s="76" t="str">
        <f t="shared" si="1"/>
        <v/>
      </c>
      <c r="DO2" s="76" t="str">
        <f t="shared" si="1"/>
        <v/>
      </c>
      <c r="DP2" s="76" t="str">
        <f t="shared" si="1"/>
        <v/>
      </c>
      <c r="DQ2" s="76" t="str">
        <f t="shared" si="1"/>
        <v/>
      </c>
      <c r="DR2" s="76" t="str">
        <f t="shared" si="1"/>
        <v/>
      </c>
      <c r="DS2" s="76" t="str">
        <f t="shared" si="1"/>
        <v/>
      </c>
      <c r="DT2" s="76" t="str">
        <f t="shared" si="1"/>
        <v/>
      </c>
      <c r="DU2" s="76" t="str">
        <f t="shared" si="1"/>
        <v/>
      </c>
      <c r="DV2" s="76" t="str">
        <f t="shared" si="1"/>
        <v/>
      </c>
      <c r="DW2" s="76" t="str">
        <f t="shared" si="1"/>
        <v/>
      </c>
      <c r="DX2" s="76" t="str">
        <f t="shared" si="1"/>
        <v/>
      </c>
      <c r="DY2" s="76" t="str">
        <f t="shared" si="1"/>
        <v/>
      </c>
      <c r="DZ2" s="76" t="str">
        <f t="shared" si="1"/>
        <v/>
      </c>
      <c r="EA2" s="76" t="str">
        <f t="shared" si="1"/>
        <v/>
      </c>
      <c r="EB2" s="76" t="str">
        <f t="shared" si="1"/>
        <v/>
      </c>
      <c r="EC2" s="76" t="str">
        <f t="shared" si="1"/>
        <v/>
      </c>
      <c r="ED2" s="76" t="str">
        <f t="shared" si="1"/>
        <v/>
      </c>
      <c r="EE2" s="76" t="str">
        <f t="shared" si="1"/>
        <v/>
      </c>
      <c r="EF2" s="76" t="str">
        <f t="shared" si="1"/>
        <v/>
      </c>
      <c r="EG2" s="76" t="str">
        <f t="shared" si="1"/>
        <v/>
      </c>
      <c r="EH2" s="76" t="str">
        <f t="shared" si="1"/>
        <v/>
      </c>
      <c r="EI2" s="76" t="str">
        <f t="shared" si="1"/>
        <v/>
      </c>
      <c r="EJ2" s="76" t="str">
        <f t="shared" si="1"/>
        <v/>
      </c>
      <c r="EK2" s="76" t="str">
        <f t="shared" si="1"/>
        <v/>
      </c>
      <c r="EL2" s="76" t="str">
        <f t="shared" si="1"/>
        <v/>
      </c>
      <c r="EM2" s="76" t="str">
        <f t="shared" si="1"/>
        <v/>
      </c>
      <c r="EN2" s="76" t="str">
        <f t="shared" si="1"/>
        <v/>
      </c>
      <c r="EO2" s="76" t="str">
        <f t="shared" si="1"/>
        <v/>
      </c>
      <c r="EP2" s="76" t="str">
        <f t="shared" si="1"/>
        <v/>
      </c>
      <c r="EQ2" s="76" t="str">
        <f t="shared" si="1"/>
        <v/>
      </c>
      <c r="ER2" s="76" t="str">
        <f t="shared" si="1"/>
        <v/>
      </c>
      <c r="ES2" s="76" t="str">
        <f t="shared" si="1"/>
        <v/>
      </c>
      <c r="ET2" s="76" t="str">
        <f t="shared" si="1"/>
        <v/>
      </c>
      <c r="EU2" s="76" t="str">
        <f t="shared" si="1"/>
        <v/>
      </c>
      <c r="EV2" s="76" t="str">
        <f t="shared" si="1"/>
        <v/>
      </c>
      <c r="EW2" s="76" t="str">
        <f t="shared" si="1"/>
        <v/>
      </c>
      <c r="EX2" s="76" t="str">
        <f t="shared" si="1"/>
        <v/>
      </c>
      <c r="EY2" s="76" t="str">
        <f t="shared" si="1"/>
        <v/>
      </c>
      <c r="EZ2" s="76" t="str">
        <f t="shared" si="1"/>
        <v/>
      </c>
      <c r="FA2" s="76" t="str">
        <f t="shared" si="1"/>
        <v/>
      </c>
      <c r="FB2" s="76" t="str">
        <f t="shared" si="1"/>
        <v/>
      </c>
      <c r="FC2" s="76" t="str">
        <f t="shared" si="1"/>
        <v/>
      </c>
      <c r="FD2" s="76" t="str">
        <f t="shared" si="1"/>
        <v/>
      </c>
      <c r="FE2" s="76" t="str">
        <f t="shared" si="1"/>
        <v/>
      </c>
      <c r="FF2" s="76" t="str">
        <f t="shared" si="1"/>
        <v/>
      </c>
      <c r="FG2" s="76" t="str">
        <f t="shared" si="1"/>
        <v/>
      </c>
      <c r="FH2" s="76" t="str">
        <f t="shared" si="1"/>
        <v/>
      </c>
      <c r="FI2" s="76" t="str">
        <f t="shared" ref="FI2:HT2" si="2">IF(FI3="","",FH2+1)</f>
        <v/>
      </c>
      <c r="FJ2" s="76" t="str">
        <f t="shared" si="2"/>
        <v/>
      </c>
      <c r="FK2" s="76" t="str">
        <f t="shared" si="2"/>
        <v/>
      </c>
      <c r="FL2" s="76" t="str">
        <f t="shared" si="2"/>
        <v/>
      </c>
      <c r="FM2" s="76" t="str">
        <f t="shared" si="2"/>
        <v/>
      </c>
      <c r="FN2" s="76" t="str">
        <f t="shared" si="2"/>
        <v/>
      </c>
      <c r="FO2" s="76" t="str">
        <f t="shared" si="2"/>
        <v/>
      </c>
      <c r="FP2" s="76" t="str">
        <f t="shared" si="2"/>
        <v/>
      </c>
      <c r="FQ2" s="76" t="str">
        <f t="shared" si="2"/>
        <v/>
      </c>
      <c r="FR2" s="76" t="str">
        <f t="shared" si="2"/>
        <v/>
      </c>
      <c r="FS2" s="76" t="str">
        <f t="shared" si="2"/>
        <v/>
      </c>
      <c r="FT2" s="76" t="str">
        <f t="shared" si="2"/>
        <v/>
      </c>
      <c r="FU2" s="76" t="str">
        <f t="shared" si="2"/>
        <v/>
      </c>
      <c r="FV2" s="76" t="str">
        <f t="shared" si="2"/>
        <v/>
      </c>
      <c r="FW2" s="76" t="str">
        <f t="shared" si="2"/>
        <v/>
      </c>
      <c r="FX2" s="76" t="str">
        <f t="shared" si="2"/>
        <v/>
      </c>
      <c r="FY2" s="76" t="str">
        <f t="shared" si="2"/>
        <v/>
      </c>
      <c r="FZ2" s="76" t="str">
        <f t="shared" si="2"/>
        <v/>
      </c>
      <c r="GA2" s="76" t="str">
        <f t="shared" si="2"/>
        <v/>
      </c>
      <c r="GB2" s="76" t="str">
        <f t="shared" si="2"/>
        <v/>
      </c>
      <c r="GC2" s="76" t="str">
        <f t="shared" si="2"/>
        <v/>
      </c>
      <c r="GD2" s="76" t="str">
        <f t="shared" si="2"/>
        <v/>
      </c>
      <c r="GE2" s="76" t="str">
        <f t="shared" si="2"/>
        <v/>
      </c>
      <c r="GF2" s="76" t="str">
        <f t="shared" si="2"/>
        <v/>
      </c>
      <c r="GG2" s="76" t="str">
        <f t="shared" si="2"/>
        <v/>
      </c>
      <c r="GH2" s="76" t="str">
        <f t="shared" si="2"/>
        <v/>
      </c>
      <c r="GI2" s="76" t="str">
        <f t="shared" si="2"/>
        <v/>
      </c>
      <c r="GJ2" s="76" t="str">
        <f t="shared" si="2"/>
        <v/>
      </c>
      <c r="GK2" s="76" t="str">
        <f t="shared" si="2"/>
        <v/>
      </c>
      <c r="GL2" s="76" t="str">
        <f t="shared" si="2"/>
        <v/>
      </c>
      <c r="GM2" s="76" t="str">
        <f t="shared" si="2"/>
        <v/>
      </c>
      <c r="GN2" s="76" t="str">
        <f t="shared" si="2"/>
        <v/>
      </c>
      <c r="GO2" s="76" t="str">
        <f t="shared" si="2"/>
        <v/>
      </c>
      <c r="GP2" s="76" t="str">
        <f t="shared" si="2"/>
        <v/>
      </c>
      <c r="GQ2" s="76" t="str">
        <f t="shared" si="2"/>
        <v/>
      </c>
      <c r="GR2" s="76" t="str">
        <f t="shared" si="2"/>
        <v/>
      </c>
      <c r="GS2" s="76" t="str">
        <f t="shared" si="2"/>
        <v/>
      </c>
      <c r="GT2" s="76" t="str">
        <f t="shared" si="2"/>
        <v/>
      </c>
      <c r="GU2" s="76" t="str">
        <f t="shared" si="2"/>
        <v/>
      </c>
      <c r="GV2" s="76" t="str">
        <f t="shared" si="2"/>
        <v/>
      </c>
      <c r="GW2" s="76" t="str">
        <f t="shared" si="2"/>
        <v/>
      </c>
      <c r="GX2" s="76" t="str">
        <f t="shared" si="2"/>
        <v/>
      </c>
      <c r="GY2" s="76" t="str">
        <f t="shared" si="2"/>
        <v/>
      </c>
      <c r="GZ2" s="76" t="str">
        <f t="shared" si="2"/>
        <v/>
      </c>
      <c r="HA2" s="76" t="str">
        <f t="shared" si="2"/>
        <v/>
      </c>
      <c r="HB2" s="76" t="str">
        <f t="shared" si="2"/>
        <v/>
      </c>
      <c r="HC2" s="76" t="str">
        <f t="shared" si="2"/>
        <v/>
      </c>
      <c r="HD2" s="76" t="str">
        <f t="shared" si="2"/>
        <v/>
      </c>
      <c r="HE2" s="76" t="str">
        <f t="shared" si="2"/>
        <v/>
      </c>
      <c r="HF2" s="76" t="str">
        <f t="shared" si="2"/>
        <v/>
      </c>
      <c r="HG2" s="76" t="str">
        <f t="shared" si="2"/>
        <v/>
      </c>
      <c r="HH2" s="76" t="str">
        <f t="shared" si="2"/>
        <v/>
      </c>
      <c r="HI2" s="76" t="str">
        <f t="shared" si="2"/>
        <v/>
      </c>
      <c r="HJ2" s="76" t="str">
        <f t="shared" si="2"/>
        <v/>
      </c>
      <c r="HK2" s="76" t="str">
        <f t="shared" si="2"/>
        <v/>
      </c>
      <c r="HL2" s="76" t="str">
        <f t="shared" si="2"/>
        <v/>
      </c>
      <c r="HM2" s="76" t="str">
        <f t="shared" si="2"/>
        <v/>
      </c>
      <c r="HN2" s="76" t="str">
        <f t="shared" si="2"/>
        <v/>
      </c>
      <c r="HO2" s="76" t="str">
        <f t="shared" si="2"/>
        <v/>
      </c>
      <c r="HP2" s="76" t="str">
        <f t="shared" si="2"/>
        <v/>
      </c>
      <c r="HQ2" s="76" t="str">
        <f t="shared" si="2"/>
        <v/>
      </c>
      <c r="HR2" s="76" t="str">
        <f t="shared" si="2"/>
        <v/>
      </c>
      <c r="HS2" s="76" t="str">
        <f t="shared" si="2"/>
        <v/>
      </c>
      <c r="HT2" s="76" t="str">
        <f t="shared" si="2"/>
        <v/>
      </c>
      <c r="HU2" s="76" t="str">
        <f t="shared" ref="HU2:IK2" si="3">IF(HU3="","",HT2+1)</f>
        <v/>
      </c>
      <c r="HV2" s="76" t="str">
        <f t="shared" si="3"/>
        <v/>
      </c>
      <c r="HW2" s="76" t="str">
        <f t="shared" si="3"/>
        <v/>
      </c>
      <c r="HX2" s="76" t="str">
        <f t="shared" si="3"/>
        <v/>
      </c>
      <c r="HY2" s="76" t="str">
        <f t="shared" si="3"/>
        <v/>
      </c>
      <c r="HZ2" s="76" t="str">
        <f t="shared" si="3"/>
        <v/>
      </c>
      <c r="IA2" s="76" t="str">
        <f t="shared" si="3"/>
        <v/>
      </c>
      <c r="IB2" s="76" t="str">
        <f t="shared" si="3"/>
        <v/>
      </c>
      <c r="IC2" s="76" t="str">
        <f t="shared" si="3"/>
        <v/>
      </c>
      <c r="ID2" s="76" t="str">
        <f t="shared" si="3"/>
        <v/>
      </c>
      <c r="IE2" s="76" t="str">
        <f t="shared" si="3"/>
        <v/>
      </c>
      <c r="IF2" s="76" t="str">
        <f t="shared" si="3"/>
        <v/>
      </c>
      <c r="IG2" s="76" t="str">
        <f t="shared" si="3"/>
        <v/>
      </c>
      <c r="IH2" s="76" t="str">
        <f t="shared" si="3"/>
        <v/>
      </c>
      <c r="II2" s="76" t="str">
        <f t="shared" si="3"/>
        <v/>
      </c>
      <c r="IJ2" s="76" t="str">
        <f t="shared" si="3"/>
        <v/>
      </c>
      <c r="IK2" s="76" t="str">
        <f t="shared" si="3"/>
        <v/>
      </c>
    </row>
    <row r="3" spans="1:245" s="82" customFormat="1" x14ac:dyDescent="0.2">
      <c r="A3" s="78" t="s">
        <v>112</v>
      </c>
      <c r="B3" s="80" t="s">
        <v>142</v>
      </c>
      <c r="C3" s="276" t="s">
        <v>142</v>
      </c>
      <c r="D3" s="276" t="s">
        <v>142</v>
      </c>
      <c r="E3" s="276" t="s">
        <v>142</v>
      </c>
      <c r="F3" s="276" t="s">
        <v>142</v>
      </c>
      <c r="G3" s="276" t="s">
        <v>142</v>
      </c>
      <c r="H3" s="276" t="s">
        <v>142</v>
      </c>
      <c r="I3" s="79" t="s">
        <v>2229</v>
      </c>
      <c r="J3" s="79"/>
      <c r="K3" s="80"/>
      <c r="L3" s="80"/>
      <c r="M3" s="80"/>
      <c r="N3" s="80"/>
      <c r="O3" s="80"/>
      <c r="P3" s="80"/>
      <c r="Q3" s="80"/>
      <c r="R3" s="80"/>
      <c r="S3" s="80"/>
      <c r="T3" s="80"/>
      <c r="U3" s="80"/>
      <c r="V3" s="80"/>
      <c r="W3" s="80"/>
      <c r="X3" s="80"/>
      <c r="Y3" s="80"/>
      <c r="Z3" s="80"/>
      <c r="AA3" s="80"/>
      <c r="AB3" s="80"/>
      <c r="AC3" s="80"/>
      <c r="AD3" s="80"/>
      <c r="AE3" s="80"/>
      <c r="AF3" s="80"/>
      <c r="AG3" s="80"/>
      <c r="AH3" s="80"/>
      <c r="AI3" s="80"/>
      <c r="GC3" s="83"/>
      <c r="GD3" s="83"/>
      <c r="GE3" s="83"/>
      <c r="GF3" s="83"/>
      <c r="GG3" s="83"/>
      <c r="GH3" s="83"/>
      <c r="GI3" s="83"/>
      <c r="GJ3" s="83"/>
      <c r="GK3" s="83"/>
      <c r="GL3" s="83"/>
      <c r="GM3" s="83"/>
      <c r="GN3" s="83"/>
      <c r="GO3" s="83"/>
      <c r="GP3" s="83"/>
      <c r="GQ3" s="83"/>
      <c r="GR3" s="83"/>
      <c r="GS3" s="83"/>
      <c r="GT3" s="83"/>
      <c r="GU3" s="83"/>
      <c r="GV3" s="83"/>
      <c r="GW3" s="83"/>
      <c r="GX3" s="83"/>
      <c r="GY3" s="83"/>
      <c r="GZ3" s="83"/>
      <c r="HA3" s="83"/>
      <c r="HB3" s="83"/>
    </row>
    <row r="4" spans="1:245" s="82" customFormat="1" ht="38.25" x14ac:dyDescent="0.2">
      <c r="A4" s="78" t="s">
        <v>113</v>
      </c>
      <c r="B4" s="79" t="s">
        <v>601</v>
      </c>
      <c r="C4" s="79" t="s">
        <v>607</v>
      </c>
      <c r="D4" s="79" t="s">
        <v>983</v>
      </c>
      <c r="E4" s="79" t="s">
        <v>1189</v>
      </c>
      <c r="F4" s="81" t="s">
        <v>984</v>
      </c>
      <c r="G4" s="79" t="s">
        <v>995</v>
      </c>
      <c r="H4" s="79" t="s">
        <v>2027</v>
      </c>
      <c r="I4" s="79" t="s">
        <v>2230</v>
      </c>
      <c r="J4" s="79"/>
      <c r="K4" s="80"/>
      <c r="L4" s="79"/>
      <c r="M4" s="79"/>
      <c r="N4" s="79"/>
      <c r="O4" s="80"/>
      <c r="P4" s="80"/>
      <c r="Q4" s="79"/>
      <c r="R4" s="79"/>
      <c r="S4" s="79"/>
      <c r="T4" s="79"/>
      <c r="U4" s="79"/>
      <c r="V4" s="79"/>
      <c r="W4" s="79"/>
      <c r="X4" s="84"/>
      <c r="Y4" s="79"/>
      <c r="Z4" s="80"/>
      <c r="AA4" s="79"/>
      <c r="AB4" s="79"/>
      <c r="AC4" s="80"/>
      <c r="AD4" s="80"/>
      <c r="AE4" s="80"/>
      <c r="AF4" s="80"/>
      <c r="AG4" s="80"/>
      <c r="AH4" s="80"/>
      <c r="AI4" s="80"/>
      <c r="AQ4" s="85"/>
      <c r="AR4" s="85"/>
      <c r="AS4" s="85"/>
      <c r="AT4" s="85"/>
      <c r="AU4" s="85"/>
      <c r="AV4" s="85"/>
      <c r="AW4" s="85"/>
      <c r="GA4" s="83"/>
      <c r="GC4" s="83"/>
      <c r="GD4" s="83"/>
      <c r="GE4" s="83"/>
      <c r="GF4" s="83"/>
      <c r="GG4" s="83"/>
      <c r="GH4" s="83"/>
      <c r="GI4" s="83"/>
      <c r="GJ4" s="83"/>
      <c r="GK4" s="83"/>
      <c r="GL4" s="83"/>
      <c r="GM4" s="83"/>
      <c r="GN4" s="83"/>
      <c r="GO4" s="83"/>
      <c r="GP4" s="83"/>
      <c r="GQ4" s="83"/>
      <c r="GR4" s="83"/>
      <c r="GS4" s="83"/>
      <c r="GT4" s="83"/>
      <c r="GU4" s="83"/>
      <c r="GV4" s="83"/>
      <c r="GW4" s="83"/>
      <c r="GX4" s="83"/>
      <c r="GY4" s="83"/>
      <c r="GZ4" s="83"/>
      <c r="HA4" s="83"/>
      <c r="HB4" s="83"/>
    </row>
    <row r="5" spans="1:245" s="90" customFormat="1" x14ac:dyDescent="0.2">
      <c r="A5" s="86" t="s">
        <v>114</v>
      </c>
      <c r="B5" s="87" t="s">
        <v>450</v>
      </c>
      <c r="C5" s="87" t="s">
        <v>450</v>
      </c>
      <c r="D5" s="87" t="s">
        <v>975</v>
      </c>
      <c r="E5" s="88" t="s">
        <v>972</v>
      </c>
      <c r="F5" s="89" t="s">
        <v>985</v>
      </c>
      <c r="G5" s="87" t="s">
        <v>994</v>
      </c>
      <c r="H5" s="87" t="s">
        <v>2028</v>
      </c>
      <c r="I5" s="87" t="s">
        <v>450</v>
      </c>
      <c r="J5" s="87"/>
      <c r="K5" s="87"/>
      <c r="L5" s="88"/>
      <c r="M5" s="87"/>
      <c r="N5" s="88"/>
      <c r="O5" s="88"/>
      <c r="P5" s="88"/>
      <c r="Q5" s="87"/>
      <c r="R5" s="88"/>
      <c r="S5" s="87"/>
      <c r="T5" s="88"/>
      <c r="U5" s="87"/>
      <c r="V5" s="88"/>
      <c r="W5" s="87"/>
      <c r="X5" s="88"/>
      <c r="Y5" s="87"/>
      <c r="Z5" s="87"/>
      <c r="AA5" s="88"/>
      <c r="AB5" s="88"/>
      <c r="AC5" s="88"/>
      <c r="AD5" s="88"/>
      <c r="AE5" s="88"/>
      <c r="AF5" s="88"/>
      <c r="AG5" s="88"/>
      <c r="AH5" s="88"/>
      <c r="AI5" s="88"/>
      <c r="DO5" s="91"/>
      <c r="GC5" s="92"/>
      <c r="GD5" s="92"/>
      <c r="GE5" s="92"/>
      <c r="GF5" s="92"/>
      <c r="GG5" s="92"/>
      <c r="GH5" s="92"/>
      <c r="GI5" s="92"/>
      <c r="GJ5" s="92"/>
      <c r="GK5" s="92"/>
      <c r="GL5" s="92"/>
      <c r="GM5" s="92"/>
      <c r="GN5" s="92"/>
      <c r="GO5" s="92"/>
      <c r="GP5" s="92"/>
      <c r="GQ5" s="92"/>
      <c r="GR5" s="92"/>
      <c r="GS5" s="92"/>
      <c r="GT5" s="92"/>
      <c r="GU5" s="92"/>
      <c r="GV5" s="92"/>
      <c r="GW5" s="93"/>
      <c r="GX5" s="92"/>
      <c r="GY5" s="92"/>
      <c r="GZ5" s="92"/>
      <c r="HA5" s="92"/>
      <c r="HB5" s="92"/>
    </row>
    <row r="6" spans="1:245" s="90" customFormat="1" x14ac:dyDescent="0.2">
      <c r="A6" s="86" t="s">
        <v>115</v>
      </c>
      <c r="B6" s="88"/>
      <c r="C6" s="87"/>
      <c r="D6" s="88"/>
      <c r="E6" s="88"/>
      <c r="F6" s="89"/>
      <c r="G6" s="87"/>
      <c r="H6" s="87"/>
      <c r="I6" s="87"/>
      <c r="J6" s="87"/>
      <c r="K6" s="88"/>
      <c r="L6" s="88"/>
      <c r="M6" s="88"/>
      <c r="N6" s="88"/>
      <c r="O6" s="88"/>
      <c r="P6" s="88"/>
      <c r="Q6" s="88"/>
      <c r="R6" s="88"/>
      <c r="S6" s="88"/>
      <c r="T6" s="88"/>
      <c r="U6" s="88"/>
      <c r="V6" s="88"/>
      <c r="W6" s="88"/>
      <c r="X6" s="88"/>
      <c r="Y6" s="88"/>
      <c r="Z6" s="88"/>
      <c r="AA6" s="88"/>
      <c r="AB6" s="88"/>
      <c r="AC6" s="88"/>
      <c r="AD6" s="88"/>
      <c r="AE6" s="88"/>
      <c r="AF6" s="88"/>
      <c r="AG6" s="88"/>
      <c r="AH6" s="88"/>
      <c r="AI6" s="88"/>
      <c r="GC6" s="92"/>
      <c r="GD6" s="92"/>
      <c r="GE6" s="92"/>
      <c r="GF6" s="92"/>
      <c r="GG6" s="92"/>
      <c r="GH6" s="92"/>
      <c r="GI6" s="92"/>
      <c r="GJ6" s="92"/>
      <c r="GK6" s="92"/>
      <c r="GL6" s="92"/>
      <c r="GM6" s="92"/>
      <c r="GN6" s="92"/>
      <c r="GO6" s="92"/>
      <c r="GP6" s="92"/>
      <c r="GQ6" s="92"/>
      <c r="GR6" s="92"/>
      <c r="GS6" s="92"/>
      <c r="GT6" s="92"/>
      <c r="GU6" s="92"/>
      <c r="GV6" s="92"/>
      <c r="GW6" s="92"/>
      <c r="GX6" s="92"/>
      <c r="GY6" s="92"/>
      <c r="GZ6" s="92"/>
      <c r="HA6" s="92"/>
      <c r="HB6" s="92"/>
    </row>
    <row r="7" spans="1:245" s="97" customFormat="1" x14ac:dyDescent="0.2">
      <c r="A7" s="78" t="s">
        <v>116</v>
      </c>
      <c r="B7" s="94" t="s">
        <v>603</v>
      </c>
      <c r="C7" s="94" t="s">
        <v>602</v>
      </c>
      <c r="D7" s="94" t="s">
        <v>454</v>
      </c>
      <c r="E7" s="95" t="s">
        <v>602</v>
      </c>
      <c r="F7" s="96" t="s">
        <v>603</v>
      </c>
      <c r="G7" s="94" t="s">
        <v>604</v>
      </c>
      <c r="H7" s="94" t="s">
        <v>603</v>
      </c>
      <c r="I7" s="94" t="s">
        <v>603</v>
      </c>
      <c r="J7" s="94"/>
      <c r="K7" s="95"/>
      <c r="L7" s="95"/>
      <c r="M7" s="94"/>
      <c r="N7" s="95"/>
      <c r="O7" s="95"/>
      <c r="P7" s="95"/>
      <c r="Q7" s="94"/>
      <c r="R7" s="95"/>
      <c r="S7" s="94"/>
      <c r="T7" s="95"/>
      <c r="U7" s="95"/>
      <c r="V7" s="95"/>
      <c r="W7" s="95"/>
      <c r="X7" s="95"/>
      <c r="Y7" s="95"/>
      <c r="Z7" s="95"/>
      <c r="AA7" s="95"/>
      <c r="AB7" s="95"/>
      <c r="AC7" s="95"/>
      <c r="AD7" s="95"/>
      <c r="AE7" s="95"/>
      <c r="AF7" s="95"/>
      <c r="AG7" s="95"/>
      <c r="AH7" s="95"/>
      <c r="AI7" s="95"/>
      <c r="GC7" s="98"/>
      <c r="GD7" s="98"/>
      <c r="GE7" s="98"/>
      <c r="GF7" s="98"/>
      <c r="GG7" s="98"/>
      <c r="GH7" s="98"/>
      <c r="GI7" s="98"/>
      <c r="GJ7" s="98"/>
      <c r="GK7" s="98"/>
      <c r="GL7" s="98"/>
      <c r="GM7" s="98"/>
      <c r="GN7" s="98"/>
      <c r="GO7" s="98"/>
      <c r="GP7" s="98"/>
      <c r="GQ7" s="98"/>
      <c r="GR7" s="98"/>
      <c r="GS7" s="98"/>
      <c r="GT7" s="98"/>
      <c r="GU7" s="98"/>
      <c r="GV7" s="98"/>
      <c r="GW7" s="98"/>
      <c r="GX7" s="98"/>
      <c r="GY7" s="98"/>
      <c r="GZ7" s="98"/>
      <c r="HA7" s="98"/>
      <c r="HB7" s="98"/>
    </row>
    <row r="8" spans="1:245" s="97" customFormat="1" x14ac:dyDescent="0.2">
      <c r="A8" s="78" t="s">
        <v>117</v>
      </c>
      <c r="B8" s="95"/>
      <c r="C8" s="94"/>
      <c r="D8" s="95"/>
      <c r="E8" s="95"/>
      <c r="F8" s="96"/>
      <c r="G8" s="94"/>
      <c r="H8" s="94"/>
      <c r="I8" s="94"/>
      <c r="J8" s="94"/>
      <c r="K8" s="95"/>
      <c r="L8" s="95"/>
      <c r="M8" s="95"/>
      <c r="N8" s="94"/>
      <c r="O8" s="95"/>
      <c r="P8" s="95"/>
      <c r="Q8" s="95"/>
      <c r="R8" s="95"/>
      <c r="S8" s="94"/>
      <c r="T8" s="95"/>
      <c r="U8" s="95"/>
      <c r="V8" s="95"/>
      <c r="W8" s="95"/>
      <c r="X8" s="95"/>
      <c r="Y8" s="95"/>
      <c r="Z8" s="95"/>
      <c r="AA8" s="95"/>
      <c r="AB8" s="95"/>
      <c r="AC8" s="95"/>
      <c r="AD8" s="95"/>
      <c r="AE8" s="95"/>
      <c r="AF8" s="95"/>
      <c r="AG8" s="95"/>
      <c r="AH8" s="95"/>
      <c r="AI8" s="95"/>
      <c r="GC8" s="98"/>
      <c r="GD8" s="98"/>
      <c r="GE8" s="98"/>
      <c r="GF8" s="98"/>
      <c r="GG8" s="98"/>
      <c r="GH8" s="98"/>
      <c r="GI8" s="98"/>
      <c r="GJ8" s="98"/>
      <c r="GK8" s="98"/>
      <c r="GL8" s="98"/>
      <c r="GM8" s="98"/>
      <c r="GN8" s="98"/>
      <c r="GO8" s="98"/>
      <c r="GP8" s="98"/>
      <c r="GQ8" s="98"/>
      <c r="GR8" s="98"/>
      <c r="GS8" s="98"/>
      <c r="GT8" s="98"/>
      <c r="GU8" s="98"/>
      <c r="GV8" s="98"/>
      <c r="GW8" s="98"/>
      <c r="GX8" s="98"/>
      <c r="GY8" s="98"/>
      <c r="GZ8" s="98"/>
      <c r="HA8" s="98"/>
      <c r="HB8" s="98"/>
    </row>
    <row r="9" spans="1:245" s="90" customFormat="1" x14ac:dyDescent="0.2">
      <c r="A9" s="86" t="s">
        <v>118</v>
      </c>
      <c r="B9" s="99" t="s">
        <v>451</v>
      </c>
      <c r="C9" s="99" t="s">
        <v>451</v>
      </c>
      <c r="D9" s="99"/>
      <c r="E9" s="99" t="s">
        <v>451</v>
      </c>
      <c r="F9" s="89" t="s">
        <v>986</v>
      </c>
      <c r="G9" s="87"/>
      <c r="H9" s="87" t="s">
        <v>2030</v>
      </c>
      <c r="I9" s="87"/>
      <c r="J9" s="87"/>
      <c r="K9" s="88"/>
      <c r="L9" s="87"/>
      <c r="M9" s="87"/>
      <c r="N9" s="88"/>
      <c r="O9" s="88"/>
      <c r="P9" s="88"/>
      <c r="Q9" s="99"/>
      <c r="R9" s="88"/>
      <c r="S9" s="87"/>
      <c r="T9" s="87"/>
      <c r="U9" s="87"/>
      <c r="V9" s="88"/>
      <c r="W9" s="88"/>
      <c r="X9" s="88"/>
      <c r="Y9" s="88"/>
      <c r="Z9" s="88"/>
      <c r="AA9" s="88"/>
      <c r="AB9" s="88"/>
      <c r="AC9" s="88"/>
      <c r="AD9" s="88"/>
      <c r="AE9" s="88"/>
      <c r="AF9" s="88"/>
      <c r="AG9" s="88"/>
      <c r="AH9" s="88"/>
      <c r="AI9" s="88"/>
      <c r="AY9" s="91"/>
      <c r="GC9" s="92"/>
      <c r="GD9" s="92"/>
      <c r="GE9" s="92"/>
      <c r="GF9" s="92"/>
      <c r="GG9" s="92"/>
      <c r="GH9" s="92"/>
      <c r="GI9" s="92"/>
      <c r="GJ9" s="92"/>
      <c r="GK9" s="92"/>
      <c r="GL9" s="92"/>
      <c r="GM9" s="92"/>
      <c r="GN9" s="92"/>
      <c r="GO9" s="92"/>
      <c r="GP9" s="92"/>
      <c r="GQ9" s="92"/>
      <c r="GR9" s="92"/>
      <c r="GS9" s="92"/>
      <c r="GT9" s="92"/>
      <c r="GU9" s="92"/>
      <c r="GV9" s="92"/>
      <c r="GW9" s="92"/>
      <c r="GX9" s="92"/>
      <c r="GY9" s="92"/>
      <c r="GZ9" s="92"/>
      <c r="HA9" s="92"/>
      <c r="HB9" s="92"/>
    </row>
    <row r="10" spans="1:245" s="90" customFormat="1" ht="25.5" x14ac:dyDescent="0.2">
      <c r="A10" s="86" t="s">
        <v>119</v>
      </c>
      <c r="B10" s="87" t="s">
        <v>452</v>
      </c>
      <c r="C10" s="87" t="s">
        <v>452</v>
      </c>
      <c r="D10" s="87" t="s">
        <v>974</v>
      </c>
      <c r="E10" s="87" t="s">
        <v>973</v>
      </c>
      <c r="F10" s="89" t="s">
        <v>987</v>
      </c>
      <c r="G10" s="87" t="s">
        <v>998</v>
      </c>
      <c r="H10" s="87" t="s">
        <v>2029</v>
      </c>
      <c r="I10" s="87"/>
      <c r="J10" s="87"/>
      <c r="K10" s="88"/>
      <c r="L10" s="88"/>
      <c r="M10" s="88"/>
      <c r="N10" s="88"/>
      <c r="O10" s="88"/>
      <c r="P10" s="88"/>
      <c r="Q10" s="87"/>
      <c r="R10" s="88"/>
      <c r="S10" s="88"/>
      <c r="T10" s="88"/>
      <c r="U10" s="88"/>
      <c r="V10" s="88"/>
      <c r="W10" s="88"/>
      <c r="X10" s="88"/>
      <c r="Y10" s="88"/>
      <c r="Z10" s="88"/>
      <c r="AA10" s="88"/>
      <c r="AB10" s="88"/>
      <c r="AC10" s="88"/>
      <c r="AD10" s="88"/>
      <c r="AE10" s="88"/>
      <c r="AF10" s="88"/>
      <c r="AG10" s="88"/>
      <c r="AH10" s="88"/>
      <c r="AI10" s="88"/>
      <c r="GC10" s="92"/>
      <c r="GD10" s="92"/>
      <c r="GE10" s="92"/>
      <c r="GF10" s="92"/>
      <c r="GG10" s="92"/>
      <c r="GH10" s="92"/>
      <c r="GI10" s="92"/>
      <c r="GJ10" s="92"/>
      <c r="GK10" s="92"/>
      <c r="GL10" s="92"/>
      <c r="GM10" s="92"/>
      <c r="GN10" s="92"/>
      <c r="GO10" s="92"/>
      <c r="GP10" s="92"/>
      <c r="GQ10" s="92"/>
      <c r="GR10" s="92"/>
      <c r="GS10" s="92"/>
      <c r="GT10" s="92"/>
      <c r="GU10" s="92"/>
      <c r="GV10" s="92"/>
      <c r="GW10" s="92"/>
      <c r="GX10" s="92"/>
      <c r="GY10" s="92"/>
      <c r="GZ10" s="92"/>
      <c r="HA10" s="92"/>
      <c r="HB10" s="92"/>
    </row>
    <row r="11" spans="1:245" s="97" customFormat="1" x14ac:dyDescent="0.2">
      <c r="A11" s="78" t="s">
        <v>120</v>
      </c>
      <c r="B11" s="95"/>
      <c r="C11" s="94"/>
      <c r="D11" s="95"/>
      <c r="E11" s="95"/>
      <c r="F11" s="96"/>
      <c r="G11" s="94"/>
      <c r="H11" s="94"/>
      <c r="I11" s="94"/>
      <c r="J11" s="94"/>
      <c r="K11" s="95"/>
      <c r="L11" s="95"/>
      <c r="M11" s="95"/>
      <c r="N11" s="95"/>
      <c r="O11" s="95"/>
      <c r="P11" s="95"/>
      <c r="Q11" s="95"/>
      <c r="R11" s="95"/>
      <c r="S11" s="94"/>
      <c r="T11" s="95"/>
      <c r="U11" s="95"/>
      <c r="V11" s="95"/>
      <c r="W11" s="95"/>
      <c r="X11" s="94"/>
      <c r="Y11" s="95"/>
      <c r="Z11" s="95"/>
      <c r="AA11" s="95"/>
      <c r="AB11" s="95"/>
      <c r="AC11" s="95"/>
      <c r="AD11" s="95"/>
      <c r="AE11" s="95"/>
      <c r="AF11" s="95"/>
      <c r="AG11" s="95"/>
      <c r="AH11" s="95"/>
      <c r="AI11" s="95"/>
      <c r="GC11" s="98"/>
      <c r="GD11" s="98"/>
      <c r="GE11" s="98"/>
      <c r="GF11" s="98"/>
      <c r="GG11" s="98"/>
      <c r="GH11" s="98"/>
      <c r="GI11" s="98"/>
      <c r="GJ11" s="98"/>
      <c r="GK11" s="98"/>
      <c r="GL11" s="98"/>
      <c r="GM11" s="98"/>
      <c r="GN11" s="98"/>
      <c r="GO11" s="98"/>
      <c r="GP11" s="98"/>
      <c r="GQ11" s="98"/>
      <c r="GR11" s="98"/>
      <c r="GS11" s="98"/>
      <c r="GT11" s="98"/>
      <c r="GU11" s="98"/>
      <c r="GV11" s="98"/>
      <c r="GW11" s="98"/>
      <c r="GX11" s="98"/>
      <c r="GY11" s="98"/>
      <c r="GZ11" s="98"/>
      <c r="HA11" s="98"/>
      <c r="HB11" s="98"/>
    </row>
    <row r="12" spans="1:245" s="97" customFormat="1" ht="25.5" x14ac:dyDescent="0.2">
      <c r="A12" s="78" t="s">
        <v>121</v>
      </c>
      <c r="B12" s="95"/>
      <c r="C12" s="94"/>
      <c r="D12" s="95"/>
      <c r="E12" s="95"/>
      <c r="F12" s="96"/>
      <c r="G12" s="94" t="s">
        <v>1190</v>
      </c>
      <c r="H12" s="94" t="s">
        <v>2031</v>
      </c>
      <c r="I12" s="94"/>
      <c r="J12" s="94"/>
      <c r="K12" s="95"/>
      <c r="L12" s="95"/>
      <c r="M12" s="95"/>
      <c r="N12" s="95"/>
      <c r="O12" s="95"/>
      <c r="P12" s="95"/>
      <c r="Q12" s="95"/>
      <c r="R12" s="95"/>
      <c r="S12" s="94"/>
      <c r="T12" s="95"/>
      <c r="U12" s="95"/>
      <c r="V12" s="95"/>
      <c r="W12" s="95"/>
      <c r="X12" s="94"/>
      <c r="Y12" s="95"/>
      <c r="Z12" s="95"/>
      <c r="AA12" s="95"/>
      <c r="AB12" s="95"/>
      <c r="AC12" s="95"/>
      <c r="AD12" s="95"/>
      <c r="AE12" s="95"/>
      <c r="AF12" s="95"/>
      <c r="AG12" s="95"/>
      <c r="AH12" s="95"/>
      <c r="AI12" s="95"/>
      <c r="GC12" s="98"/>
      <c r="GD12" s="98"/>
      <c r="GE12" s="98"/>
      <c r="GF12" s="98"/>
      <c r="GG12" s="98"/>
      <c r="GH12" s="98"/>
      <c r="GI12" s="98"/>
      <c r="GJ12" s="98"/>
      <c r="GK12" s="98"/>
      <c r="GL12" s="98"/>
      <c r="GM12" s="98"/>
      <c r="GN12" s="98"/>
      <c r="GO12" s="98"/>
      <c r="GP12" s="98"/>
      <c r="GQ12" s="98"/>
      <c r="GR12" s="98"/>
      <c r="GS12" s="98"/>
      <c r="GT12" s="98"/>
      <c r="GU12" s="98"/>
      <c r="GV12" s="98"/>
      <c r="GW12" s="98"/>
      <c r="GX12" s="98"/>
      <c r="GY12" s="98"/>
      <c r="GZ12" s="98"/>
      <c r="HA12" s="98"/>
      <c r="HB12" s="98"/>
    </row>
    <row r="13" spans="1:245" s="90" customFormat="1" x14ac:dyDescent="0.2">
      <c r="A13" s="86" t="s">
        <v>122</v>
      </c>
      <c r="B13" s="88"/>
      <c r="C13" s="87"/>
      <c r="D13" s="88"/>
      <c r="E13" s="88"/>
      <c r="F13" s="89"/>
      <c r="G13" s="87"/>
      <c r="H13" s="87"/>
      <c r="I13" s="87"/>
      <c r="J13" s="87"/>
      <c r="K13" s="88"/>
      <c r="L13" s="88"/>
      <c r="M13" s="88"/>
      <c r="N13" s="88"/>
      <c r="O13" s="88"/>
      <c r="P13" s="88"/>
      <c r="Q13" s="88"/>
      <c r="R13" s="88"/>
      <c r="S13" s="88"/>
      <c r="T13" s="88"/>
      <c r="U13" s="88"/>
      <c r="V13" s="88"/>
      <c r="W13" s="88"/>
      <c r="X13" s="88"/>
      <c r="Y13" s="88"/>
      <c r="Z13" s="88"/>
      <c r="AA13" s="88"/>
      <c r="AB13" s="88"/>
      <c r="AC13" s="88"/>
      <c r="AD13" s="88"/>
      <c r="AE13" s="88"/>
      <c r="AF13" s="88"/>
      <c r="AG13" s="88"/>
      <c r="AH13" s="88"/>
      <c r="AI13" s="88"/>
      <c r="GC13" s="92"/>
      <c r="GD13" s="92"/>
      <c r="GE13" s="92"/>
      <c r="GF13" s="92"/>
      <c r="GG13" s="92"/>
      <c r="GH13" s="92"/>
      <c r="GI13" s="92"/>
      <c r="GJ13" s="92"/>
      <c r="GK13" s="92"/>
      <c r="GL13" s="92"/>
      <c r="GM13" s="92"/>
      <c r="GN13" s="92"/>
      <c r="GO13" s="92"/>
      <c r="GP13" s="92"/>
      <c r="GQ13" s="92"/>
      <c r="GR13" s="92"/>
      <c r="GS13" s="92"/>
      <c r="GT13" s="92"/>
      <c r="GU13" s="92"/>
      <c r="GV13" s="92"/>
      <c r="GW13" s="92"/>
      <c r="GX13" s="92"/>
      <c r="GY13" s="92"/>
      <c r="GZ13" s="92"/>
      <c r="HA13" s="92"/>
      <c r="HB13" s="92"/>
    </row>
    <row r="14" spans="1:245" s="90" customFormat="1" x14ac:dyDescent="0.2">
      <c r="A14" s="86" t="s">
        <v>123</v>
      </c>
      <c r="B14" s="88"/>
      <c r="C14" s="87"/>
      <c r="D14" s="88"/>
      <c r="E14" s="88"/>
      <c r="F14" s="89"/>
      <c r="G14" s="87"/>
      <c r="H14" s="87"/>
      <c r="I14" s="87"/>
      <c r="J14" s="87"/>
      <c r="K14" s="88"/>
      <c r="L14" s="88"/>
      <c r="M14" s="88"/>
      <c r="N14" s="87"/>
      <c r="O14" s="88"/>
      <c r="P14" s="88"/>
      <c r="Q14" s="88"/>
      <c r="R14" s="88"/>
      <c r="S14" s="88"/>
      <c r="T14" s="88"/>
      <c r="U14" s="88"/>
      <c r="V14" s="88"/>
      <c r="W14" s="88"/>
      <c r="X14" s="88"/>
      <c r="Y14" s="88"/>
      <c r="Z14" s="88"/>
      <c r="AA14" s="88"/>
      <c r="AB14" s="88"/>
      <c r="AC14" s="88"/>
      <c r="AD14" s="88"/>
      <c r="AE14" s="88"/>
      <c r="AF14" s="88"/>
      <c r="AG14" s="88"/>
      <c r="AH14" s="88"/>
      <c r="AI14" s="88"/>
      <c r="GC14" s="92"/>
      <c r="GD14" s="92"/>
      <c r="GE14" s="92"/>
      <c r="GF14" s="92"/>
      <c r="GG14" s="92"/>
      <c r="GH14" s="92"/>
      <c r="GI14" s="92"/>
      <c r="GJ14" s="92"/>
      <c r="GK14" s="92"/>
      <c r="GL14" s="92"/>
      <c r="GM14" s="92"/>
      <c r="GN14" s="92"/>
      <c r="GO14" s="92"/>
      <c r="GP14" s="92"/>
      <c r="GQ14" s="92"/>
      <c r="GR14" s="92"/>
      <c r="GS14" s="92"/>
      <c r="GT14" s="92"/>
      <c r="GU14" s="92"/>
      <c r="GV14" s="92"/>
      <c r="GW14" s="92"/>
      <c r="GX14" s="92"/>
      <c r="GY14" s="92"/>
      <c r="GZ14" s="92"/>
      <c r="HA14" s="92"/>
      <c r="HB14" s="92"/>
    </row>
    <row r="15" spans="1:245" s="82" customFormat="1" x14ac:dyDescent="0.2">
      <c r="A15" s="78" t="s">
        <v>124</v>
      </c>
      <c r="B15" s="80"/>
      <c r="C15" s="79"/>
      <c r="D15" s="80"/>
      <c r="E15" s="80"/>
      <c r="F15" s="81"/>
      <c r="G15" s="79"/>
      <c r="H15" s="79"/>
      <c r="I15" s="79"/>
      <c r="J15" s="79"/>
      <c r="K15" s="80"/>
      <c r="L15" s="80"/>
      <c r="M15" s="80"/>
      <c r="N15" s="80"/>
      <c r="O15" s="80"/>
      <c r="P15" s="80"/>
      <c r="Q15" s="80"/>
      <c r="R15" s="80"/>
      <c r="S15" s="80"/>
      <c r="T15" s="80"/>
      <c r="U15" s="80"/>
      <c r="V15" s="80"/>
      <c r="W15" s="80"/>
      <c r="X15" s="80"/>
      <c r="Y15" s="80"/>
      <c r="Z15" s="80"/>
      <c r="AA15" s="80"/>
      <c r="AB15" s="80"/>
      <c r="AC15" s="80"/>
      <c r="AD15" s="80"/>
      <c r="AE15" s="80"/>
      <c r="AF15" s="80"/>
      <c r="AG15" s="80"/>
      <c r="AH15" s="80"/>
      <c r="AI15" s="80"/>
      <c r="GC15" s="83"/>
      <c r="GD15" s="83"/>
      <c r="GE15" s="83"/>
      <c r="GF15" s="83"/>
      <c r="GG15" s="83"/>
      <c r="GH15" s="83"/>
      <c r="GI15" s="83"/>
      <c r="GJ15" s="83"/>
      <c r="GK15" s="83"/>
      <c r="GL15" s="83"/>
      <c r="GM15" s="83"/>
      <c r="GN15" s="83"/>
      <c r="GO15" s="83"/>
      <c r="GP15" s="83"/>
      <c r="GQ15" s="83"/>
      <c r="GR15" s="83"/>
      <c r="GS15" s="83"/>
      <c r="GT15" s="83"/>
      <c r="GU15" s="83"/>
      <c r="GV15" s="83"/>
      <c r="GW15" s="83"/>
      <c r="GX15" s="83"/>
      <c r="GY15" s="83"/>
      <c r="GZ15" s="83"/>
      <c r="HA15" s="83"/>
      <c r="HB15" s="83"/>
    </row>
    <row r="16" spans="1:245" s="97" customFormat="1" x14ac:dyDescent="0.2">
      <c r="A16" s="78" t="s">
        <v>125</v>
      </c>
      <c r="B16" s="95"/>
      <c r="C16" s="94"/>
      <c r="D16" s="95"/>
      <c r="E16" s="95"/>
      <c r="F16" s="96"/>
      <c r="G16" s="94"/>
      <c r="H16" s="94"/>
      <c r="I16" s="94"/>
      <c r="J16" s="94"/>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CC16" s="82"/>
      <c r="GC16" s="98"/>
      <c r="GD16" s="98"/>
      <c r="GE16" s="98"/>
      <c r="GF16" s="98"/>
      <c r="GG16" s="98"/>
      <c r="GH16" s="98"/>
      <c r="GI16" s="98"/>
      <c r="GJ16" s="98"/>
      <c r="GK16" s="98"/>
      <c r="GL16" s="98"/>
      <c r="GM16" s="98"/>
      <c r="GN16" s="98"/>
      <c r="GO16" s="98"/>
      <c r="GP16" s="98"/>
      <c r="GQ16" s="98"/>
      <c r="GR16" s="98"/>
      <c r="GS16" s="98"/>
      <c r="GT16" s="98"/>
      <c r="GU16" s="98"/>
      <c r="GV16" s="98"/>
      <c r="GW16" s="98"/>
      <c r="GX16" s="98"/>
      <c r="GY16" s="98"/>
      <c r="GZ16" s="98"/>
      <c r="HA16" s="98"/>
      <c r="HB16" s="98"/>
    </row>
    <row r="17" spans="1:210" s="103" customFormat="1" x14ac:dyDescent="0.2">
      <c r="A17" s="86" t="s">
        <v>126</v>
      </c>
      <c r="B17" s="101"/>
      <c r="C17" s="100"/>
      <c r="D17" s="101"/>
      <c r="E17" s="101"/>
      <c r="F17" s="102"/>
      <c r="G17" s="100"/>
      <c r="H17" s="100"/>
      <c r="I17" s="100"/>
      <c r="J17" s="100"/>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GC17" s="104"/>
      <c r="GD17" s="104"/>
      <c r="GE17" s="104"/>
      <c r="GF17" s="104"/>
      <c r="GG17" s="104"/>
      <c r="GH17" s="104"/>
      <c r="GI17" s="104"/>
      <c r="GJ17" s="104"/>
      <c r="GK17" s="104"/>
      <c r="GL17" s="104"/>
      <c r="GM17" s="104"/>
      <c r="GN17" s="104"/>
      <c r="GO17" s="104"/>
      <c r="GP17" s="104"/>
      <c r="GQ17" s="104"/>
      <c r="GR17" s="104"/>
      <c r="GS17" s="104"/>
      <c r="GT17" s="104"/>
      <c r="GU17" s="104"/>
      <c r="GV17" s="104"/>
      <c r="GW17" s="104"/>
      <c r="GX17" s="104"/>
      <c r="GY17" s="104"/>
      <c r="GZ17" s="104"/>
      <c r="HA17" s="104"/>
      <c r="HB17" s="104"/>
    </row>
    <row r="18" spans="1:210" s="103" customFormat="1" x14ac:dyDescent="0.2">
      <c r="A18" s="86" t="s">
        <v>127</v>
      </c>
      <c r="B18" s="101"/>
      <c r="C18" s="100"/>
      <c r="D18" s="101"/>
      <c r="E18" s="101"/>
      <c r="F18" s="102"/>
      <c r="G18" s="100"/>
      <c r="H18" s="100"/>
      <c r="I18" s="100"/>
      <c r="J18" s="100"/>
      <c r="K18" s="101"/>
      <c r="L18" s="101"/>
      <c r="M18" s="101"/>
      <c r="N18" s="101"/>
      <c r="O18" s="101"/>
      <c r="P18" s="101"/>
      <c r="Q18" s="101"/>
      <c r="R18" s="101"/>
      <c r="S18" s="101"/>
      <c r="T18" s="101"/>
      <c r="U18" s="101"/>
      <c r="V18" s="101"/>
      <c r="W18" s="101"/>
      <c r="X18" s="105"/>
      <c r="Y18" s="101"/>
      <c r="Z18" s="101"/>
      <c r="AA18" s="101"/>
      <c r="AB18" s="101"/>
      <c r="AC18" s="101"/>
      <c r="AD18" s="101"/>
      <c r="AE18" s="101"/>
      <c r="AF18" s="101"/>
      <c r="AG18" s="101"/>
      <c r="AH18" s="101"/>
      <c r="AI18" s="101"/>
      <c r="GC18" s="104"/>
      <c r="GD18" s="104"/>
      <c r="GE18" s="104"/>
      <c r="GF18" s="104"/>
      <c r="GG18" s="104"/>
      <c r="GH18" s="104"/>
      <c r="GI18" s="104"/>
      <c r="GJ18" s="104"/>
      <c r="GK18" s="104"/>
      <c r="GL18" s="104"/>
      <c r="GM18" s="104"/>
      <c r="GN18" s="104"/>
      <c r="GO18" s="104"/>
      <c r="GP18" s="104"/>
      <c r="GQ18" s="104"/>
      <c r="GR18" s="104"/>
      <c r="GS18" s="104"/>
      <c r="GT18" s="104"/>
      <c r="GU18" s="104"/>
      <c r="GV18" s="104"/>
      <c r="GW18" s="104"/>
      <c r="GX18" s="104"/>
      <c r="GY18" s="104"/>
      <c r="GZ18" s="104"/>
      <c r="HA18" s="104"/>
      <c r="HB18" s="104"/>
    </row>
    <row r="19" spans="1:210" s="82" customFormat="1" x14ac:dyDescent="0.2">
      <c r="A19" s="78" t="s">
        <v>128</v>
      </c>
      <c r="B19" s="80"/>
      <c r="C19" s="79"/>
      <c r="D19" s="80"/>
      <c r="E19" s="80"/>
      <c r="F19" s="81"/>
      <c r="G19" s="79"/>
      <c r="H19" s="79"/>
      <c r="I19" s="79"/>
      <c r="J19" s="79"/>
      <c r="K19" s="80"/>
      <c r="L19" s="80"/>
      <c r="M19" s="80"/>
      <c r="N19" s="80"/>
      <c r="O19" s="80"/>
      <c r="P19" s="80"/>
      <c r="Q19" s="80"/>
      <c r="R19" s="80"/>
      <c r="S19" s="80"/>
      <c r="T19" s="80"/>
      <c r="U19" s="80"/>
      <c r="V19" s="80"/>
      <c r="W19" s="80"/>
      <c r="X19" s="80"/>
      <c r="Y19" s="80"/>
      <c r="Z19" s="80"/>
      <c r="AA19" s="80"/>
      <c r="AB19" s="80"/>
      <c r="AC19" s="80"/>
      <c r="AD19" s="80"/>
      <c r="AE19" s="80"/>
      <c r="AF19" s="80"/>
      <c r="AG19" s="80"/>
      <c r="AH19" s="80"/>
      <c r="AI19" s="80"/>
      <c r="GC19" s="83"/>
      <c r="GD19" s="83"/>
      <c r="GE19" s="83"/>
      <c r="GF19" s="83"/>
      <c r="GG19" s="83"/>
      <c r="GH19" s="83"/>
      <c r="GI19" s="83"/>
      <c r="GJ19" s="83"/>
      <c r="GK19" s="83"/>
      <c r="GL19" s="83"/>
      <c r="GM19" s="83"/>
      <c r="GN19" s="83"/>
      <c r="GO19" s="83"/>
      <c r="GP19" s="83"/>
      <c r="GQ19" s="83"/>
      <c r="GR19" s="83"/>
      <c r="GS19" s="83"/>
      <c r="GT19" s="83"/>
      <c r="GU19" s="83"/>
      <c r="GV19" s="83"/>
      <c r="GW19" s="83"/>
      <c r="GX19" s="83"/>
      <c r="GY19" s="83"/>
      <c r="GZ19" s="83"/>
      <c r="HA19" s="83"/>
      <c r="HB19" s="83"/>
    </row>
    <row r="20" spans="1:210" s="110" customFormat="1" ht="15" x14ac:dyDescent="0.25">
      <c r="A20" s="106" t="s">
        <v>129</v>
      </c>
      <c r="B20" s="108" t="s">
        <v>453</v>
      </c>
      <c r="C20" t="s">
        <v>606</v>
      </c>
      <c r="D20" t="s">
        <v>976</v>
      </c>
      <c r="E20" t="s">
        <v>971</v>
      </c>
      <c r="F20" t="s">
        <v>988</v>
      </c>
      <c r="G20" s="107" t="s">
        <v>996</v>
      </c>
      <c r="H20" t="s">
        <v>2032</v>
      </c>
      <c r="I20" s="107" t="s">
        <v>2231</v>
      </c>
      <c r="J20" s="107"/>
      <c r="K20" s="108"/>
      <c r="L20" s="108"/>
      <c r="M20" s="109"/>
      <c r="N20" s="108"/>
      <c r="P20" s="111"/>
      <c r="Q20" s="108"/>
      <c r="R20" s="108"/>
      <c r="T20" s="108"/>
      <c r="U20" s="108"/>
      <c r="V20" s="108"/>
      <c r="W20" s="108"/>
      <c r="X20" s="108"/>
      <c r="Y20" s="108"/>
      <c r="Z20" s="108"/>
      <c r="AA20" s="111"/>
      <c r="AB20" s="111"/>
      <c r="AC20" s="111"/>
      <c r="AD20" s="111"/>
      <c r="AE20" s="111"/>
      <c r="AF20" s="111"/>
      <c r="AG20" s="111"/>
      <c r="AH20" s="111"/>
      <c r="AI20" s="111"/>
      <c r="AJ20" s="111"/>
      <c r="AK20" s="111"/>
      <c r="AL20" s="111"/>
      <c r="AM20" s="111"/>
      <c r="AN20" s="111"/>
      <c r="AO20" s="111"/>
      <c r="AP20" s="111"/>
      <c r="AQ20" s="111"/>
      <c r="AR20" s="111"/>
      <c r="AS20" s="111"/>
      <c r="AU20" s="111"/>
      <c r="AV20" s="111"/>
      <c r="AW20" s="111"/>
      <c r="AX20" s="111"/>
      <c r="AY20" s="111"/>
      <c r="AZ20" s="111"/>
      <c r="BA20" s="111"/>
      <c r="BB20" s="111"/>
      <c r="BC20" s="111"/>
      <c r="BD20" s="111"/>
      <c r="BE20" s="111"/>
      <c r="BF20" s="111"/>
      <c r="BG20" s="111"/>
      <c r="BH20" s="111"/>
      <c r="BI20" s="111"/>
      <c r="BJ20" s="111"/>
      <c r="BK20" s="111"/>
      <c r="BL20" s="111"/>
      <c r="BM20" s="111"/>
      <c r="BN20" s="111"/>
      <c r="BO20" s="111"/>
      <c r="BX20" s="111"/>
      <c r="BY20" s="111"/>
      <c r="BZ20" s="111"/>
      <c r="CA20" s="111"/>
      <c r="CB20" s="111"/>
      <c r="CC20" s="111"/>
      <c r="CD20" s="111"/>
      <c r="CE20" s="111"/>
      <c r="CF20" s="111"/>
      <c r="CG20" s="111"/>
      <c r="CH20" s="111"/>
      <c r="CI20" s="111"/>
      <c r="CK20" s="111"/>
      <c r="CL20" s="111"/>
      <c r="CN20" s="111"/>
      <c r="CO20" s="111"/>
      <c r="CP20" s="111"/>
      <c r="CQ20" s="111"/>
      <c r="CR20" s="111"/>
      <c r="CS20" s="111"/>
      <c r="CT20" s="111"/>
      <c r="CU20" s="111"/>
      <c r="CW20" s="111"/>
      <c r="CX20" s="111"/>
      <c r="CY20" s="111"/>
      <c r="CZ20" s="111"/>
      <c r="DA20" s="111"/>
      <c r="DB20" s="111"/>
      <c r="DC20" s="111"/>
      <c r="DD20" s="111"/>
      <c r="DE20" s="111"/>
      <c r="DF20" s="111"/>
      <c r="DG20" s="111"/>
      <c r="DH20" s="111"/>
      <c r="DI20" s="111"/>
      <c r="DJ20" s="111"/>
      <c r="DK20" s="111"/>
      <c r="DL20" s="111"/>
      <c r="DM20" s="111"/>
      <c r="DN20" s="111"/>
      <c r="DO20" s="111"/>
      <c r="DP20" s="111"/>
      <c r="DQ20" s="111"/>
      <c r="DR20" s="111"/>
      <c r="DS20" s="111"/>
      <c r="DT20" s="111"/>
      <c r="GC20" s="109"/>
      <c r="GE20" s="109"/>
      <c r="GI20" s="109"/>
      <c r="GJ20" s="109"/>
      <c r="GK20" s="109"/>
      <c r="GM20" s="109"/>
      <c r="GN20" s="109"/>
      <c r="GO20" s="109"/>
      <c r="GP20" s="109"/>
      <c r="GQ20" s="109"/>
      <c r="GR20" s="109"/>
      <c r="GS20" s="109"/>
      <c r="GT20" s="109"/>
      <c r="GU20" s="109"/>
      <c r="GV20" s="109"/>
      <c r="GW20" s="109"/>
      <c r="GX20" s="109"/>
      <c r="GY20" s="109"/>
      <c r="GZ20" s="109"/>
      <c r="HA20" s="109"/>
      <c r="HB20" s="109"/>
    </row>
    <row r="21" spans="1:210" s="94" customFormat="1" ht="25.5" x14ac:dyDescent="0.25">
      <c r="A21" s="112" t="s">
        <v>130</v>
      </c>
      <c r="B21" s="114" t="s">
        <v>605</v>
      </c>
      <c r="C21" s="114" t="s">
        <v>605</v>
      </c>
      <c r="D21" s="114" t="s">
        <v>605</v>
      </c>
      <c r="E21" s="114" t="s">
        <v>605</v>
      </c>
      <c r="F21" s="114" t="s">
        <v>605</v>
      </c>
      <c r="G21" s="114" t="s">
        <v>605</v>
      </c>
      <c r="H21" s="113" t="s">
        <v>2033</v>
      </c>
      <c r="I21" s="113" t="s">
        <v>2232</v>
      </c>
      <c r="J21" s="113"/>
      <c r="K21" s="114"/>
      <c r="L21" s="114"/>
      <c r="M21" s="115"/>
      <c r="N21" s="114"/>
      <c r="P21" s="116"/>
      <c r="Q21" s="114"/>
      <c r="R21" s="114"/>
      <c r="T21" s="114"/>
      <c r="U21" s="114"/>
      <c r="V21" s="114"/>
      <c r="W21" s="114"/>
      <c r="X21" s="114"/>
      <c r="Y21" s="114"/>
      <c r="Z21" s="114"/>
      <c r="AA21" s="116"/>
      <c r="AB21" s="116"/>
      <c r="AC21" s="116"/>
      <c r="AD21" s="116"/>
      <c r="AE21" s="116"/>
      <c r="AF21" s="116"/>
      <c r="AG21" s="116"/>
      <c r="AH21" s="116"/>
      <c r="AI21" s="116"/>
      <c r="AJ21" s="116"/>
      <c r="AK21" s="116"/>
      <c r="AL21" s="116"/>
      <c r="AM21" s="116"/>
      <c r="AN21" s="116"/>
      <c r="AO21" s="116"/>
      <c r="AP21" s="116"/>
      <c r="AQ21" s="116"/>
      <c r="AR21" s="116"/>
      <c r="AS21" s="116"/>
      <c r="AU21" s="116"/>
      <c r="AV21" s="116"/>
      <c r="AW21" s="116"/>
      <c r="AX21" s="116"/>
      <c r="AY21" s="116"/>
      <c r="AZ21" s="116"/>
      <c r="BA21" s="116"/>
      <c r="BB21" s="116"/>
      <c r="BC21" s="116"/>
      <c r="BD21" s="116"/>
      <c r="BE21" s="116"/>
      <c r="BF21" s="116"/>
      <c r="BG21" s="116"/>
      <c r="BH21" s="116"/>
      <c r="BI21" s="116"/>
      <c r="BJ21" s="116"/>
      <c r="BK21" s="116"/>
      <c r="BL21" s="116"/>
      <c r="BM21" s="116"/>
      <c r="BN21" s="116"/>
      <c r="BO21" s="116"/>
      <c r="BX21" s="116"/>
      <c r="BY21" s="116"/>
      <c r="BZ21" s="116"/>
      <c r="CA21" s="116"/>
      <c r="CB21" s="116"/>
      <c r="CC21" s="116"/>
      <c r="CD21" s="116"/>
      <c r="CE21" s="116"/>
      <c r="CF21" s="116"/>
      <c r="CG21" s="116"/>
      <c r="CH21" s="116"/>
      <c r="CI21" s="116"/>
      <c r="CK21" s="116"/>
      <c r="CL21" s="116"/>
      <c r="CN21" s="116"/>
      <c r="CO21" s="116"/>
      <c r="CP21" s="116"/>
      <c r="CQ21" s="116"/>
      <c r="CR21" s="116"/>
      <c r="CS21" s="116"/>
      <c r="CT21" s="116"/>
      <c r="CU21" s="116"/>
      <c r="CW21" s="116"/>
      <c r="CX21" s="116"/>
      <c r="CY21" s="116"/>
      <c r="CZ21" s="116"/>
      <c r="DA21" s="116"/>
      <c r="DB21" s="116"/>
      <c r="DC21" s="116"/>
      <c r="DD21" s="116"/>
      <c r="DE21" s="116"/>
      <c r="DF21" s="116"/>
      <c r="DG21" s="116"/>
      <c r="DH21" s="116"/>
      <c r="DI21" s="116"/>
      <c r="DJ21" s="116"/>
      <c r="DK21" s="116"/>
      <c r="DL21" s="116"/>
      <c r="DM21" s="116"/>
      <c r="DN21" s="116"/>
      <c r="DO21" s="116"/>
      <c r="DP21" s="116"/>
      <c r="DQ21" s="116"/>
      <c r="DR21" s="116"/>
      <c r="DS21" s="116"/>
      <c r="DT21" s="116"/>
      <c r="GC21" s="115"/>
      <c r="GE21" s="115"/>
      <c r="GI21" s="115"/>
      <c r="GJ21" s="115"/>
      <c r="GK21" s="115"/>
      <c r="GM21" s="115"/>
      <c r="GN21" s="115"/>
      <c r="GO21" s="115"/>
      <c r="GP21" s="115"/>
      <c r="GQ21" s="115"/>
      <c r="GR21" s="115"/>
      <c r="GS21" s="115"/>
      <c r="GT21" s="115"/>
      <c r="GU21" s="115"/>
      <c r="GV21" s="115"/>
      <c r="GW21" s="115"/>
      <c r="GX21" s="115"/>
      <c r="GY21" s="115"/>
      <c r="GZ21" s="115"/>
      <c r="HA21" s="115"/>
      <c r="HB21" s="115"/>
    </row>
    <row r="22" spans="1:210" s="90" customFormat="1" x14ac:dyDescent="0.2">
      <c r="A22" s="86" t="s">
        <v>131</v>
      </c>
      <c r="B22" s="88"/>
      <c r="C22" s="89"/>
      <c r="D22" s="88"/>
      <c r="E22" s="88"/>
      <c r="F22" s="89"/>
      <c r="G22" s="87"/>
      <c r="H22" s="87"/>
      <c r="I22" s="87"/>
      <c r="J22" s="87"/>
      <c r="K22" s="88"/>
      <c r="L22" s="88"/>
      <c r="M22" s="88"/>
      <c r="N22" s="88"/>
      <c r="O22" s="88"/>
      <c r="P22" s="88"/>
      <c r="Q22" s="88"/>
      <c r="R22" s="88"/>
      <c r="S22" s="88"/>
      <c r="T22" s="88"/>
      <c r="U22" s="88"/>
      <c r="V22" s="88"/>
      <c r="W22" s="88"/>
      <c r="X22" s="88"/>
      <c r="Y22" s="88"/>
      <c r="Z22" s="88"/>
      <c r="AA22" s="88"/>
      <c r="AB22" s="88"/>
      <c r="AC22" s="88"/>
      <c r="AD22" s="88"/>
      <c r="AE22" s="88"/>
      <c r="AF22" s="88"/>
      <c r="AG22" s="88"/>
      <c r="AH22" s="88"/>
      <c r="AI22" s="88"/>
      <c r="GC22" s="92"/>
      <c r="GD22" s="92"/>
      <c r="GE22" s="92"/>
      <c r="GF22" s="92"/>
      <c r="GG22" s="92"/>
      <c r="GH22" s="92"/>
      <c r="GI22" s="92"/>
      <c r="GJ22" s="92"/>
      <c r="GK22" s="92"/>
      <c r="GL22" s="92"/>
      <c r="GM22" s="92"/>
      <c r="GN22" s="92"/>
      <c r="GO22" s="92"/>
      <c r="GP22" s="92"/>
      <c r="GQ22" s="92"/>
      <c r="GR22" s="92"/>
      <c r="GS22" s="92"/>
      <c r="GT22" s="92"/>
      <c r="GU22" s="92"/>
      <c r="GV22" s="92"/>
      <c r="GW22" s="92"/>
      <c r="GX22" s="92"/>
      <c r="GY22" s="92"/>
      <c r="GZ22" s="92"/>
      <c r="HA22" s="92"/>
      <c r="HB22" s="92"/>
    </row>
    <row r="23" spans="1:210" s="103" customFormat="1" ht="25.5" x14ac:dyDescent="0.2">
      <c r="A23" s="86" t="s">
        <v>132</v>
      </c>
      <c r="B23" s="100"/>
      <c r="C23" s="102"/>
      <c r="D23" s="100"/>
      <c r="E23" s="101"/>
      <c r="F23" s="102"/>
      <c r="G23" s="87"/>
      <c r="H23" s="100"/>
      <c r="I23" s="100"/>
      <c r="J23" s="100"/>
      <c r="K23" s="88"/>
      <c r="L23" s="101"/>
      <c r="M23" s="87"/>
      <c r="N23" s="101"/>
      <c r="O23" s="101"/>
      <c r="P23" s="101"/>
      <c r="Q23" s="100"/>
      <c r="R23" s="101"/>
      <c r="S23" s="100"/>
      <c r="T23" s="101"/>
      <c r="U23" s="101"/>
      <c r="V23" s="101"/>
      <c r="W23" s="101"/>
      <c r="X23" s="100"/>
      <c r="Y23" s="101"/>
      <c r="Z23" s="101"/>
      <c r="AA23" s="101"/>
      <c r="AB23" s="101"/>
      <c r="AC23" s="101"/>
      <c r="AD23" s="101"/>
      <c r="AE23" s="101"/>
      <c r="AF23" s="101"/>
      <c r="AG23" s="101"/>
      <c r="AH23" s="101"/>
      <c r="AI23" s="101"/>
      <c r="GC23" s="104"/>
      <c r="GD23" s="104"/>
      <c r="GE23" s="104"/>
      <c r="GF23" s="104"/>
      <c r="GG23" s="104"/>
      <c r="GH23" s="104"/>
      <c r="GI23" s="104"/>
      <c r="GJ23" s="104"/>
      <c r="GK23" s="104"/>
      <c r="GL23" s="104"/>
      <c r="GM23" s="104"/>
      <c r="GN23" s="104"/>
      <c r="GO23" s="104"/>
      <c r="GP23" s="104"/>
      <c r="GQ23" s="104"/>
      <c r="GR23" s="104"/>
      <c r="GS23" s="104"/>
      <c r="GT23" s="104"/>
      <c r="GU23" s="104"/>
      <c r="GV23" s="104"/>
      <c r="GW23" s="104"/>
      <c r="GX23" s="104"/>
      <c r="GY23" s="104"/>
      <c r="GZ23" s="104"/>
      <c r="HA23" s="104"/>
      <c r="HB23" s="104"/>
    </row>
    <row r="24" spans="1:210" s="97" customFormat="1" ht="25.5" x14ac:dyDescent="0.2">
      <c r="A24" s="78" t="s">
        <v>133</v>
      </c>
      <c r="B24" s="80"/>
      <c r="C24" s="96"/>
      <c r="D24" s="80"/>
      <c r="E24" s="95"/>
      <c r="F24" s="96"/>
      <c r="G24" s="79"/>
      <c r="H24" s="94"/>
      <c r="I24" s="94"/>
      <c r="J24" s="94"/>
      <c r="K24" s="80"/>
      <c r="L24" s="95"/>
      <c r="M24" s="79"/>
      <c r="N24" s="95"/>
      <c r="O24" s="95"/>
      <c r="P24" s="95"/>
      <c r="Q24" s="80"/>
      <c r="R24" s="95"/>
      <c r="S24" s="79"/>
      <c r="T24" s="95"/>
      <c r="U24" s="95"/>
      <c r="V24" s="95"/>
      <c r="W24" s="95"/>
      <c r="X24" s="95"/>
      <c r="Y24" s="95"/>
      <c r="Z24" s="95"/>
      <c r="AA24" s="95"/>
      <c r="AB24" s="95"/>
      <c r="AC24" s="95"/>
      <c r="AD24" s="95"/>
      <c r="AE24" s="95"/>
      <c r="AF24" s="95"/>
      <c r="AG24" s="95"/>
      <c r="AH24" s="95"/>
      <c r="AI24" s="95"/>
      <c r="GC24" s="98"/>
      <c r="GD24" s="98"/>
      <c r="GE24" s="98"/>
      <c r="GF24" s="98"/>
      <c r="GG24" s="98"/>
      <c r="GH24" s="98"/>
      <c r="GI24" s="98"/>
      <c r="GJ24" s="98"/>
      <c r="GK24" s="98"/>
      <c r="GL24" s="98"/>
      <c r="GM24" s="98"/>
      <c r="GN24" s="98"/>
      <c r="GO24" s="98"/>
      <c r="GP24" s="98"/>
      <c r="GQ24" s="98"/>
      <c r="GR24" s="98"/>
      <c r="GS24" s="98"/>
      <c r="GT24" s="98"/>
      <c r="GU24" s="98"/>
      <c r="GV24" s="98"/>
      <c r="GW24" s="98"/>
      <c r="GX24" s="98"/>
      <c r="GY24" s="98"/>
      <c r="GZ24" s="98"/>
      <c r="HA24" s="98"/>
      <c r="HB24" s="98"/>
    </row>
    <row r="25" spans="1:210" s="82" customFormat="1" x14ac:dyDescent="0.2">
      <c r="A25" s="78" t="s">
        <v>134</v>
      </c>
      <c r="B25" s="79"/>
      <c r="C25" s="81"/>
      <c r="D25" s="79"/>
      <c r="E25" s="80"/>
      <c r="F25" s="81"/>
      <c r="G25" s="79"/>
      <c r="H25" s="79"/>
      <c r="I25" s="79"/>
      <c r="J25" s="79"/>
      <c r="K25" s="80"/>
      <c r="L25" s="80"/>
      <c r="M25" s="79"/>
      <c r="N25" s="80"/>
      <c r="O25" s="80"/>
      <c r="P25" s="80"/>
      <c r="Q25" s="79"/>
      <c r="R25" s="80"/>
      <c r="S25" s="79"/>
      <c r="T25" s="80"/>
      <c r="U25" s="80"/>
      <c r="V25" s="80"/>
      <c r="W25" s="80"/>
      <c r="X25" s="80"/>
      <c r="Y25" s="80"/>
      <c r="Z25" s="80"/>
      <c r="AA25" s="80"/>
      <c r="AB25" s="80"/>
      <c r="AC25" s="80"/>
      <c r="AD25" s="80"/>
      <c r="AE25" s="80"/>
      <c r="AF25" s="80"/>
      <c r="AG25" s="80"/>
      <c r="AH25" s="80"/>
      <c r="AI25" s="80"/>
      <c r="GC25" s="83"/>
      <c r="GD25" s="83"/>
      <c r="GE25" s="83"/>
      <c r="GF25" s="83"/>
      <c r="GG25" s="83"/>
      <c r="GH25" s="83"/>
      <c r="GI25" s="83"/>
      <c r="GJ25" s="83"/>
      <c r="GK25" s="83"/>
      <c r="GL25" s="83"/>
      <c r="GM25" s="83"/>
      <c r="GN25" s="83"/>
      <c r="GO25" s="83"/>
      <c r="GP25" s="83"/>
      <c r="GQ25" s="83"/>
      <c r="GR25" s="83"/>
      <c r="GS25" s="83"/>
      <c r="GT25" s="83"/>
      <c r="GU25" s="83"/>
      <c r="GV25" s="83"/>
      <c r="GW25" s="83"/>
      <c r="GX25" s="83"/>
      <c r="GY25" s="83"/>
      <c r="GZ25" s="83"/>
      <c r="HA25" s="83"/>
      <c r="HB25" s="83"/>
    </row>
    <row r="26" spans="1:210" s="90" customFormat="1" ht="103.5" customHeight="1" x14ac:dyDescent="0.2">
      <c r="A26" s="91" t="s">
        <v>135</v>
      </c>
      <c r="B26" s="87" t="s">
        <v>1195</v>
      </c>
      <c r="C26" s="274" t="s">
        <v>608</v>
      </c>
      <c r="D26" s="87" t="s">
        <v>1191</v>
      </c>
      <c r="E26" s="306" t="s">
        <v>1192</v>
      </c>
      <c r="F26" s="210" t="s">
        <v>989</v>
      </c>
      <c r="G26" s="87" t="s">
        <v>997</v>
      </c>
      <c r="H26" s="87" t="s">
        <v>2034</v>
      </c>
      <c r="I26" s="87" t="s">
        <v>2228</v>
      </c>
      <c r="J26" s="87"/>
      <c r="K26" s="117"/>
      <c r="L26" s="87"/>
      <c r="M26" s="87"/>
      <c r="N26" s="87"/>
      <c r="O26" s="87"/>
      <c r="P26" s="87"/>
      <c r="Q26" s="87"/>
      <c r="R26" s="87"/>
      <c r="S26" s="87"/>
      <c r="T26" s="87"/>
      <c r="U26" s="87"/>
      <c r="V26" s="87"/>
      <c r="W26" s="87"/>
      <c r="X26" s="87"/>
      <c r="Y26" s="87"/>
      <c r="Z26" s="87"/>
      <c r="AA26" s="118"/>
      <c r="AB26" s="118"/>
      <c r="AC26" s="118"/>
      <c r="AD26" s="87"/>
      <c r="AE26" s="118"/>
      <c r="AF26" s="118"/>
      <c r="AG26" s="118"/>
      <c r="AH26" s="118"/>
      <c r="AI26" s="118"/>
      <c r="AJ26" s="91"/>
      <c r="AK26" s="119"/>
      <c r="AL26" s="119"/>
      <c r="AM26" s="119"/>
      <c r="AN26" s="119"/>
      <c r="AO26" s="119"/>
      <c r="AP26" s="119"/>
      <c r="AQ26" s="119"/>
      <c r="AR26" s="119"/>
      <c r="AS26" s="119"/>
      <c r="AU26" s="91"/>
      <c r="AV26" s="91"/>
      <c r="AW26" s="91"/>
      <c r="AX26" s="91"/>
      <c r="BL26" s="119"/>
      <c r="DS26" s="91"/>
      <c r="DT26" s="91"/>
      <c r="GC26" s="92"/>
      <c r="GD26" s="92"/>
      <c r="GE26" s="92"/>
      <c r="GF26" s="92"/>
      <c r="GG26" s="92"/>
      <c r="GH26" s="92"/>
      <c r="GI26" s="92"/>
      <c r="GJ26" s="92"/>
      <c r="GK26" s="93"/>
      <c r="GL26" s="92"/>
      <c r="GM26" s="92"/>
      <c r="GN26" s="92"/>
      <c r="GO26" s="92"/>
      <c r="GP26" s="92"/>
      <c r="GQ26" s="92"/>
      <c r="GR26" s="92"/>
      <c r="GS26" s="92"/>
      <c r="GT26" s="92"/>
      <c r="GU26" s="92"/>
      <c r="GV26" s="92"/>
      <c r="GW26" s="92"/>
      <c r="GX26" s="92"/>
      <c r="GY26" s="92"/>
      <c r="GZ26" s="92"/>
      <c r="HA26" s="120"/>
      <c r="HB26" s="120"/>
    </row>
    <row r="27" spans="1:210" s="90" customFormat="1" x14ac:dyDescent="0.25">
      <c r="A27" s="86" t="s">
        <v>136</v>
      </c>
      <c r="B27" s="88"/>
      <c r="C27" s="87"/>
      <c r="D27" s="88"/>
      <c r="E27" s="88"/>
      <c r="F27" s="89"/>
      <c r="G27" s="87"/>
      <c r="H27" s="87"/>
      <c r="I27" s="87"/>
      <c r="J27" s="87"/>
      <c r="K27" s="88"/>
      <c r="L27" s="88"/>
      <c r="M27" s="88"/>
      <c r="N27" s="88"/>
      <c r="O27" s="88"/>
      <c r="P27" s="88"/>
      <c r="Q27" s="88"/>
      <c r="R27" s="88"/>
      <c r="S27" s="87"/>
      <c r="T27" s="88"/>
      <c r="U27" s="88"/>
      <c r="V27" s="88"/>
      <c r="W27" s="88"/>
      <c r="X27" s="87"/>
      <c r="Y27" s="88"/>
      <c r="Z27" s="88"/>
      <c r="AA27" s="88"/>
      <c r="AB27" s="88"/>
      <c r="AC27" s="88"/>
      <c r="AD27" s="88"/>
      <c r="AE27" s="88"/>
      <c r="AF27" s="88"/>
      <c r="AG27" s="88"/>
      <c r="AH27" s="88"/>
      <c r="AI27" s="88"/>
    </row>
    <row r="28" spans="1:210" s="121" customFormat="1" ht="12.75" customHeight="1" x14ac:dyDescent="0.25">
      <c r="B28" s="122"/>
      <c r="C28" s="122"/>
      <c r="D28" s="122"/>
      <c r="E28" s="122"/>
      <c r="F28" s="122"/>
      <c r="G28" s="122"/>
      <c r="H28" s="122"/>
      <c r="I28" s="122"/>
      <c r="J28" s="122"/>
      <c r="K28" s="122"/>
      <c r="L28" s="122"/>
      <c r="M28" s="122"/>
      <c r="N28" s="122"/>
      <c r="O28" s="122"/>
      <c r="P28" s="122"/>
      <c r="Q28" s="122"/>
      <c r="R28" s="122"/>
      <c r="S28" s="122"/>
      <c r="T28" s="122"/>
      <c r="U28" s="122"/>
      <c r="V28" s="122"/>
      <c r="W28" s="122"/>
      <c r="X28" s="122"/>
      <c r="Y28" s="122"/>
      <c r="Z28" s="122"/>
      <c r="AA28" s="122"/>
      <c r="AB28" s="122"/>
      <c r="AC28" s="122"/>
      <c r="AD28" s="122"/>
      <c r="AE28" s="122"/>
      <c r="AF28" s="122"/>
      <c r="AG28" s="122"/>
      <c r="AH28" s="122"/>
      <c r="AI28" s="122"/>
    </row>
    <row r="29" spans="1:210" s="121" customFormat="1" ht="12.75" customHeight="1" x14ac:dyDescent="0.25">
      <c r="B29" s="122"/>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row>
    <row r="30" spans="1:210" s="121" customFormat="1" ht="12.75" customHeight="1" x14ac:dyDescent="0.25">
      <c r="B30" s="122"/>
      <c r="C30" s="122"/>
      <c r="D30" s="122"/>
      <c r="E30" s="122"/>
      <c r="F30" s="122"/>
      <c r="G30" s="122"/>
      <c r="H30" s="122"/>
      <c r="I30" s="122"/>
      <c r="J30" s="122"/>
      <c r="K30" s="122"/>
      <c r="L30" s="122"/>
      <c r="M30" s="122"/>
      <c r="N30" s="122"/>
      <c r="O30" s="122"/>
      <c r="P30" s="122"/>
      <c r="Q30" s="122"/>
      <c r="R30" s="122"/>
      <c r="S30" s="122"/>
      <c r="T30" s="122"/>
      <c r="U30" s="122"/>
      <c r="V30" s="122"/>
      <c r="W30" s="122"/>
      <c r="X30" s="122"/>
      <c r="Y30" s="122"/>
      <c r="Z30" s="122"/>
      <c r="AA30" s="122"/>
      <c r="AB30" s="122"/>
      <c r="AC30" s="122"/>
      <c r="AD30" s="122"/>
      <c r="AE30" s="122"/>
      <c r="AF30" s="122"/>
      <c r="AG30" s="122"/>
      <c r="AH30" s="122"/>
      <c r="AI30" s="122"/>
    </row>
    <row r="31" spans="1:210" s="121" customFormat="1" ht="12.75" customHeight="1" x14ac:dyDescent="0.25">
      <c r="B31" s="122"/>
      <c r="C31" s="122"/>
      <c r="D31" s="122"/>
      <c r="E31" s="122"/>
      <c r="F31" s="122"/>
      <c r="G31" s="122"/>
      <c r="H31" s="122"/>
      <c r="I31" s="122"/>
      <c r="J31" s="122"/>
      <c r="K31" s="122"/>
      <c r="L31" s="122"/>
      <c r="M31" s="122"/>
      <c r="N31" s="122"/>
      <c r="O31" s="122"/>
      <c r="P31" s="122"/>
      <c r="Q31" s="122"/>
      <c r="R31" s="122"/>
      <c r="S31" s="122"/>
      <c r="T31" s="122"/>
      <c r="U31" s="122"/>
      <c r="V31" s="122"/>
      <c r="W31" s="122"/>
      <c r="X31" s="122"/>
      <c r="Y31" s="122"/>
      <c r="Z31" s="122"/>
      <c r="AA31" s="122"/>
      <c r="AB31" s="122"/>
      <c r="AC31" s="122"/>
      <c r="AD31" s="122"/>
      <c r="AE31" s="122"/>
      <c r="AF31" s="122"/>
      <c r="AG31" s="122"/>
      <c r="AH31" s="122"/>
      <c r="AI31" s="122"/>
    </row>
    <row r="32" spans="1:210" s="121" customFormat="1" ht="12.75" customHeight="1" x14ac:dyDescent="0.25">
      <c r="B32" s="122"/>
      <c r="C32" s="122"/>
      <c r="D32" s="122"/>
      <c r="E32" s="122"/>
      <c r="F32" s="122"/>
      <c r="G32" s="122"/>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row>
    <row r="33" spans="2:35" s="121" customFormat="1" ht="12.75" customHeight="1" x14ac:dyDescent="0.25">
      <c r="B33" s="122"/>
      <c r="C33" s="122"/>
      <c r="D33" s="122"/>
      <c r="E33" s="122"/>
      <c r="F33" s="122"/>
      <c r="G33" s="122"/>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row>
    <row r="34" spans="2:35" s="121" customFormat="1" ht="12.75" customHeight="1" x14ac:dyDescent="0.25">
      <c r="B34" s="122"/>
      <c r="C34" s="122"/>
      <c r="D34" s="122"/>
      <c r="E34" s="122"/>
      <c r="F34" s="122"/>
      <c r="G34" s="122"/>
      <c r="H34" s="122"/>
      <c r="I34" s="122"/>
      <c r="J34" s="122"/>
      <c r="K34" s="122"/>
      <c r="L34" s="122"/>
      <c r="M34" s="122"/>
      <c r="N34" s="122"/>
      <c r="O34" s="122"/>
      <c r="P34" s="122"/>
      <c r="Q34" s="122"/>
      <c r="R34" s="122"/>
      <c r="S34" s="122"/>
      <c r="T34" s="122"/>
      <c r="U34" s="122"/>
      <c r="V34" s="122"/>
      <c r="W34" s="122"/>
      <c r="X34" s="122"/>
      <c r="Y34" s="122"/>
      <c r="Z34" s="122"/>
      <c r="AA34" s="122"/>
      <c r="AB34" s="122"/>
      <c r="AC34" s="122"/>
      <c r="AD34" s="122"/>
      <c r="AE34" s="122"/>
      <c r="AF34" s="122"/>
      <c r="AG34" s="122"/>
      <c r="AH34" s="122"/>
      <c r="AI34" s="122"/>
    </row>
    <row r="35" spans="2:35" s="121" customFormat="1" ht="12.75" customHeight="1" x14ac:dyDescent="0.25">
      <c r="B35" s="122"/>
      <c r="C35" s="122"/>
      <c r="D35" s="122"/>
      <c r="E35" s="122"/>
      <c r="F35" s="122"/>
      <c r="G35" s="122"/>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row>
    <row r="36" spans="2:35" s="121" customFormat="1" ht="12.75" customHeight="1" x14ac:dyDescent="0.25">
      <c r="B36" s="122"/>
      <c r="C36" s="122"/>
      <c r="D36" s="122"/>
      <c r="E36" s="122"/>
      <c r="F36" s="122"/>
      <c r="G36" s="122"/>
      <c r="H36" s="122"/>
      <c r="I36" s="122"/>
      <c r="J36" s="122"/>
      <c r="K36" s="122"/>
      <c r="L36" s="122"/>
      <c r="M36" s="122"/>
      <c r="N36" s="122"/>
      <c r="O36" s="122"/>
      <c r="P36" s="122"/>
      <c r="Q36" s="122"/>
      <c r="R36" s="122"/>
      <c r="S36" s="122"/>
      <c r="T36" s="122"/>
      <c r="U36" s="122"/>
      <c r="V36" s="122"/>
      <c r="W36" s="122"/>
      <c r="X36" s="122"/>
      <c r="Y36" s="122"/>
      <c r="Z36" s="122"/>
      <c r="AA36" s="122"/>
      <c r="AB36" s="122"/>
      <c r="AC36" s="122"/>
      <c r="AD36" s="122"/>
      <c r="AE36" s="122"/>
      <c r="AF36" s="122"/>
      <c r="AG36" s="122"/>
      <c r="AH36" s="122"/>
      <c r="AI36" s="122"/>
    </row>
    <row r="37" spans="2:35" s="121" customFormat="1" ht="12.75" customHeight="1" x14ac:dyDescent="0.25">
      <c r="B37" s="122"/>
      <c r="C37" s="122"/>
      <c r="D37" s="122"/>
      <c r="E37" s="122"/>
      <c r="F37" s="122"/>
      <c r="G37" s="122"/>
      <c r="H37" s="122"/>
      <c r="I37" s="122"/>
      <c r="J37" s="122"/>
      <c r="K37" s="122"/>
      <c r="L37" s="122"/>
      <c r="M37" s="122"/>
      <c r="N37" s="122"/>
      <c r="O37" s="122"/>
      <c r="P37" s="122"/>
      <c r="Q37" s="122"/>
      <c r="R37" s="122"/>
      <c r="S37" s="122"/>
      <c r="T37" s="122"/>
      <c r="U37" s="122"/>
      <c r="V37" s="122"/>
      <c r="W37" s="122"/>
      <c r="X37" s="122"/>
      <c r="Y37" s="122"/>
      <c r="Z37" s="122"/>
      <c r="AA37" s="122"/>
      <c r="AB37" s="122"/>
      <c r="AC37" s="122"/>
      <c r="AD37" s="122"/>
      <c r="AE37" s="122"/>
      <c r="AF37" s="122"/>
      <c r="AG37" s="122"/>
      <c r="AH37" s="122"/>
      <c r="AI37" s="122"/>
    </row>
    <row r="38" spans="2:35" s="121" customFormat="1" ht="12.75" customHeight="1" x14ac:dyDescent="0.25">
      <c r="B38" s="12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row>
    <row r="39" spans="2:35" s="121" customFormat="1" ht="12.75" customHeight="1" x14ac:dyDescent="0.25">
      <c r="B39" s="122"/>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c r="AA39" s="122"/>
      <c r="AB39" s="122"/>
      <c r="AC39" s="122"/>
      <c r="AD39" s="122"/>
      <c r="AE39" s="122"/>
      <c r="AF39" s="122"/>
      <c r="AG39" s="122"/>
      <c r="AH39" s="122"/>
      <c r="AI39" s="122"/>
    </row>
    <row r="40" spans="2:35" s="121" customFormat="1" ht="12.75" customHeight="1" x14ac:dyDescent="0.25">
      <c r="B40" s="122"/>
      <c r="C40" s="122"/>
      <c r="D40" s="122"/>
      <c r="E40" s="122"/>
      <c r="F40" s="122"/>
      <c r="G40" s="122"/>
      <c r="H40" s="122"/>
      <c r="I40" s="122"/>
      <c r="J40" s="122"/>
      <c r="K40" s="122"/>
      <c r="L40" s="122"/>
      <c r="M40" s="122"/>
      <c r="N40" s="122"/>
      <c r="O40" s="122"/>
      <c r="P40" s="122"/>
      <c r="Q40" s="122"/>
      <c r="R40" s="122"/>
      <c r="S40" s="122"/>
      <c r="T40" s="122"/>
      <c r="U40" s="122"/>
      <c r="V40" s="122"/>
      <c r="W40" s="122"/>
      <c r="X40" s="122"/>
      <c r="Y40" s="122"/>
      <c r="Z40" s="122"/>
      <c r="AA40" s="122"/>
      <c r="AB40" s="122"/>
      <c r="AC40" s="122"/>
      <c r="AD40" s="122"/>
      <c r="AE40" s="122"/>
      <c r="AF40" s="122"/>
      <c r="AG40" s="122"/>
      <c r="AH40" s="122"/>
      <c r="AI40" s="122"/>
    </row>
    <row r="50" spans="1:35" ht="12.75" customHeight="1" x14ac:dyDescent="0.2">
      <c r="A50" s="123" t="s">
        <v>137</v>
      </c>
    </row>
    <row r="51" spans="1:35" s="126" customFormat="1" ht="12.75" customHeight="1" x14ac:dyDescent="0.25">
      <c r="B51" s="127" t="s">
        <v>138</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row>
    <row r="52" spans="1:35" ht="12.75" customHeight="1" x14ac:dyDescent="0.2">
      <c r="B52" s="128" t="s">
        <v>78</v>
      </c>
    </row>
    <row r="53" spans="1:35" ht="12.75" customHeight="1" x14ac:dyDescent="0.2">
      <c r="B53" s="129" t="s">
        <v>139</v>
      </c>
    </row>
    <row r="54" spans="1:35" ht="12.75" customHeight="1" x14ac:dyDescent="0.2">
      <c r="B54" s="129" t="s">
        <v>140</v>
      </c>
    </row>
    <row r="55" spans="1:35" ht="12.75" customHeight="1" x14ac:dyDescent="0.2">
      <c r="B55" s="129" t="s">
        <v>141</v>
      </c>
    </row>
    <row r="56" spans="1:35" ht="12.75" customHeight="1" x14ac:dyDescent="0.2">
      <c r="B56" s="129" t="s">
        <v>142</v>
      </c>
    </row>
    <row r="57" spans="1:35" ht="12.75" customHeight="1" x14ac:dyDescent="0.2">
      <c r="B57" s="129" t="s">
        <v>143</v>
      </c>
    </row>
    <row r="58" spans="1:35" ht="12.75" customHeight="1" x14ac:dyDescent="0.2">
      <c r="B58" s="129" t="s">
        <v>144</v>
      </c>
    </row>
    <row r="59" spans="1:35" ht="12.75" customHeight="1" x14ac:dyDescent="0.2">
      <c r="B59" s="129" t="s">
        <v>145</v>
      </c>
    </row>
    <row r="60" spans="1:35" ht="12.75" customHeight="1" x14ac:dyDescent="0.2">
      <c r="B60" s="129" t="s">
        <v>146</v>
      </c>
    </row>
  </sheetData>
  <sheetProtection formatCells="0" insertHyperlinks="0"/>
  <dataValidations count="3">
    <dataValidation type="list" allowBlank="1" showInputMessage="1" showErrorMessage="1" prompt="Select from List." sqref="GC3:HB3 PY3:QX3 ZU3:AAT3 AJQ3:AKP3 ATM3:AUL3 BDI3:BEH3 BNE3:BOD3 BXA3:BXZ3 CGW3:CHV3 CQS3:CRR3 DAO3:DBN3 DKK3:DLJ3 DUG3:DVF3 EEC3:EFB3 ENY3:EOX3 EXU3:EYT3 FHQ3:FIP3 FRM3:FSL3 GBI3:GCH3 GLE3:GMD3 GVA3:GVZ3 HEW3:HFV3 HOS3:HPR3 HYO3:HZN3 IIK3:IJJ3 ISG3:ITF3 JCC3:JDB3 JLY3:JMX3 JVU3:JWT3 KFQ3:KGP3 KPM3:KQL3 KZI3:LAH3 LJE3:LKD3 LTA3:LTZ3 MCW3:MDV3 MMS3:MNR3 MWO3:MXN3 NGK3:NHJ3 NQG3:NRF3 OAC3:OBB3 OJY3:OKX3 OTU3:OUT3 PDQ3:PEP3 PNM3:POL3 PXI3:PYH3 QHE3:QID3 QRA3:QRZ3 RAW3:RBV3 RKS3:RLR3 RUO3:RVN3 SEK3:SFJ3 SOG3:SPF3 SYC3:SZB3 THY3:TIX3 TRU3:TST3 UBQ3:UCP3 ULM3:UML3 UVI3:UWH3 VFE3:VGD3 VPA3:VPZ3 VYW3:VZV3 WIS3:WJR3 WSO3:WTN3 XCK3:XDJ3 GC65539:HB65539 PY65539:QX65539 ZU65539:AAT65539 AJQ65539:AKP65539 ATM65539:AUL65539 BDI65539:BEH65539 BNE65539:BOD65539 BXA65539:BXZ65539 CGW65539:CHV65539 CQS65539:CRR65539 DAO65539:DBN65539 DKK65539:DLJ65539 DUG65539:DVF65539 EEC65539:EFB65539 ENY65539:EOX65539 EXU65539:EYT65539 FHQ65539:FIP65539 FRM65539:FSL65539 GBI65539:GCH65539 GLE65539:GMD65539 GVA65539:GVZ65539 HEW65539:HFV65539 HOS65539:HPR65539 HYO65539:HZN65539 IIK65539:IJJ65539 ISG65539:ITF65539 JCC65539:JDB65539 JLY65539:JMX65539 JVU65539:JWT65539 KFQ65539:KGP65539 KPM65539:KQL65539 KZI65539:LAH65539 LJE65539:LKD65539 LTA65539:LTZ65539 MCW65539:MDV65539 MMS65539:MNR65539 MWO65539:MXN65539 NGK65539:NHJ65539 NQG65539:NRF65539 OAC65539:OBB65539 OJY65539:OKX65539 OTU65539:OUT65539 PDQ65539:PEP65539 PNM65539:POL65539 PXI65539:PYH65539 QHE65539:QID65539 QRA65539:QRZ65539 RAW65539:RBV65539 RKS65539:RLR65539 RUO65539:RVN65539 SEK65539:SFJ65539 SOG65539:SPF65539 SYC65539:SZB65539 THY65539:TIX65539 TRU65539:TST65539 UBQ65539:UCP65539 ULM65539:UML65539 UVI65539:UWH65539 VFE65539:VGD65539 VPA65539:VPZ65539 VYW65539:VZV65539 WIS65539:WJR65539 WSO65539:WTN65539 XCK65539:XDJ65539 GC131075:HB131075 PY131075:QX131075 ZU131075:AAT131075 AJQ131075:AKP131075 ATM131075:AUL131075 BDI131075:BEH131075 BNE131075:BOD131075 BXA131075:BXZ131075 CGW131075:CHV131075 CQS131075:CRR131075 DAO131075:DBN131075 DKK131075:DLJ131075 DUG131075:DVF131075 EEC131075:EFB131075 ENY131075:EOX131075 EXU131075:EYT131075 FHQ131075:FIP131075 FRM131075:FSL131075 GBI131075:GCH131075 GLE131075:GMD131075 GVA131075:GVZ131075 HEW131075:HFV131075 HOS131075:HPR131075 HYO131075:HZN131075 IIK131075:IJJ131075 ISG131075:ITF131075 JCC131075:JDB131075 JLY131075:JMX131075 JVU131075:JWT131075 KFQ131075:KGP131075 KPM131075:KQL131075 KZI131075:LAH131075 LJE131075:LKD131075 LTA131075:LTZ131075 MCW131075:MDV131075 MMS131075:MNR131075 MWO131075:MXN131075 NGK131075:NHJ131075 NQG131075:NRF131075 OAC131075:OBB131075 OJY131075:OKX131075 OTU131075:OUT131075 PDQ131075:PEP131075 PNM131075:POL131075 PXI131075:PYH131075 QHE131075:QID131075 QRA131075:QRZ131075 RAW131075:RBV131075 RKS131075:RLR131075 RUO131075:RVN131075 SEK131075:SFJ131075 SOG131075:SPF131075 SYC131075:SZB131075 THY131075:TIX131075 TRU131075:TST131075 UBQ131075:UCP131075 ULM131075:UML131075 UVI131075:UWH131075 VFE131075:VGD131075 VPA131075:VPZ131075 VYW131075:VZV131075 WIS131075:WJR131075 WSO131075:WTN131075 XCK131075:XDJ131075 GC196611:HB196611 PY196611:QX196611 ZU196611:AAT196611 AJQ196611:AKP196611 ATM196611:AUL196611 BDI196611:BEH196611 BNE196611:BOD196611 BXA196611:BXZ196611 CGW196611:CHV196611 CQS196611:CRR196611 DAO196611:DBN196611 DKK196611:DLJ196611 DUG196611:DVF196611 EEC196611:EFB196611 ENY196611:EOX196611 EXU196611:EYT196611 FHQ196611:FIP196611 FRM196611:FSL196611 GBI196611:GCH196611 GLE196611:GMD196611 GVA196611:GVZ196611 HEW196611:HFV196611 HOS196611:HPR196611 HYO196611:HZN196611 IIK196611:IJJ196611 ISG196611:ITF196611 JCC196611:JDB196611 JLY196611:JMX196611 JVU196611:JWT196611 KFQ196611:KGP196611 KPM196611:KQL196611 KZI196611:LAH196611 LJE196611:LKD196611 LTA196611:LTZ196611 MCW196611:MDV196611 MMS196611:MNR196611 MWO196611:MXN196611 NGK196611:NHJ196611 NQG196611:NRF196611 OAC196611:OBB196611 OJY196611:OKX196611 OTU196611:OUT196611 PDQ196611:PEP196611 PNM196611:POL196611 PXI196611:PYH196611 QHE196611:QID196611 QRA196611:QRZ196611 RAW196611:RBV196611 RKS196611:RLR196611 RUO196611:RVN196611 SEK196611:SFJ196611 SOG196611:SPF196611 SYC196611:SZB196611 THY196611:TIX196611 TRU196611:TST196611 UBQ196611:UCP196611 ULM196611:UML196611 UVI196611:UWH196611 VFE196611:VGD196611 VPA196611:VPZ196611 VYW196611:VZV196611 WIS196611:WJR196611 WSO196611:WTN196611 XCK196611:XDJ196611 GC262147:HB262147 PY262147:QX262147 ZU262147:AAT262147 AJQ262147:AKP262147 ATM262147:AUL262147 BDI262147:BEH262147 BNE262147:BOD262147 BXA262147:BXZ262147 CGW262147:CHV262147 CQS262147:CRR262147 DAO262147:DBN262147 DKK262147:DLJ262147 DUG262147:DVF262147 EEC262147:EFB262147 ENY262147:EOX262147 EXU262147:EYT262147 FHQ262147:FIP262147 FRM262147:FSL262147 GBI262147:GCH262147 GLE262147:GMD262147 GVA262147:GVZ262147 HEW262147:HFV262147 HOS262147:HPR262147 HYO262147:HZN262147 IIK262147:IJJ262147 ISG262147:ITF262147 JCC262147:JDB262147 JLY262147:JMX262147 JVU262147:JWT262147 KFQ262147:KGP262147 KPM262147:KQL262147 KZI262147:LAH262147 LJE262147:LKD262147 LTA262147:LTZ262147 MCW262147:MDV262147 MMS262147:MNR262147 MWO262147:MXN262147 NGK262147:NHJ262147 NQG262147:NRF262147 OAC262147:OBB262147 OJY262147:OKX262147 OTU262147:OUT262147 PDQ262147:PEP262147 PNM262147:POL262147 PXI262147:PYH262147 QHE262147:QID262147 QRA262147:QRZ262147 RAW262147:RBV262147 RKS262147:RLR262147 RUO262147:RVN262147 SEK262147:SFJ262147 SOG262147:SPF262147 SYC262147:SZB262147 THY262147:TIX262147 TRU262147:TST262147 UBQ262147:UCP262147 ULM262147:UML262147 UVI262147:UWH262147 VFE262147:VGD262147 VPA262147:VPZ262147 VYW262147:VZV262147 WIS262147:WJR262147 WSO262147:WTN262147 XCK262147:XDJ262147 GC327683:HB327683 PY327683:QX327683 ZU327683:AAT327683 AJQ327683:AKP327683 ATM327683:AUL327683 BDI327683:BEH327683 BNE327683:BOD327683 BXA327683:BXZ327683 CGW327683:CHV327683 CQS327683:CRR327683 DAO327683:DBN327683 DKK327683:DLJ327683 DUG327683:DVF327683 EEC327683:EFB327683 ENY327683:EOX327683 EXU327683:EYT327683 FHQ327683:FIP327683 FRM327683:FSL327683 GBI327683:GCH327683 GLE327683:GMD327683 GVA327683:GVZ327683 HEW327683:HFV327683 HOS327683:HPR327683 HYO327683:HZN327683 IIK327683:IJJ327683 ISG327683:ITF327683 JCC327683:JDB327683 JLY327683:JMX327683 JVU327683:JWT327683 KFQ327683:KGP327683 KPM327683:KQL327683 KZI327683:LAH327683 LJE327683:LKD327683 LTA327683:LTZ327683 MCW327683:MDV327683 MMS327683:MNR327683 MWO327683:MXN327683 NGK327683:NHJ327683 NQG327683:NRF327683 OAC327683:OBB327683 OJY327683:OKX327683 OTU327683:OUT327683 PDQ327683:PEP327683 PNM327683:POL327683 PXI327683:PYH327683 QHE327683:QID327683 QRA327683:QRZ327683 RAW327683:RBV327683 RKS327683:RLR327683 RUO327683:RVN327683 SEK327683:SFJ327683 SOG327683:SPF327683 SYC327683:SZB327683 THY327683:TIX327683 TRU327683:TST327683 UBQ327683:UCP327683 ULM327683:UML327683 UVI327683:UWH327683 VFE327683:VGD327683 VPA327683:VPZ327683 VYW327683:VZV327683 WIS327683:WJR327683 WSO327683:WTN327683 XCK327683:XDJ327683 GC393219:HB393219 PY393219:QX393219 ZU393219:AAT393219 AJQ393219:AKP393219 ATM393219:AUL393219 BDI393219:BEH393219 BNE393219:BOD393219 BXA393219:BXZ393219 CGW393219:CHV393219 CQS393219:CRR393219 DAO393219:DBN393219 DKK393219:DLJ393219 DUG393219:DVF393219 EEC393219:EFB393219 ENY393219:EOX393219 EXU393219:EYT393219 FHQ393219:FIP393219 FRM393219:FSL393219 GBI393219:GCH393219 GLE393219:GMD393219 GVA393219:GVZ393219 HEW393219:HFV393219 HOS393219:HPR393219 HYO393219:HZN393219 IIK393219:IJJ393219 ISG393219:ITF393219 JCC393219:JDB393219 JLY393219:JMX393219 JVU393219:JWT393219 KFQ393219:KGP393219 KPM393219:KQL393219 KZI393219:LAH393219 LJE393219:LKD393219 LTA393219:LTZ393219 MCW393219:MDV393219 MMS393219:MNR393219 MWO393219:MXN393219 NGK393219:NHJ393219 NQG393219:NRF393219 OAC393219:OBB393219 OJY393219:OKX393219 OTU393219:OUT393219 PDQ393219:PEP393219 PNM393219:POL393219 PXI393219:PYH393219 QHE393219:QID393219 QRA393219:QRZ393219 RAW393219:RBV393219 RKS393219:RLR393219 RUO393219:RVN393219 SEK393219:SFJ393219 SOG393219:SPF393219 SYC393219:SZB393219 THY393219:TIX393219 TRU393219:TST393219 UBQ393219:UCP393219 ULM393219:UML393219 UVI393219:UWH393219 VFE393219:VGD393219 VPA393219:VPZ393219 VYW393219:VZV393219 WIS393219:WJR393219 WSO393219:WTN393219 XCK393219:XDJ393219 GC458755:HB458755 PY458755:QX458755 ZU458755:AAT458755 AJQ458755:AKP458755 ATM458755:AUL458755 BDI458755:BEH458755 BNE458755:BOD458755 BXA458755:BXZ458755 CGW458755:CHV458755 CQS458755:CRR458755 DAO458755:DBN458755 DKK458755:DLJ458755 DUG458755:DVF458755 EEC458755:EFB458755 ENY458755:EOX458755 EXU458755:EYT458755 FHQ458755:FIP458755 FRM458755:FSL458755 GBI458755:GCH458755 GLE458755:GMD458755 GVA458755:GVZ458755 HEW458755:HFV458755 HOS458755:HPR458755 HYO458755:HZN458755 IIK458755:IJJ458755 ISG458755:ITF458755 JCC458755:JDB458755 JLY458755:JMX458755 JVU458755:JWT458755 KFQ458755:KGP458755 KPM458755:KQL458755 KZI458755:LAH458755 LJE458755:LKD458755 LTA458755:LTZ458755 MCW458755:MDV458755 MMS458755:MNR458755 MWO458755:MXN458755 NGK458755:NHJ458755 NQG458755:NRF458755 OAC458755:OBB458755 OJY458755:OKX458755 OTU458755:OUT458755 PDQ458755:PEP458755 PNM458755:POL458755 PXI458755:PYH458755 QHE458755:QID458755 QRA458755:QRZ458755 RAW458755:RBV458755 RKS458755:RLR458755 RUO458755:RVN458755 SEK458755:SFJ458755 SOG458755:SPF458755 SYC458755:SZB458755 THY458755:TIX458755 TRU458755:TST458755 UBQ458755:UCP458755 ULM458755:UML458755 UVI458755:UWH458755 VFE458755:VGD458755 VPA458755:VPZ458755 VYW458755:VZV458755 WIS458755:WJR458755 WSO458755:WTN458755 XCK458755:XDJ458755 GC524291:HB524291 PY524291:QX524291 ZU524291:AAT524291 AJQ524291:AKP524291 ATM524291:AUL524291 BDI524291:BEH524291 BNE524291:BOD524291 BXA524291:BXZ524291 CGW524291:CHV524291 CQS524291:CRR524291 DAO524291:DBN524291 DKK524291:DLJ524291 DUG524291:DVF524291 EEC524291:EFB524291 ENY524291:EOX524291 EXU524291:EYT524291 FHQ524291:FIP524291 FRM524291:FSL524291 GBI524291:GCH524291 GLE524291:GMD524291 GVA524291:GVZ524291 HEW524291:HFV524291 HOS524291:HPR524291 HYO524291:HZN524291 IIK524291:IJJ524291 ISG524291:ITF524291 JCC524291:JDB524291 JLY524291:JMX524291 JVU524291:JWT524291 KFQ524291:KGP524291 KPM524291:KQL524291 KZI524291:LAH524291 LJE524291:LKD524291 LTA524291:LTZ524291 MCW524291:MDV524291 MMS524291:MNR524291 MWO524291:MXN524291 NGK524291:NHJ524291 NQG524291:NRF524291 OAC524291:OBB524291 OJY524291:OKX524291 OTU524291:OUT524291 PDQ524291:PEP524291 PNM524291:POL524291 PXI524291:PYH524291 QHE524291:QID524291 QRA524291:QRZ524291 RAW524291:RBV524291 RKS524291:RLR524291 RUO524291:RVN524291 SEK524291:SFJ524291 SOG524291:SPF524291 SYC524291:SZB524291 THY524291:TIX524291 TRU524291:TST524291 UBQ524291:UCP524291 ULM524291:UML524291 UVI524291:UWH524291 VFE524291:VGD524291 VPA524291:VPZ524291 VYW524291:VZV524291 WIS524291:WJR524291 WSO524291:WTN524291 XCK524291:XDJ524291 GC589827:HB589827 PY589827:QX589827 ZU589827:AAT589827 AJQ589827:AKP589827 ATM589827:AUL589827 BDI589827:BEH589827 BNE589827:BOD589827 BXA589827:BXZ589827 CGW589827:CHV589827 CQS589827:CRR589827 DAO589827:DBN589827 DKK589827:DLJ589827 DUG589827:DVF589827 EEC589827:EFB589827 ENY589827:EOX589827 EXU589827:EYT589827 FHQ589827:FIP589827 FRM589827:FSL589827 GBI589827:GCH589827 GLE589827:GMD589827 GVA589827:GVZ589827 HEW589827:HFV589827 HOS589827:HPR589827 HYO589827:HZN589827 IIK589827:IJJ589827 ISG589827:ITF589827 JCC589827:JDB589827 JLY589827:JMX589827 JVU589827:JWT589827 KFQ589827:KGP589827 KPM589827:KQL589827 KZI589827:LAH589827 LJE589827:LKD589827 LTA589827:LTZ589827 MCW589827:MDV589827 MMS589827:MNR589827 MWO589827:MXN589827 NGK589827:NHJ589827 NQG589827:NRF589827 OAC589827:OBB589827 OJY589827:OKX589827 OTU589827:OUT589827 PDQ589827:PEP589827 PNM589827:POL589827 PXI589827:PYH589827 QHE589827:QID589827 QRA589827:QRZ589827 RAW589827:RBV589827 RKS589827:RLR589827 RUO589827:RVN589827 SEK589827:SFJ589827 SOG589827:SPF589827 SYC589827:SZB589827 THY589827:TIX589827 TRU589827:TST589827 UBQ589827:UCP589827 ULM589827:UML589827 UVI589827:UWH589827 VFE589827:VGD589827 VPA589827:VPZ589827 VYW589827:VZV589827 WIS589827:WJR589827 WSO589827:WTN589827 XCK589827:XDJ589827 GC655363:HB655363 PY655363:QX655363 ZU655363:AAT655363 AJQ655363:AKP655363 ATM655363:AUL655363 BDI655363:BEH655363 BNE655363:BOD655363 BXA655363:BXZ655363 CGW655363:CHV655363 CQS655363:CRR655363 DAO655363:DBN655363 DKK655363:DLJ655363 DUG655363:DVF655363 EEC655363:EFB655363 ENY655363:EOX655363 EXU655363:EYT655363 FHQ655363:FIP655363 FRM655363:FSL655363 GBI655363:GCH655363 GLE655363:GMD655363 GVA655363:GVZ655363 HEW655363:HFV655363 HOS655363:HPR655363 HYO655363:HZN655363 IIK655363:IJJ655363 ISG655363:ITF655363 JCC655363:JDB655363 JLY655363:JMX655363 JVU655363:JWT655363 KFQ655363:KGP655363 KPM655363:KQL655363 KZI655363:LAH655363 LJE655363:LKD655363 LTA655363:LTZ655363 MCW655363:MDV655363 MMS655363:MNR655363 MWO655363:MXN655363 NGK655363:NHJ655363 NQG655363:NRF655363 OAC655363:OBB655363 OJY655363:OKX655363 OTU655363:OUT655363 PDQ655363:PEP655363 PNM655363:POL655363 PXI655363:PYH655363 QHE655363:QID655363 QRA655363:QRZ655363 RAW655363:RBV655363 RKS655363:RLR655363 RUO655363:RVN655363 SEK655363:SFJ655363 SOG655363:SPF655363 SYC655363:SZB655363 THY655363:TIX655363 TRU655363:TST655363 UBQ655363:UCP655363 ULM655363:UML655363 UVI655363:UWH655363 VFE655363:VGD655363 VPA655363:VPZ655363 VYW655363:VZV655363 WIS655363:WJR655363 WSO655363:WTN655363 XCK655363:XDJ655363 GC720899:HB720899 PY720899:QX720899 ZU720899:AAT720899 AJQ720899:AKP720899 ATM720899:AUL720899 BDI720899:BEH720899 BNE720899:BOD720899 BXA720899:BXZ720899 CGW720899:CHV720899 CQS720899:CRR720899 DAO720899:DBN720899 DKK720899:DLJ720899 DUG720899:DVF720899 EEC720899:EFB720899 ENY720899:EOX720899 EXU720899:EYT720899 FHQ720899:FIP720899 FRM720899:FSL720899 GBI720899:GCH720899 GLE720899:GMD720899 GVA720899:GVZ720899 HEW720899:HFV720899 HOS720899:HPR720899 HYO720899:HZN720899 IIK720899:IJJ720899 ISG720899:ITF720899 JCC720899:JDB720899 JLY720899:JMX720899 JVU720899:JWT720899 KFQ720899:KGP720899 KPM720899:KQL720899 KZI720899:LAH720899 LJE720899:LKD720899 LTA720899:LTZ720899 MCW720899:MDV720899 MMS720899:MNR720899 MWO720899:MXN720899 NGK720899:NHJ720899 NQG720899:NRF720899 OAC720899:OBB720899 OJY720899:OKX720899 OTU720899:OUT720899 PDQ720899:PEP720899 PNM720899:POL720899 PXI720899:PYH720899 QHE720899:QID720899 QRA720899:QRZ720899 RAW720899:RBV720899 RKS720899:RLR720899 RUO720899:RVN720899 SEK720899:SFJ720899 SOG720899:SPF720899 SYC720899:SZB720899 THY720899:TIX720899 TRU720899:TST720899 UBQ720899:UCP720899 ULM720899:UML720899 UVI720899:UWH720899 VFE720899:VGD720899 VPA720899:VPZ720899 VYW720899:VZV720899 WIS720899:WJR720899 WSO720899:WTN720899 XCK720899:XDJ720899 GC786435:HB786435 PY786435:QX786435 ZU786435:AAT786435 AJQ786435:AKP786435 ATM786435:AUL786435 BDI786435:BEH786435 BNE786435:BOD786435 BXA786435:BXZ786435 CGW786435:CHV786435 CQS786435:CRR786435 DAO786435:DBN786435 DKK786435:DLJ786435 DUG786435:DVF786435 EEC786435:EFB786435 ENY786435:EOX786435 EXU786435:EYT786435 FHQ786435:FIP786435 FRM786435:FSL786435 GBI786435:GCH786435 GLE786435:GMD786435 GVA786435:GVZ786435 HEW786435:HFV786435 HOS786435:HPR786435 HYO786435:HZN786435 IIK786435:IJJ786435 ISG786435:ITF786435 JCC786435:JDB786435 JLY786435:JMX786435 JVU786435:JWT786435 KFQ786435:KGP786435 KPM786435:KQL786435 KZI786435:LAH786435 LJE786435:LKD786435 LTA786435:LTZ786435 MCW786435:MDV786435 MMS786435:MNR786435 MWO786435:MXN786435 NGK786435:NHJ786435 NQG786435:NRF786435 OAC786435:OBB786435 OJY786435:OKX786435 OTU786435:OUT786435 PDQ786435:PEP786435 PNM786435:POL786435 PXI786435:PYH786435 QHE786435:QID786435 QRA786435:QRZ786435 RAW786435:RBV786435 RKS786435:RLR786435 RUO786435:RVN786435 SEK786435:SFJ786435 SOG786435:SPF786435 SYC786435:SZB786435 THY786435:TIX786435 TRU786435:TST786435 UBQ786435:UCP786435 ULM786435:UML786435 UVI786435:UWH786435 VFE786435:VGD786435 VPA786435:VPZ786435 VYW786435:VZV786435 WIS786435:WJR786435 WSO786435:WTN786435 XCK786435:XDJ786435 GC851971:HB851971 PY851971:QX851971 ZU851971:AAT851971 AJQ851971:AKP851971 ATM851971:AUL851971 BDI851971:BEH851971 BNE851971:BOD851971 BXA851971:BXZ851971 CGW851971:CHV851971 CQS851971:CRR851971 DAO851971:DBN851971 DKK851971:DLJ851971 DUG851971:DVF851971 EEC851971:EFB851971 ENY851971:EOX851971 EXU851971:EYT851971 FHQ851971:FIP851971 FRM851971:FSL851971 GBI851971:GCH851971 GLE851971:GMD851971 GVA851971:GVZ851971 HEW851971:HFV851971 HOS851971:HPR851971 HYO851971:HZN851971 IIK851971:IJJ851971 ISG851971:ITF851971 JCC851971:JDB851971 JLY851971:JMX851971 JVU851971:JWT851971 KFQ851971:KGP851971 KPM851971:KQL851971 KZI851971:LAH851971 LJE851971:LKD851971 LTA851971:LTZ851971 MCW851971:MDV851971 MMS851971:MNR851971 MWO851971:MXN851971 NGK851971:NHJ851971 NQG851971:NRF851971 OAC851971:OBB851971 OJY851971:OKX851971 OTU851971:OUT851971 PDQ851971:PEP851971 PNM851971:POL851971 PXI851971:PYH851971 QHE851971:QID851971 QRA851971:QRZ851971 RAW851971:RBV851971 RKS851971:RLR851971 RUO851971:RVN851971 SEK851971:SFJ851971 SOG851971:SPF851971 SYC851971:SZB851971 THY851971:TIX851971 TRU851971:TST851971 UBQ851971:UCP851971 ULM851971:UML851971 UVI851971:UWH851971 VFE851971:VGD851971 VPA851971:VPZ851971 VYW851971:VZV851971 WIS851971:WJR851971 WSO851971:WTN851971 XCK851971:XDJ851971 GC917507:HB917507 PY917507:QX917507 ZU917507:AAT917507 AJQ917507:AKP917507 ATM917507:AUL917507 BDI917507:BEH917507 BNE917507:BOD917507 BXA917507:BXZ917507 CGW917507:CHV917507 CQS917507:CRR917507 DAO917507:DBN917507 DKK917507:DLJ917507 DUG917507:DVF917507 EEC917507:EFB917507 ENY917507:EOX917507 EXU917507:EYT917507 FHQ917507:FIP917507 FRM917507:FSL917507 GBI917507:GCH917507 GLE917507:GMD917507 GVA917507:GVZ917507 HEW917507:HFV917507 HOS917507:HPR917507 HYO917507:HZN917507 IIK917507:IJJ917507 ISG917507:ITF917507 JCC917507:JDB917507 JLY917507:JMX917507 JVU917507:JWT917507 KFQ917507:KGP917507 KPM917507:KQL917507 KZI917507:LAH917507 LJE917507:LKD917507 LTA917507:LTZ917507 MCW917507:MDV917507 MMS917507:MNR917507 MWO917507:MXN917507 NGK917507:NHJ917507 NQG917507:NRF917507 OAC917507:OBB917507 OJY917507:OKX917507 OTU917507:OUT917507 PDQ917507:PEP917507 PNM917507:POL917507 PXI917507:PYH917507 QHE917507:QID917507 QRA917507:QRZ917507 RAW917507:RBV917507 RKS917507:RLR917507 RUO917507:RVN917507 SEK917507:SFJ917507 SOG917507:SPF917507 SYC917507:SZB917507 THY917507:TIX917507 TRU917507:TST917507 UBQ917507:UCP917507 ULM917507:UML917507 UVI917507:UWH917507 VFE917507:VGD917507 VPA917507:VPZ917507 VYW917507:VZV917507 WIS917507:WJR917507 WSO917507:WTN917507 XCK917507:XDJ917507 GC983043:HB983043 PY983043:QX983043 ZU983043:AAT983043 AJQ983043:AKP983043 ATM983043:AUL983043 BDI983043:BEH983043 BNE983043:BOD983043 BXA983043:BXZ983043 CGW983043:CHV983043 CQS983043:CRR983043 DAO983043:DBN983043 DKK983043:DLJ983043 DUG983043:DVF983043 EEC983043:EFB983043 ENY983043:EOX983043 EXU983043:EYT983043 FHQ983043:FIP983043 FRM983043:FSL983043 GBI983043:GCH983043 GLE983043:GMD983043 GVA983043:GVZ983043 HEW983043:HFV983043 HOS983043:HPR983043 HYO983043:HZN983043 IIK983043:IJJ983043 ISG983043:ITF983043 JCC983043:JDB983043 JLY983043:JMX983043 JVU983043:JWT983043 KFQ983043:KGP983043 KPM983043:KQL983043 KZI983043:LAH983043 LJE983043:LKD983043 LTA983043:LTZ983043 MCW983043:MDV983043 MMS983043:MNR983043 MWO983043:MXN983043 NGK983043:NHJ983043 NQG983043:NRF983043 OAC983043:OBB983043 OJY983043:OKX983043 OTU983043:OUT983043 PDQ983043:PEP983043 PNM983043:POL983043 PXI983043:PYH983043 QHE983043:QID983043 QRA983043:QRZ983043 RAW983043:RBV983043 RKS983043:RLR983043 RUO983043:RVN983043 SEK983043:SFJ983043 SOG983043:SPF983043 SYC983043:SZB983043 THY983043:TIX983043 TRU983043:TST983043 UBQ983043:UCP983043 ULM983043:UML983043 UVI983043:UWH983043 VFE983043:VGD983043 VPA983043:VPZ983043 VYW983043:VZV983043 WIS983043:WJR983043 WSO983043:WTN983043 XCK983043:XDJ983043">
      <formula1>LstSourseType</formula1>
    </dataValidation>
    <dataValidation type="list" allowBlank="1" showInputMessage="1" showErrorMessage="1" prompt="Select from list." sqref="CC16 LY16 VU16 AFQ16 APM16 AZI16 BJE16 BTA16 CCW16 CMS16 CWO16 DGK16 DQG16 EAC16 EJY16 ETU16 FDQ16 FNM16 FXI16 GHE16 GRA16 HAW16 HKS16 HUO16 IEK16 IOG16 IYC16 JHY16 JRU16 KBQ16 KLM16 KVI16 LFE16 LPA16 LYW16 MIS16 MSO16 NCK16 NMG16 NWC16 OFY16 OPU16 OZQ16 PJM16 PTI16 QDE16 QNA16 QWW16 RGS16 RQO16 SAK16 SKG16 SUC16 TDY16 TNU16 TXQ16 UHM16 URI16 VBE16 VLA16 VUW16 WES16 WOO16 WYK16 CC65552 LY65552 VU65552 AFQ65552 APM65552 AZI65552 BJE65552 BTA65552 CCW65552 CMS65552 CWO65552 DGK65552 DQG65552 EAC65552 EJY65552 ETU65552 FDQ65552 FNM65552 FXI65552 GHE65552 GRA65552 HAW65552 HKS65552 HUO65552 IEK65552 IOG65552 IYC65552 JHY65552 JRU65552 KBQ65552 KLM65552 KVI65552 LFE65552 LPA65552 LYW65552 MIS65552 MSO65552 NCK65552 NMG65552 NWC65552 OFY65552 OPU65552 OZQ65552 PJM65552 PTI65552 QDE65552 QNA65552 QWW65552 RGS65552 RQO65552 SAK65552 SKG65552 SUC65552 TDY65552 TNU65552 TXQ65552 UHM65552 URI65552 VBE65552 VLA65552 VUW65552 WES65552 WOO65552 WYK65552 CC131088 LY131088 VU131088 AFQ131088 APM131088 AZI131088 BJE131088 BTA131088 CCW131088 CMS131088 CWO131088 DGK131088 DQG131088 EAC131088 EJY131088 ETU131088 FDQ131088 FNM131088 FXI131088 GHE131088 GRA131088 HAW131088 HKS131088 HUO131088 IEK131088 IOG131088 IYC131088 JHY131088 JRU131088 KBQ131088 KLM131088 KVI131088 LFE131088 LPA131088 LYW131088 MIS131088 MSO131088 NCK131088 NMG131088 NWC131088 OFY131088 OPU131088 OZQ131088 PJM131088 PTI131088 QDE131088 QNA131088 QWW131088 RGS131088 RQO131088 SAK131088 SKG131088 SUC131088 TDY131088 TNU131088 TXQ131088 UHM131088 URI131088 VBE131088 VLA131088 VUW131088 WES131088 WOO131088 WYK131088 CC196624 LY196624 VU196624 AFQ196624 APM196624 AZI196624 BJE196624 BTA196624 CCW196624 CMS196624 CWO196624 DGK196624 DQG196624 EAC196624 EJY196624 ETU196624 FDQ196624 FNM196624 FXI196624 GHE196624 GRA196624 HAW196624 HKS196624 HUO196624 IEK196624 IOG196624 IYC196624 JHY196624 JRU196624 KBQ196624 KLM196624 KVI196624 LFE196624 LPA196624 LYW196624 MIS196624 MSO196624 NCK196624 NMG196624 NWC196624 OFY196624 OPU196624 OZQ196624 PJM196624 PTI196624 QDE196624 QNA196624 QWW196624 RGS196624 RQO196624 SAK196624 SKG196624 SUC196624 TDY196624 TNU196624 TXQ196624 UHM196624 URI196624 VBE196624 VLA196624 VUW196624 WES196624 WOO196624 WYK196624 CC262160 LY262160 VU262160 AFQ262160 APM262160 AZI262160 BJE262160 BTA262160 CCW262160 CMS262160 CWO262160 DGK262160 DQG262160 EAC262160 EJY262160 ETU262160 FDQ262160 FNM262160 FXI262160 GHE262160 GRA262160 HAW262160 HKS262160 HUO262160 IEK262160 IOG262160 IYC262160 JHY262160 JRU262160 KBQ262160 KLM262160 KVI262160 LFE262160 LPA262160 LYW262160 MIS262160 MSO262160 NCK262160 NMG262160 NWC262160 OFY262160 OPU262160 OZQ262160 PJM262160 PTI262160 QDE262160 QNA262160 QWW262160 RGS262160 RQO262160 SAK262160 SKG262160 SUC262160 TDY262160 TNU262160 TXQ262160 UHM262160 URI262160 VBE262160 VLA262160 VUW262160 WES262160 WOO262160 WYK262160 CC327696 LY327696 VU327696 AFQ327696 APM327696 AZI327696 BJE327696 BTA327696 CCW327696 CMS327696 CWO327696 DGK327696 DQG327696 EAC327696 EJY327696 ETU327696 FDQ327696 FNM327696 FXI327696 GHE327696 GRA327696 HAW327696 HKS327696 HUO327696 IEK327696 IOG327696 IYC327696 JHY327696 JRU327696 KBQ327696 KLM327696 KVI327696 LFE327696 LPA327696 LYW327696 MIS327696 MSO327696 NCK327696 NMG327696 NWC327696 OFY327696 OPU327696 OZQ327696 PJM327696 PTI327696 QDE327696 QNA327696 QWW327696 RGS327696 RQO327696 SAK327696 SKG327696 SUC327696 TDY327696 TNU327696 TXQ327696 UHM327696 URI327696 VBE327696 VLA327696 VUW327696 WES327696 WOO327696 WYK327696 CC393232 LY393232 VU393232 AFQ393232 APM393232 AZI393232 BJE393232 BTA393232 CCW393232 CMS393232 CWO393232 DGK393232 DQG393232 EAC393232 EJY393232 ETU393232 FDQ393232 FNM393232 FXI393232 GHE393232 GRA393232 HAW393232 HKS393232 HUO393232 IEK393232 IOG393232 IYC393232 JHY393232 JRU393232 KBQ393232 KLM393232 KVI393232 LFE393232 LPA393232 LYW393232 MIS393232 MSO393232 NCK393232 NMG393232 NWC393232 OFY393232 OPU393232 OZQ393232 PJM393232 PTI393232 QDE393232 QNA393232 QWW393232 RGS393232 RQO393232 SAK393232 SKG393232 SUC393232 TDY393232 TNU393232 TXQ393232 UHM393232 URI393232 VBE393232 VLA393232 VUW393232 WES393232 WOO393232 WYK393232 CC458768 LY458768 VU458768 AFQ458768 APM458768 AZI458768 BJE458768 BTA458768 CCW458768 CMS458768 CWO458768 DGK458768 DQG458768 EAC458768 EJY458768 ETU458768 FDQ458768 FNM458768 FXI458768 GHE458768 GRA458768 HAW458768 HKS458768 HUO458768 IEK458768 IOG458768 IYC458768 JHY458768 JRU458768 KBQ458768 KLM458768 KVI458768 LFE458768 LPA458768 LYW458768 MIS458768 MSO458768 NCK458768 NMG458768 NWC458768 OFY458768 OPU458768 OZQ458768 PJM458768 PTI458768 QDE458768 QNA458768 QWW458768 RGS458768 RQO458768 SAK458768 SKG458768 SUC458768 TDY458768 TNU458768 TXQ458768 UHM458768 URI458768 VBE458768 VLA458768 VUW458768 WES458768 WOO458768 WYK458768 CC524304 LY524304 VU524304 AFQ524304 APM524304 AZI524304 BJE524304 BTA524304 CCW524304 CMS524304 CWO524304 DGK524304 DQG524304 EAC524304 EJY524304 ETU524304 FDQ524304 FNM524304 FXI524304 GHE524304 GRA524304 HAW524304 HKS524304 HUO524304 IEK524304 IOG524304 IYC524304 JHY524304 JRU524304 KBQ524304 KLM524304 KVI524304 LFE524304 LPA524304 LYW524304 MIS524304 MSO524304 NCK524304 NMG524304 NWC524304 OFY524304 OPU524304 OZQ524304 PJM524304 PTI524304 QDE524304 QNA524304 QWW524304 RGS524304 RQO524304 SAK524304 SKG524304 SUC524304 TDY524304 TNU524304 TXQ524304 UHM524304 URI524304 VBE524304 VLA524304 VUW524304 WES524304 WOO524304 WYK524304 CC589840 LY589840 VU589840 AFQ589840 APM589840 AZI589840 BJE589840 BTA589840 CCW589840 CMS589840 CWO589840 DGK589840 DQG589840 EAC589840 EJY589840 ETU589840 FDQ589840 FNM589840 FXI589840 GHE589840 GRA589840 HAW589840 HKS589840 HUO589840 IEK589840 IOG589840 IYC589840 JHY589840 JRU589840 KBQ589840 KLM589840 KVI589840 LFE589840 LPA589840 LYW589840 MIS589840 MSO589840 NCK589840 NMG589840 NWC589840 OFY589840 OPU589840 OZQ589840 PJM589840 PTI589840 QDE589840 QNA589840 QWW589840 RGS589840 RQO589840 SAK589840 SKG589840 SUC589840 TDY589840 TNU589840 TXQ589840 UHM589840 URI589840 VBE589840 VLA589840 VUW589840 WES589840 WOO589840 WYK589840 CC655376 LY655376 VU655376 AFQ655376 APM655376 AZI655376 BJE655376 BTA655376 CCW655376 CMS655376 CWO655376 DGK655376 DQG655376 EAC655376 EJY655376 ETU655376 FDQ655376 FNM655376 FXI655376 GHE655376 GRA655376 HAW655376 HKS655376 HUO655376 IEK655376 IOG655376 IYC655376 JHY655376 JRU655376 KBQ655376 KLM655376 KVI655376 LFE655376 LPA655376 LYW655376 MIS655376 MSO655376 NCK655376 NMG655376 NWC655376 OFY655376 OPU655376 OZQ655376 PJM655376 PTI655376 QDE655376 QNA655376 QWW655376 RGS655376 RQO655376 SAK655376 SKG655376 SUC655376 TDY655376 TNU655376 TXQ655376 UHM655376 URI655376 VBE655376 VLA655376 VUW655376 WES655376 WOO655376 WYK655376 CC720912 LY720912 VU720912 AFQ720912 APM720912 AZI720912 BJE720912 BTA720912 CCW720912 CMS720912 CWO720912 DGK720912 DQG720912 EAC720912 EJY720912 ETU720912 FDQ720912 FNM720912 FXI720912 GHE720912 GRA720912 HAW720912 HKS720912 HUO720912 IEK720912 IOG720912 IYC720912 JHY720912 JRU720912 KBQ720912 KLM720912 KVI720912 LFE720912 LPA720912 LYW720912 MIS720912 MSO720912 NCK720912 NMG720912 NWC720912 OFY720912 OPU720912 OZQ720912 PJM720912 PTI720912 QDE720912 QNA720912 QWW720912 RGS720912 RQO720912 SAK720912 SKG720912 SUC720912 TDY720912 TNU720912 TXQ720912 UHM720912 URI720912 VBE720912 VLA720912 VUW720912 WES720912 WOO720912 WYK720912 CC786448 LY786448 VU786448 AFQ786448 APM786448 AZI786448 BJE786448 BTA786448 CCW786448 CMS786448 CWO786448 DGK786448 DQG786448 EAC786448 EJY786448 ETU786448 FDQ786448 FNM786448 FXI786448 GHE786448 GRA786448 HAW786448 HKS786448 HUO786448 IEK786448 IOG786448 IYC786448 JHY786448 JRU786448 KBQ786448 KLM786448 KVI786448 LFE786448 LPA786448 LYW786448 MIS786448 MSO786448 NCK786448 NMG786448 NWC786448 OFY786448 OPU786448 OZQ786448 PJM786448 PTI786448 QDE786448 QNA786448 QWW786448 RGS786448 RQO786448 SAK786448 SKG786448 SUC786448 TDY786448 TNU786448 TXQ786448 UHM786448 URI786448 VBE786448 VLA786448 VUW786448 WES786448 WOO786448 WYK786448 CC851984 LY851984 VU851984 AFQ851984 APM851984 AZI851984 BJE851984 BTA851984 CCW851984 CMS851984 CWO851984 DGK851984 DQG851984 EAC851984 EJY851984 ETU851984 FDQ851984 FNM851984 FXI851984 GHE851984 GRA851984 HAW851984 HKS851984 HUO851984 IEK851984 IOG851984 IYC851984 JHY851984 JRU851984 KBQ851984 KLM851984 KVI851984 LFE851984 LPA851984 LYW851984 MIS851984 MSO851984 NCK851984 NMG851984 NWC851984 OFY851984 OPU851984 OZQ851984 PJM851984 PTI851984 QDE851984 QNA851984 QWW851984 RGS851984 RQO851984 SAK851984 SKG851984 SUC851984 TDY851984 TNU851984 TXQ851984 UHM851984 URI851984 VBE851984 VLA851984 VUW851984 WES851984 WOO851984 WYK851984 CC917520 LY917520 VU917520 AFQ917520 APM917520 AZI917520 BJE917520 BTA917520 CCW917520 CMS917520 CWO917520 DGK917520 DQG917520 EAC917520 EJY917520 ETU917520 FDQ917520 FNM917520 FXI917520 GHE917520 GRA917520 HAW917520 HKS917520 HUO917520 IEK917520 IOG917520 IYC917520 JHY917520 JRU917520 KBQ917520 KLM917520 KVI917520 LFE917520 LPA917520 LYW917520 MIS917520 MSO917520 NCK917520 NMG917520 NWC917520 OFY917520 OPU917520 OZQ917520 PJM917520 PTI917520 QDE917520 QNA917520 QWW917520 RGS917520 RQO917520 SAK917520 SKG917520 SUC917520 TDY917520 TNU917520 TXQ917520 UHM917520 URI917520 VBE917520 VLA917520 VUW917520 WES917520 WOO917520 WYK917520 CC983056 LY983056 VU983056 AFQ983056 APM983056 AZI983056 BJE983056 BTA983056 CCW983056 CMS983056 CWO983056 DGK983056 DQG983056 EAC983056 EJY983056 ETU983056 FDQ983056 FNM983056 FXI983056 GHE983056 GRA983056 HAW983056 HKS983056 HUO983056 IEK983056 IOG983056 IYC983056 JHY983056 JRU983056 KBQ983056 KLM983056 KVI983056 LFE983056 LPA983056 LYW983056 MIS983056 MSO983056 NCK983056 NMG983056 NWC983056 OFY983056 OPU983056 OZQ983056 PJM983056 PTI983056 QDE983056 QNA983056 QWW983056 RGS983056 RQO983056 SAK983056 SKG983056 SUC983056 TDY983056 TNU983056 TXQ983056 UHM983056 URI983056 VBE983056 VLA983056 VUW983056 WES983056 WOO983056 WYK983056 F19 JB19 SX19 ACT19 AMP19 AWL19 BGH19 BQD19 BZZ19 CJV19 CTR19 DDN19 DNJ19 DXF19 EHB19 EQX19 FAT19 FKP19 FUL19 GEH19 GOD19 GXZ19 HHV19 HRR19 IBN19 ILJ19 IVF19 JFB19 JOX19 JYT19 KIP19 KSL19 LCH19 LMD19 LVZ19 MFV19 MPR19 MZN19 NJJ19 NTF19 ODB19 OMX19 OWT19 PGP19 PQL19 QAH19 QKD19 QTZ19 RDV19 RNR19 RXN19 SHJ19 SRF19 TBB19 TKX19 TUT19 UEP19 UOL19 UYH19 VID19 VRZ19 WBV19 WLR19 WVN19 F65555 JB65555 SX65555 ACT65555 AMP65555 AWL65555 BGH65555 BQD65555 BZZ65555 CJV65555 CTR65555 DDN65555 DNJ65555 DXF65555 EHB65555 EQX65555 FAT65555 FKP65555 FUL65555 GEH65555 GOD65555 GXZ65555 HHV65555 HRR65555 IBN65555 ILJ65555 IVF65555 JFB65555 JOX65555 JYT65555 KIP65555 KSL65555 LCH65555 LMD65555 LVZ65555 MFV65555 MPR65555 MZN65555 NJJ65555 NTF65555 ODB65555 OMX65555 OWT65555 PGP65555 PQL65555 QAH65555 QKD65555 QTZ65555 RDV65555 RNR65555 RXN65555 SHJ65555 SRF65555 TBB65555 TKX65555 TUT65555 UEP65555 UOL65555 UYH65555 VID65555 VRZ65555 WBV65555 WLR65555 WVN65555 F131091 JB131091 SX131091 ACT131091 AMP131091 AWL131091 BGH131091 BQD131091 BZZ131091 CJV131091 CTR131091 DDN131091 DNJ131091 DXF131091 EHB131091 EQX131091 FAT131091 FKP131091 FUL131091 GEH131091 GOD131091 GXZ131091 HHV131091 HRR131091 IBN131091 ILJ131091 IVF131091 JFB131091 JOX131091 JYT131091 KIP131091 KSL131091 LCH131091 LMD131091 LVZ131091 MFV131091 MPR131091 MZN131091 NJJ131091 NTF131091 ODB131091 OMX131091 OWT131091 PGP131091 PQL131091 QAH131091 QKD131091 QTZ131091 RDV131091 RNR131091 RXN131091 SHJ131091 SRF131091 TBB131091 TKX131091 TUT131091 UEP131091 UOL131091 UYH131091 VID131091 VRZ131091 WBV131091 WLR131091 WVN131091 F196627 JB196627 SX196627 ACT196627 AMP196627 AWL196627 BGH196627 BQD196627 BZZ196627 CJV196627 CTR196627 DDN196627 DNJ196627 DXF196627 EHB196627 EQX196627 FAT196627 FKP196627 FUL196627 GEH196627 GOD196627 GXZ196627 HHV196627 HRR196627 IBN196627 ILJ196627 IVF196627 JFB196627 JOX196627 JYT196627 KIP196627 KSL196627 LCH196627 LMD196627 LVZ196627 MFV196627 MPR196627 MZN196627 NJJ196627 NTF196627 ODB196627 OMX196627 OWT196627 PGP196627 PQL196627 QAH196627 QKD196627 QTZ196627 RDV196627 RNR196627 RXN196627 SHJ196627 SRF196627 TBB196627 TKX196627 TUT196627 UEP196627 UOL196627 UYH196627 VID196627 VRZ196627 WBV196627 WLR196627 WVN196627 F262163 JB262163 SX262163 ACT262163 AMP262163 AWL262163 BGH262163 BQD262163 BZZ262163 CJV262163 CTR262163 DDN262163 DNJ262163 DXF262163 EHB262163 EQX262163 FAT262163 FKP262163 FUL262163 GEH262163 GOD262163 GXZ262163 HHV262163 HRR262163 IBN262163 ILJ262163 IVF262163 JFB262163 JOX262163 JYT262163 KIP262163 KSL262163 LCH262163 LMD262163 LVZ262163 MFV262163 MPR262163 MZN262163 NJJ262163 NTF262163 ODB262163 OMX262163 OWT262163 PGP262163 PQL262163 QAH262163 QKD262163 QTZ262163 RDV262163 RNR262163 RXN262163 SHJ262163 SRF262163 TBB262163 TKX262163 TUT262163 UEP262163 UOL262163 UYH262163 VID262163 VRZ262163 WBV262163 WLR262163 WVN262163 F327699 JB327699 SX327699 ACT327699 AMP327699 AWL327699 BGH327699 BQD327699 BZZ327699 CJV327699 CTR327699 DDN327699 DNJ327699 DXF327699 EHB327699 EQX327699 FAT327699 FKP327699 FUL327699 GEH327699 GOD327699 GXZ327699 HHV327699 HRR327699 IBN327699 ILJ327699 IVF327699 JFB327699 JOX327699 JYT327699 KIP327699 KSL327699 LCH327699 LMD327699 LVZ327699 MFV327699 MPR327699 MZN327699 NJJ327699 NTF327699 ODB327699 OMX327699 OWT327699 PGP327699 PQL327699 QAH327699 QKD327699 QTZ327699 RDV327699 RNR327699 RXN327699 SHJ327699 SRF327699 TBB327699 TKX327699 TUT327699 UEP327699 UOL327699 UYH327699 VID327699 VRZ327699 WBV327699 WLR327699 WVN327699 F393235 JB393235 SX393235 ACT393235 AMP393235 AWL393235 BGH393235 BQD393235 BZZ393235 CJV393235 CTR393235 DDN393235 DNJ393235 DXF393235 EHB393235 EQX393235 FAT393235 FKP393235 FUL393235 GEH393235 GOD393235 GXZ393235 HHV393235 HRR393235 IBN393235 ILJ393235 IVF393235 JFB393235 JOX393235 JYT393235 KIP393235 KSL393235 LCH393235 LMD393235 LVZ393235 MFV393235 MPR393235 MZN393235 NJJ393235 NTF393235 ODB393235 OMX393235 OWT393235 PGP393235 PQL393235 QAH393235 QKD393235 QTZ393235 RDV393235 RNR393235 RXN393235 SHJ393235 SRF393235 TBB393235 TKX393235 TUT393235 UEP393235 UOL393235 UYH393235 VID393235 VRZ393235 WBV393235 WLR393235 WVN393235 F458771 JB458771 SX458771 ACT458771 AMP458771 AWL458771 BGH458771 BQD458771 BZZ458771 CJV458771 CTR458771 DDN458771 DNJ458771 DXF458771 EHB458771 EQX458771 FAT458771 FKP458771 FUL458771 GEH458771 GOD458771 GXZ458771 HHV458771 HRR458771 IBN458771 ILJ458771 IVF458771 JFB458771 JOX458771 JYT458771 KIP458771 KSL458771 LCH458771 LMD458771 LVZ458771 MFV458771 MPR458771 MZN458771 NJJ458771 NTF458771 ODB458771 OMX458771 OWT458771 PGP458771 PQL458771 QAH458771 QKD458771 QTZ458771 RDV458771 RNR458771 RXN458771 SHJ458771 SRF458771 TBB458771 TKX458771 TUT458771 UEP458771 UOL458771 UYH458771 VID458771 VRZ458771 WBV458771 WLR458771 WVN458771 F524307 JB524307 SX524307 ACT524307 AMP524307 AWL524307 BGH524307 BQD524307 BZZ524307 CJV524307 CTR524307 DDN524307 DNJ524307 DXF524307 EHB524307 EQX524307 FAT524307 FKP524307 FUL524307 GEH524307 GOD524307 GXZ524307 HHV524307 HRR524307 IBN524307 ILJ524307 IVF524307 JFB524307 JOX524307 JYT524307 KIP524307 KSL524307 LCH524307 LMD524307 LVZ524307 MFV524307 MPR524307 MZN524307 NJJ524307 NTF524307 ODB524307 OMX524307 OWT524307 PGP524307 PQL524307 QAH524307 QKD524307 QTZ524307 RDV524307 RNR524307 RXN524307 SHJ524307 SRF524307 TBB524307 TKX524307 TUT524307 UEP524307 UOL524307 UYH524307 VID524307 VRZ524307 WBV524307 WLR524307 WVN524307 F589843 JB589843 SX589843 ACT589843 AMP589843 AWL589843 BGH589843 BQD589843 BZZ589843 CJV589843 CTR589843 DDN589843 DNJ589843 DXF589843 EHB589843 EQX589843 FAT589843 FKP589843 FUL589843 GEH589843 GOD589843 GXZ589843 HHV589843 HRR589843 IBN589843 ILJ589843 IVF589843 JFB589843 JOX589843 JYT589843 KIP589843 KSL589843 LCH589843 LMD589843 LVZ589843 MFV589843 MPR589843 MZN589843 NJJ589843 NTF589843 ODB589843 OMX589843 OWT589843 PGP589843 PQL589843 QAH589843 QKD589843 QTZ589843 RDV589843 RNR589843 RXN589843 SHJ589843 SRF589843 TBB589843 TKX589843 TUT589843 UEP589843 UOL589843 UYH589843 VID589843 VRZ589843 WBV589843 WLR589843 WVN589843 F655379 JB655379 SX655379 ACT655379 AMP655379 AWL655379 BGH655379 BQD655379 BZZ655379 CJV655379 CTR655379 DDN655379 DNJ655379 DXF655379 EHB655379 EQX655379 FAT655379 FKP655379 FUL655379 GEH655379 GOD655379 GXZ655379 HHV655379 HRR655379 IBN655379 ILJ655379 IVF655379 JFB655379 JOX655379 JYT655379 KIP655379 KSL655379 LCH655379 LMD655379 LVZ655379 MFV655379 MPR655379 MZN655379 NJJ655379 NTF655379 ODB655379 OMX655379 OWT655379 PGP655379 PQL655379 QAH655379 QKD655379 QTZ655379 RDV655379 RNR655379 RXN655379 SHJ655379 SRF655379 TBB655379 TKX655379 TUT655379 UEP655379 UOL655379 UYH655379 VID655379 VRZ655379 WBV655379 WLR655379 WVN655379 F720915 JB720915 SX720915 ACT720915 AMP720915 AWL720915 BGH720915 BQD720915 BZZ720915 CJV720915 CTR720915 DDN720915 DNJ720915 DXF720915 EHB720915 EQX720915 FAT720915 FKP720915 FUL720915 GEH720915 GOD720915 GXZ720915 HHV720915 HRR720915 IBN720915 ILJ720915 IVF720915 JFB720915 JOX720915 JYT720915 KIP720915 KSL720915 LCH720915 LMD720915 LVZ720915 MFV720915 MPR720915 MZN720915 NJJ720915 NTF720915 ODB720915 OMX720915 OWT720915 PGP720915 PQL720915 QAH720915 QKD720915 QTZ720915 RDV720915 RNR720915 RXN720915 SHJ720915 SRF720915 TBB720915 TKX720915 TUT720915 UEP720915 UOL720915 UYH720915 VID720915 VRZ720915 WBV720915 WLR720915 WVN720915 F786451 JB786451 SX786451 ACT786451 AMP786451 AWL786451 BGH786451 BQD786451 BZZ786451 CJV786451 CTR786451 DDN786451 DNJ786451 DXF786451 EHB786451 EQX786451 FAT786451 FKP786451 FUL786451 GEH786451 GOD786451 GXZ786451 HHV786451 HRR786451 IBN786451 ILJ786451 IVF786451 JFB786451 JOX786451 JYT786451 KIP786451 KSL786451 LCH786451 LMD786451 LVZ786451 MFV786451 MPR786451 MZN786451 NJJ786451 NTF786451 ODB786451 OMX786451 OWT786451 PGP786451 PQL786451 QAH786451 QKD786451 QTZ786451 RDV786451 RNR786451 RXN786451 SHJ786451 SRF786451 TBB786451 TKX786451 TUT786451 UEP786451 UOL786451 UYH786451 VID786451 VRZ786451 WBV786451 WLR786451 WVN786451 F851987 JB851987 SX851987 ACT851987 AMP851987 AWL851987 BGH851987 BQD851987 BZZ851987 CJV851987 CTR851987 DDN851987 DNJ851987 DXF851987 EHB851987 EQX851987 FAT851987 FKP851987 FUL851987 GEH851987 GOD851987 GXZ851987 HHV851987 HRR851987 IBN851987 ILJ851987 IVF851987 JFB851987 JOX851987 JYT851987 KIP851987 KSL851987 LCH851987 LMD851987 LVZ851987 MFV851987 MPR851987 MZN851987 NJJ851987 NTF851987 ODB851987 OMX851987 OWT851987 PGP851987 PQL851987 QAH851987 QKD851987 QTZ851987 RDV851987 RNR851987 RXN851987 SHJ851987 SRF851987 TBB851987 TKX851987 TUT851987 UEP851987 UOL851987 UYH851987 VID851987 VRZ851987 WBV851987 WLR851987 WVN851987 F917523 JB917523 SX917523 ACT917523 AMP917523 AWL917523 BGH917523 BQD917523 BZZ917523 CJV917523 CTR917523 DDN917523 DNJ917523 DXF917523 EHB917523 EQX917523 FAT917523 FKP917523 FUL917523 GEH917523 GOD917523 GXZ917523 HHV917523 HRR917523 IBN917523 ILJ917523 IVF917523 JFB917523 JOX917523 JYT917523 KIP917523 KSL917523 LCH917523 LMD917523 LVZ917523 MFV917523 MPR917523 MZN917523 NJJ917523 NTF917523 ODB917523 OMX917523 OWT917523 PGP917523 PQL917523 QAH917523 QKD917523 QTZ917523 RDV917523 RNR917523 RXN917523 SHJ917523 SRF917523 TBB917523 TKX917523 TUT917523 UEP917523 UOL917523 UYH917523 VID917523 VRZ917523 WBV917523 WLR917523 WVN917523 F983059 JB983059 SX983059 ACT983059 AMP983059 AWL983059 BGH983059 BQD983059 BZZ983059 CJV983059 CTR983059 DDN983059 DNJ983059 DXF983059 EHB983059 EQX983059 FAT983059 FKP983059 FUL983059 GEH983059 GOD983059 GXZ983059 HHV983059 HRR983059 IBN983059 ILJ983059 IVF983059 JFB983059 JOX983059 JYT983059 KIP983059 KSL983059 LCH983059 LMD983059 LVZ983059 MFV983059 MPR983059 MZN983059 NJJ983059 NTF983059 ODB983059 OMX983059 OWT983059 PGP983059 PQL983059 QAH983059 QKD983059 QTZ983059 RDV983059 RNR983059 RXN983059 SHJ983059 SRF983059 TBB983059 TKX983059 TUT983059 UEP983059 UOL983059 UYH983059 VID983059 VRZ983059 WBV983059 WLR983059 WVN983059">
      <formula1>"Yes, No"</formula1>
    </dataValidation>
    <dataValidation type="list" allowBlank="1" showInputMessage="1" showErrorMessage="1" prompt="Select from List." sqref="HC3:IV3 QY3:SR3 AAU3:ACN3 AKQ3:AMJ3 AUM3:AWF3 BEI3:BGB3 BOE3:BPX3 BYA3:BZT3 CHW3:CJP3 CRS3:CTL3 DBO3:DDH3 DLK3:DND3 DVG3:DWZ3 EFC3:EGV3 EOY3:EQR3 EYU3:FAN3 FIQ3:FKJ3 FSM3:FUF3 GCI3:GEB3 GME3:GNX3 GWA3:GXT3 HFW3:HHP3 HPS3:HRL3 HZO3:IBH3 IJK3:ILD3 ITG3:IUZ3 JDC3:JEV3 JMY3:JOR3 JWU3:JYN3 KGQ3:KIJ3 KQM3:KSF3 LAI3:LCB3 LKE3:LLX3 LUA3:LVT3 MDW3:MFP3 MNS3:MPL3 MXO3:MZH3 NHK3:NJD3 NRG3:NSZ3 OBC3:OCV3 OKY3:OMR3 OUU3:OWN3 PEQ3:PGJ3 POM3:PQF3 PYI3:QAB3 QIE3:QJX3 QSA3:QTT3 RBW3:RDP3 RLS3:RNL3 RVO3:RXH3 SFK3:SHD3 SPG3:SQZ3 SZC3:TAV3 TIY3:TKR3 TSU3:TUN3 UCQ3:UEJ3 UMM3:UOF3 UWI3:UYB3 VGE3:VHX3 VQA3:VRT3 VZW3:WBP3 WJS3:WLL3 WTO3:WVH3 XDK3:XFD3 HC65539:IV65539 QY65539:SR65539 AAU65539:ACN65539 AKQ65539:AMJ65539 AUM65539:AWF65539 BEI65539:BGB65539 BOE65539:BPX65539 BYA65539:BZT65539 CHW65539:CJP65539 CRS65539:CTL65539 DBO65539:DDH65539 DLK65539:DND65539 DVG65539:DWZ65539 EFC65539:EGV65539 EOY65539:EQR65539 EYU65539:FAN65539 FIQ65539:FKJ65539 FSM65539:FUF65539 GCI65539:GEB65539 GME65539:GNX65539 GWA65539:GXT65539 HFW65539:HHP65539 HPS65539:HRL65539 HZO65539:IBH65539 IJK65539:ILD65539 ITG65539:IUZ65539 JDC65539:JEV65539 JMY65539:JOR65539 JWU65539:JYN65539 KGQ65539:KIJ65539 KQM65539:KSF65539 LAI65539:LCB65539 LKE65539:LLX65539 LUA65539:LVT65539 MDW65539:MFP65539 MNS65539:MPL65539 MXO65539:MZH65539 NHK65539:NJD65539 NRG65539:NSZ65539 OBC65539:OCV65539 OKY65539:OMR65539 OUU65539:OWN65539 PEQ65539:PGJ65539 POM65539:PQF65539 PYI65539:QAB65539 QIE65539:QJX65539 QSA65539:QTT65539 RBW65539:RDP65539 RLS65539:RNL65539 RVO65539:RXH65539 SFK65539:SHD65539 SPG65539:SQZ65539 SZC65539:TAV65539 TIY65539:TKR65539 TSU65539:TUN65539 UCQ65539:UEJ65539 UMM65539:UOF65539 UWI65539:UYB65539 VGE65539:VHX65539 VQA65539:VRT65539 VZW65539:WBP65539 WJS65539:WLL65539 WTO65539:WVH65539 XDK65539:XFD65539 HC131075:IV131075 QY131075:SR131075 AAU131075:ACN131075 AKQ131075:AMJ131075 AUM131075:AWF131075 BEI131075:BGB131075 BOE131075:BPX131075 BYA131075:BZT131075 CHW131075:CJP131075 CRS131075:CTL131075 DBO131075:DDH131075 DLK131075:DND131075 DVG131075:DWZ131075 EFC131075:EGV131075 EOY131075:EQR131075 EYU131075:FAN131075 FIQ131075:FKJ131075 FSM131075:FUF131075 GCI131075:GEB131075 GME131075:GNX131075 GWA131075:GXT131075 HFW131075:HHP131075 HPS131075:HRL131075 HZO131075:IBH131075 IJK131075:ILD131075 ITG131075:IUZ131075 JDC131075:JEV131075 JMY131075:JOR131075 JWU131075:JYN131075 KGQ131075:KIJ131075 KQM131075:KSF131075 LAI131075:LCB131075 LKE131075:LLX131075 LUA131075:LVT131075 MDW131075:MFP131075 MNS131075:MPL131075 MXO131075:MZH131075 NHK131075:NJD131075 NRG131075:NSZ131075 OBC131075:OCV131075 OKY131075:OMR131075 OUU131075:OWN131075 PEQ131075:PGJ131075 POM131075:PQF131075 PYI131075:QAB131075 QIE131075:QJX131075 QSA131075:QTT131075 RBW131075:RDP131075 RLS131075:RNL131075 RVO131075:RXH131075 SFK131075:SHD131075 SPG131075:SQZ131075 SZC131075:TAV131075 TIY131075:TKR131075 TSU131075:TUN131075 UCQ131075:UEJ131075 UMM131075:UOF131075 UWI131075:UYB131075 VGE131075:VHX131075 VQA131075:VRT131075 VZW131075:WBP131075 WJS131075:WLL131075 WTO131075:WVH131075 XDK131075:XFD131075 HC196611:IV196611 QY196611:SR196611 AAU196611:ACN196611 AKQ196611:AMJ196611 AUM196611:AWF196611 BEI196611:BGB196611 BOE196611:BPX196611 BYA196611:BZT196611 CHW196611:CJP196611 CRS196611:CTL196611 DBO196611:DDH196611 DLK196611:DND196611 DVG196611:DWZ196611 EFC196611:EGV196611 EOY196611:EQR196611 EYU196611:FAN196611 FIQ196611:FKJ196611 FSM196611:FUF196611 GCI196611:GEB196611 GME196611:GNX196611 GWA196611:GXT196611 HFW196611:HHP196611 HPS196611:HRL196611 HZO196611:IBH196611 IJK196611:ILD196611 ITG196611:IUZ196611 JDC196611:JEV196611 JMY196611:JOR196611 JWU196611:JYN196611 KGQ196611:KIJ196611 KQM196611:KSF196611 LAI196611:LCB196611 LKE196611:LLX196611 LUA196611:LVT196611 MDW196611:MFP196611 MNS196611:MPL196611 MXO196611:MZH196611 NHK196611:NJD196611 NRG196611:NSZ196611 OBC196611:OCV196611 OKY196611:OMR196611 OUU196611:OWN196611 PEQ196611:PGJ196611 POM196611:PQF196611 PYI196611:QAB196611 QIE196611:QJX196611 QSA196611:QTT196611 RBW196611:RDP196611 RLS196611:RNL196611 RVO196611:RXH196611 SFK196611:SHD196611 SPG196611:SQZ196611 SZC196611:TAV196611 TIY196611:TKR196611 TSU196611:TUN196611 UCQ196611:UEJ196611 UMM196611:UOF196611 UWI196611:UYB196611 VGE196611:VHX196611 VQA196611:VRT196611 VZW196611:WBP196611 WJS196611:WLL196611 WTO196611:WVH196611 XDK196611:XFD196611 HC262147:IV262147 QY262147:SR262147 AAU262147:ACN262147 AKQ262147:AMJ262147 AUM262147:AWF262147 BEI262147:BGB262147 BOE262147:BPX262147 BYA262147:BZT262147 CHW262147:CJP262147 CRS262147:CTL262147 DBO262147:DDH262147 DLK262147:DND262147 DVG262147:DWZ262147 EFC262147:EGV262147 EOY262147:EQR262147 EYU262147:FAN262147 FIQ262147:FKJ262147 FSM262147:FUF262147 GCI262147:GEB262147 GME262147:GNX262147 GWA262147:GXT262147 HFW262147:HHP262147 HPS262147:HRL262147 HZO262147:IBH262147 IJK262147:ILD262147 ITG262147:IUZ262147 JDC262147:JEV262147 JMY262147:JOR262147 JWU262147:JYN262147 KGQ262147:KIJ262147 KQM262147:KSF262147 LAI262147:LCB262147 LKE262147:LLX262147 LUA262147:LVT262147 MDW262147:MFP262147 MNS262147:MPL262147 MXO262147:MZH262147 NHK262147:NJD262147 NRG262147:NSZ262147 OBC262147:OCV262147 OKY262147:OMR262147 OUU262147:OWN262147 PEQ262147:PGJ262147 POM262147:PQF262147 PYI262147:QAB262147 QIE262147:QJX262147 QSA262147:QTT262147 RBW262147:RDP262147 RLS262147:RNL262147 RVO262147:RXH262147 SFK262147:SHD262147 SPG262147:SQZ262147 SZC262147:TAV262147 TIY262147:TKR262147 TSU262147:TUN262147 UCQ262147:UEJ262147 UMM262147:UOF262147 UWI262147:UYB262147 VGE262147:VHX262147 VQA262147:VRT262147 VZW262147:WBP262147 WJS262147:WLL262147 WTO262147:WVH262147 XDK262147:XFD262147 HC327683:IV327683 QY327683:SR327683 AAU327683:ACN327683 AKQ327683:AMJ327683 AUM327683:AWF327683 BEI327683:BGB327683 BOE327683:BPX327683 BYA327683:BZT327683 CHW327683:CJP327683 CRS327683:CTL327683 DBO327683:DDH327683 DLK327683:DND327683 DVG327683:DWZ327683 EFC327683:EGV327683 EOY327683:EQR327683 EYU327683:FAN327683 FIQ327683:FKJ327683 FSM327683:FUF327683 GCI327683:GEB327683 GME327683:GNX327683 GWA327683:GXT327683 HFW327683:HHP327683 HPS327683:HRL327683 HZO327683:IBH327683 IJK327683:ILD327683 ITG327683:IUZ327683 JDC327683:JEV327683 JMY327683:JOR327683 JWU327683:JYN327683 KGQ327683:KIJ327683 KQM327683:KSF327683 LAI327683:LCB327683 LKE327683:LLX327683 LUA327683:LVT327683 MDW327683:MFP327683 MNS327683:MPL327683 MXO327683:MZH327683 NHK327683:NJD327683 NRG327683:NSZ327683 OBC327683:OCV327683 OKY327683:OMR327683 OUU327683:OWN327683 PEQ327683:PGJ327683 POM327683:PQF327683 PYI327683:QAB327683 QIE327683:QJX327683 QSA327683:QTT327683 RBW327683:RDP327683 RLS327683:RNL327683 RVO327683:RXH327683 SFK327683:SHD327683 SPG327683:SQZ327683 SZC327683:TAV327683 TIY327683:TKR327683 TSU327683:TUN327683 UCQ327683:UEJ327683 UMM327683:UOF327683 UWI327683:UYB327683 VGE327683:VHX327683 VQA327683:VRT327683 VZW327683:WBP327683 WJS327683:WLL327683 WTO327683:WVH327683 XDK327683:XFD327683 HC393219:IV393219 QY393219:SR393219 AAU393219:ACN393219 AKQ393219:AMJ393219 AUM393219:AWF393219 BEI393219:BGB393219 BOE393219:BPX393219 BYA393219:BZT393219 CHW393219:CJP393219 CRS393219:CTL393219 DBO393219:DDH393219 DLK393219:DND393219 DVG393219:DWZ393219 EFC393219:EGV393219 EOY393219:EQR393219 EYU393219:FAN393219 FIQ393219:FKJ393219 FSM393219:FUF393219 GCI393219:GEB393219 GME393219:GNX393219 GWA393219:GXT393219 HFW393219:HHP393219 HPS393219:HRL393219 HZO393219:IBH393219 IJK393219:ILD393219 ITG393219:IUZ393219 JDC393219:JEV393219 JMY393219:JOR393219 JWU393219:JYN393219 KGQ393219:KIJ393219 KQM393219:KSF393219 LAI393219:LCB393219 LKE393219:LLX393219 LUA393219:LVT393219 MDW393219:MFP393219 MNS393219:MPL393219 MXO393219:MZH393219 NHK393219:NJD393219 NRG393219:NSZ393219 OBC393219:OCV393219 OKY393219:OMR393219 OUU393219:OWN393219 PEQ393219:PGJ393219 POM393219:PQF393219 PYI393219:QAB393219 QIE393219:QJX393219 QSA393219:QTT393219 RBW393219:RDP393219 RLS393219:RNL393219 RVO393219:RXH393219 SFK393219:SHD393219 SPG393219:SQZ393219 SZC393219:TAV393219 TIY393219:TKR393219 TSU393219:TUN393219 UCQ393219:UEJ393219 UMM393219:UOF393219 UWI393219:UYB393219 VGE393219:VHX393219 VQA393219:VRT393219 VZW393219:WBP393219 WJS393219:WLL393219 WTO393219:WVH393219 XDK393219:XFD393219 HC458755:IV458755 QY458755:SR458755 AAU458755:ACN458755 AKQ458755:AMJ458755 AUM458755:AWF458755 BEI458755:BGB458755 BOE458755:BPX458755 BYA458755:BZT458755 CHW458755:CJP458755 CRS458755:CTL458755 DBO458755:DDH458755 DLK458755:DND458755 DVG458755:DWZ458755 EFC458755:EGV458755 EOY458755:EQR458755 EYU458755:FAN458755 FIQ458755:FKJ458755 FSM458755:FUF458755 GCI458755:GEB458755 GME458755:GNX458755 GWA458755:GXT458755 HFW458755:HHP458755 HPS458755:HRL458755 HZO458755:IBH458755 IJK458755:ILD458755 ITG458755:IUZ458755 JDC458755:JEV458755 JMY458755:JOR458755 JWU458755:JYN458755 KGQ458755:KIJ458755 KQM458755:KSF458755 LAI458755:LCB458755 LKE458755:LLX458755 LUA458755:LVT458755 MDW458755:MFP458755 MNS458755:MPL458755 MXO458755:MZH458755 NHK458755:NJD458755 NRG458755:NSZ458755 OBC458755:OCV458755 OKY458755:OMR458755 OUU458755:OWN458755 PEQ458755:PGJ458755 POM458755:PQF458755 PYI458755:QAB458755 QIE458755:QJX458755 QSA458755:QTT458755 RBW458755:RDP458755 RLS458755:RNL458755 RVO458755:RXH458755 SFK458755:SHD458755 SPG458755:SQZ458755 SZC458755:TAV458755 TIY458755:TKR458755 TSU458755:TUN458755 UCQ458755:UEJ458755 UMM458755:UOF458755 UWI458755:UYB458755 VGE458755:VHX458755 VQA458755:VRT458755 VZW458755:WBP458755 WJS458755:WLL458755 WTO458755:WVH458755 XDK458755:XFD458755 HC524291:IV524291 QY524291:SR524291 AAU524291:ACN524291 AKQ524291:AMJ524291 AUM524291:AWF524291 BEI524291:BGB524291 BOE524291:BPX524291 BYA524291:BZT524291 CHW524291:CJP524291 CRS524291:CTL524291 DBO524291:DDH524291 DLK524291:DND524291 DVG524291:DWZ524291 EFC524291:EGV524291 EOY524291:EQR524291 EYU524291:FAN524291 FIQ524291:FKJ524291 FSM524291:FUF524291 GCI524291:GEB524291 GME524291:GNX524291 GWA524291:GXT524291 HFW524291:HHP524291 HPS524291:HRL524291 HZO524291:IBH524291 IJK524291:ILD524291 ITG524291:IUZ524291 JDC524291:JEV524291 JMY524291:JOR524291 JWU524291:JYN524291 KGQ524291:KIJ524291 KQM524291:KSF524291 LAI524291:LCB524291 LKE524291:LLX524291 LUA524291:LVT524291 MDW524291:MFP524291 MNS524291:MPL524291 MXO524291:MZH524291 NHK524291:NJD524291 NRG524291:NSZ524291 OBC524291:OCV524291 OKY524291:OMR524291 OUU524291:OWN524291 PEQ524291:PGJ524291 POM524291:PQF524291 PYI524291:QAB524291 QIE524291:QJX524291 QSA524291:QTT524291 RBW524291:RDP524291 RLS524291:RNL524291 RVO524291:RXH524291 SFK524291:SHD524291 SPG524291:SQZ524291 SZC524291:TAV524291 TIY524291:TKR524291 TSU524291:TUN524291 UCQ524291:UEJ524291 UMM524291:UOF524291 UWI524291:UYB524291 VGE524291:VHX524291 VQA524291:VRT524291 VZW524291:WBP524291 WJS524291:WLL524291 WTO524291:WVH524291 XDK524291:XFD524291 HC589827:IV589827 QY589827:SR589827 AAU589827:ACN589827 AKQ589827:AMJ589827 AUM589827:AWF589827 BEI589827:BGB589827 BOE589827:BPX589827 BYA589827:BZT589827 CHW589827:CJP589827 CRS589827:CTL589827 DBO589827:DDH589827 DLK589827:DND589827 DVG589827:DWZ589827 EFC589827:EGV589827 EOY589827:EQR589827 EYU589827:FAN589827 FIQ589827:FKJ589827 FSM589827:FUF589827 GCI589827:GEB589827 GME589827:GNX589827 GWA589827:GXT589827 HFW589827:HHP589827 HPS589827:HRL589827 HZO589827:IBH589827 IJK589827:ILD589827 ITG589827:IUZ589827 JDC589827:JEV589827 JMY589827:JOR589827 JWU589827:JYN589827 KGQ589827:KIJ589827 KQM589827:KSF589827 LAI589827:LCB589827 LKE589827:LLX589827 LUA589827:LVT589827 MDW589827:MFP589827 MNS589827:MPL589827 MXO589827:MZH589827 NHK589827:NJD589827 NRG589827:NSZ589827 OBC589827:OCV589827 OKY589827:OMR589827 OUU589827:OWN589827 PEQ589827:PGJ589827 POM589827:PQF589827 PYI589827:QAB589827 QIE589827:QJX589827 QSA589827:QTT589827 RBW589827:RDP589827 RLS589827:RNL589827 RVO589827:RXH589827 SFK589827:SHD589827 SPG589827:SQZ589827 SZC589827:TAV589827 TIY589827:TKR589827 TSU589827:TUN589827 UCQ589827:UEJ589827 UMM589827:UOF589827 UWI589827:UYB589827 VGE589827:VHX589827 VQA589827:VRT589827 VZW589827:WBP589827 WJS589827:WLL589827 WTO589827:WVH589827 XDK589827:XFD589827 HC655363:IV655363 QY655363:SR655363 AAU655363:ACN655363 AKQ655363:AMJ655363 AUM655363:AWF655363 BEI655363:BGB655363 BOE655363:BPX655363 BYA655363:BZT655363 CHW655363:CJP655363 CRS655363:CTL655363 DBO655363:DDH655363 DLK655363:DND655363 DVG655363:DWZ655363 EFC655363:EGV655363 EOY655363:EQR655363 EYU655363:FAN655363 FIQ655363:FKJ655363 FSM655363:FUF655363 GCI655363:GEB655363 GME655363:GNX655363 GWA655363:GXT655363 HFW655363:HHP655363 HPS655363:HRL655363 HZO655363:IBH655363 IJK655363:ILD655363 ITG655363:IUZ655363 JDC655363:JEV655363 JMY655363:JOR655363 JWU655363:JYN655363 KGQ655363:KIJ655363 KQM655363:KSF655363 LAI655363:LCB655363 LKE655363:LLX655363 LUA655363:LVT655363 MDW655363:MFP655363 MNS655363:MPL655363 MXO655363:MZH655363 NHK655363:NJD655363 NRG655363:NSZ655363 OBC655363:OCV655363 OKY655363:OMR655363 OUU655363:OWN655363 PEQ655363:PGJ655363 POM655363:PQF655363 PYI655363:QAB655363 QIE655363:QJX655363 QSA655363:QTT655363 RBW655363:RDP655363 RLS655363:RNL655363 RVO655363:RXH655363 SFK655363:SHD655363 SPG655363:SQZ655363 SZC655363:TAV655363 TIY655363:TKR655363 TSU655363:TUN655363 UCQ655363:UEJ655363 UMM655363:UOF655363 UWI655363:UYB655363 VGE655363:VHX655363 VQA655363:VRT655363 VZW655363:WBP655363 WJS655363:WLL655363 WTO655363:WVH655363 XDK655363:XFD655363 HC720899:IV720899 QY720899:SR720899 AAU720899:ACN720899 AKQ720899:AMJ720899 AUM720899:AWF720899 BEI720899:BGB720899 BOE720899:BPX720899 BYA720899:BZT720899 CHW720899:CJP720899 CRS720899:CTL720899 DBO720899:DDH720899 DLK720899:DND720899 DVG720899:DWZ720899 EFC720899:EGV720899 EOY720899:EQR720899 EYU720899:FAN720899 FIQ720899:FKJ720899 FSM720899:FUF720899 GCI720899:GEB720899 GME720899:GNX720899 GWA720899:GXT720899 HFW720899:HHP720899 HPS720899:HRL720899 HZO720899:IBH720899 IJK720899:ILD720899 ITG720899:IUZ720899 JDC720899:JEV720899 JMY720899:JOR720899 JWU720899:JYN720899 KGQ720899:KIJ720899 KQM720899:KSF720899 LAI720899:LCB720899 LKE720899:LLX720899 LUA720899:LVT720899 MDW720899:MFP720899 MNS720899:MPL720899 MXO720899:MZH720899 NHK720899:NJD720899 NRG720899:NSZ720899 OBC720899:OCV720899 OKY720899:OMR720899 OUU720899:OWN720899 PEQ720899:PGJ720899 POM720899:PQF720899 PYI720899:QAB720899 QIE720899:QJX720899 QSA720899:QTT720899 RBW720899:RDP720899 RLS720899:RNL720899 RVO720899:RXH720899 SFK720899:SHD720899 SPG720899:SQZ720899 SZC720899:TAV720899 TIY720899:TKR720899 TSU720899:TUN720899 UCQ720899:UEJ720899 UMM720899:UOF720899 UWI720899:UYB720899 VGE720899:VHX720899 VQA720899:VRT720899 VZW720899:WBP720899 WJS720899:WLL720899 WTO720899:WVH720899 XDK720899:XFD720899 HC786435:IV786435 QY786435:SR786435 AAU786435:ACN786435 AKQ786435:AMJ786435 AUM786435:AWF786435 BEI786435:BGB786435 BOE786435:BPX786435 BYA786435:BZT786435 CHW786435:CJP786435 CRS786435:CTL786435 DBO786435:DDH786435 DLK786435:DND786435 DVG786435:DWZ786435 EFC786435:EGV786435 EOY786435:EQR786435 EYU786435:FAN786435 FIQ786435:FKJ786435 FSM786435:FUF786435 GCI786435:GEB786435 GME786435:GNX786435 GWA786435:GXT786435 HFW786435:HHP786435 HPS786435:HRL786435 HZO786435:IBH786435 IJK786435:ILD786435 ITG786435:IUZ786435 JDC786435:JEV786435 JMY786435:JOR786435 JWU786435:JYN786435 KGQ786435:KIJ786435 KQM786435:KSF786435 LAI786435:LCB786435 LKE786435:LLX786435 LUA786435:LVT786435 MDW786435:MFP786435 MNS786435:MPL786435 MXO786435:MZH786435 NHK786435:NJD786435 NRG786435:NSZ786435 OBC786435:OCV786435 OKY786435:OMR786435 OUU786435:OWN786435 PEQ786435:PGJ786435 POM786435:PQF786435 PYI786435:QAB786435 QIE786435:QJX786435 QSA786435:QTT786435 RBW786435:RDP786435 RLS786435:RNL786435 RVO786435:RXH786435 SFK786435:SHD786435 SPG786435:SQZ786435 SZC786435:TAV786435 TIY786435:TKR786435 TSU786435:TUN786435 UCQ786435:UEJ786435 UMM786435:UOF786435 UWI786435:UYB786435 VGE786435:VHX786435 VQA786435:VRT786435 VZW786435:WBP786435 WJS786435:WLL786435 WTO786435:WVH786435 XDK786435:XFD786435 HC851971:IV851971 QY851971:SR851971 AAU851971:ACN851971 AKQ851971:AMJ851971 AUM851971:AWF851971 BEI851971:BGB851971 BOE851971:BPX851971 BYA851971:BZT851971 CHW851971:CJP851971 CRS851971:CTL851971 DBO851971:DDH851971 DLK851971:DND851971 DVG851971:DWZ851971 EFC851971:EGV851971 EOY851971:EQR851971 EYU851971:FAN851971 FIQ851971:FKJ851971 FSM851971:FUF851971 GCI851971:GEB851971 GME851971:GNX851971 GWA851971:GXT851971 HFW851971:HHP851971 HPS851971:HRL851971 HZO851971:IBH851971 IJK851971:ILD851971 ITG851971:IUZ851971 JDC851971:JEV851971 JMY851971:JOR851971 JWU851971:JYN851971 KGQ851971:KIJ851971 KQM851971:KSF851971 LAI851971:LCB851971 LKE851971:LLX851971 LUA851971:LVT851971 MDW851971:MFP851971 MNS851971:MPL851971 MXO851971:MZH851971 NHK851971:NJD851971 NRG851971:NSZ851971 OBC851971:OCV851971 OKY851971:OMR851971 OUU851971:OWN851971 PEQ851971:PGJ851971 POM851971:PQF851971 PYI851971:QAB851971 QIE851971:QJX851971 QSA851971:QTT851971 RBW851971:RDP851971 RLS851971:RNL851971 RVO851971:RXH851971 SFK851971:SHD851971 SPG851971:SQZ851971 SZC851971:TAV851971 TIY851971:TKR851971 TSU851971:TUN851971 UCQ851971:UEJ851971 UMM851971:UOF851971 UWI851971:UYB851971 VGE851971:VHX851971 VQA851971:VRT851971 VZW851971:WBP851971 WJS851971:WLL851971 WTO851971:WVH851971 XDK851971:XFD851971 HC917507:IV917507 QY917507:SR917507 AAU917507:ACN917507 AKQ917507:AMJ917507 AUM917507:AWF917507 BEI917507:BGB917507 BOE917507:BPX917507 BYA917507:BZT917507 CHW917507:CJP917507 CRS917507:CTL917507 DBO917507:DDH917507 DLK917507:DND917507 DVG917507:DWZ917507 EFC917507:EGV917507 EOY917507:EQR917507 EYU917507:FAN917507 FIQ917507:FKJ917507 FSM917507:FUF917507 GCI917507:GEB917507 GME917507:GNX917507 GWA917507:GXT917507 HFW917507:HHP917507 HPS917507:HRL917507 HZO917507:IBH917507 IJK917507:ILD917507 ITG917507:IUZ917507 JDC917507:JEV917507 JMY917507:JOR917507 JWU917507:JYN917507 KGQ917507:KIJ917507 KQM917507:KSF917507 LAI917507:LCB917507 LKE917507:LLX917507 LUA917507:LVT917507 MDW917507:MFP917507 MNS917507:MPL917507 MXO917507:MZH917507 NHK917507:NJD917507 NRG917507:NSZ917507 OBC917507:OCV917507 OKY917507:OMR917507 OUU917507:OWN917507 PEQ917507:PGJ917507 POM917507:PQF917507 PYI917507:QAB917507 QIE917507:QJX917507 QSA917507:QTT917507 RBW917507:RDP917507 RLS917507:RNL917507 RVO917507:RXH917507 SFK917507:SHD917507 SPG917507:SQZ917507 SZC917507:TAV917507 TIY917507:TKR917507 TSU917507:TUN917507 UCQ917507:UEJ917507 UMM917507:UOF917507 UWI917507:UYB917507 VGE917507:VHX917507 VQA917507:VRT917507 VZW917507:WBP917507 WJS917507:WLL917507 WTO917507:WVH917507 XDK917507:XFD917507 HC983043:IV983043 QY983043:SR983043 AAU983043:ACN983043 AKQ983043:AMJ983043 AUM983043:AWF983043 BEI983043:BGB983043 BOE983043:BPX983043 BYA983043:BZT983043 CHW983043:CJP983043 CRS983043:CTL983043 DBO983043:DDH983043 DLK983043:DND983043 DVG983043:DWZ983043 EFC983043:EGV983043 EOY983043:EQR983043 EYU983043:FAN983043 FIQ983043:FKJ983043 FSM983043:FUF983043 GCI983043:GEB983043 GME983043:GNX983043 GWA983043:GXT983043 HFW983043:HHP983043 HPS983043:HRL983043 HZO983043:IBH983043 IJK983043:ILD983043 ITG983043:IUZ983043 JDC983043:JEV983043 JMY983043:JOR983043 JWU983043:JYN983043 KGQ983043:KIJ983043 KQM983043:KSF983043 LAI983043:LCB983043 LKE983043:LLX983043 LUA983043:LVT983043 MDW983043:MFP983043 MNS983043:MPL983043 MXO983043:MZH983043 NHK983043:NJD983043 NRG983043:NSZ983043 OBC983043:OCV983043 OKY983043:OMR983043 OUU983043:OWN983043 PEQ983043:PGJ983043 POM983043:PQF983043 PYI983043:QAB983043 QIE983043:QJX983043 QSA983043:QTT983043 RBW983043:RDP983043 RLS983043:RNL983043 RVO983043:RXH983043 SFK983043:SHD983043 SPG983043:SQZ983043 SZC983043:TAV983043 TIY983043:TKR983043 TSU983043:TUN983043 UCQ983043:UEJ983043 UMM983043:UOF983043 UWI983043:UYB983043 VGE983043:VHX983043 VQA983043:VRT983043 VZW983043:WBP983043 WJS983043:WLL983043 WTO983043:WVH983043 XDK983043:XFD983043 WVN983043 JB3 SX3 ACT3 AMP3 AWL3 BGH3 BQD3 BZZ3 CJV3 CTR3 DDN3 DNJ3 DXF3 EHB3 EQX3 FAT3 FKP3 FUL3 GEH3 GOD3 GXZ3 HHV3 HRR3 IBN3 ILJ3 IVF3 JFB3 JOX3 JYT3 KIP3 KSL3 LCH3 LMD3 LVZ3 MFV3 MPR3 MZN3 NJJ3 NTF3 ODB3 OMX3 OWT3 PGP3 PQL3 QAH3 QKD3 QTZ3 RDV3 RNR3 RXN3 SHJ3 SRF3 TBB3 TKX3 TUT3 UEP3 UOL3 UYH3 VID3 VRZ3 WBV3 WLR3 WVN3 F65539 JB65539 SX65539 ACT65539 AMP65539 AWL65539 BGH65539 BQD65539 BZZ65539 CJV65539 CTR65539 DDN65539 DNJ65539 DXF65539 EHB65539 EQX65539 FAT65539 FKP65539 FUL65539 GEH65539 GOD65539 GXZ65539 HHV65539 HRR65539 IBN65539 ILJ65539 IVF65539 JFB65539 JOX65539 JYT65539 KIP65539 KSL65539 LCH65539 LMD65539 LVZ65539 MFV65539 MPR65539 MZN65539 NJJ65539 NTF65539 ODB65539 OMX65539 OWT65539 PGP65539 PQL65539 QAH65539 QKD65539 QTZ65539 RDV65539 RNR65539 RXN65539 SHJ65539 SRF65539 TBB65539 TKX65539 TUT65539 UEP65539 UOL65539 UYH65539 VID65539 VRZ65539 WBV65539 WLR65539 WVN65539 F131075 JB131075 SX131075 ACT131075 AMP131075 AWL131075 BGH131075 BQD131075 BZZ131075 CJV131075 CTR131075 DDN131075 DNJ131075 DXF131075 EHB131075 EQX131075 FAT131075 FKP131075 FUL131075 GEH131075 GOD131075 GXZ131075 HHV131075 HRR131075 IBN131075 ILJ131075 IVF131075 JFB131075 JOX131075 JYT131075 KIP131075 KSL131075 LCH131075 LMD131075 LVZ131075 MFV131075 MPR131075 MZN131075 NJJ131075 NTF131075 ODB131075 OMX131075 OWT131075 PGP131075 PQL131075 QAH131075 QKD131075 QTZ131075 RDV131075 RNR131075 RXN131075 SHJ131075 SRF131075 TBB131075 TKX131075 TUT131075 UEP131075 UOL131075 UYH131075 VID131075 VRZ131075 WBV131075 WLR131075 WVN131075 F196611 JB196611 SX196611 ACT196611 AMP196611 AWL196611 BGH196611 BQD196611 BZZ196611 CJV196611 CTR196611 DDN196611 DNJ196611 DXF196611 EHB196611 EQX196611 FAT196611 FKP196611 FUL196611 GEH196611 GOD196611 GXZ196611 HHV196611 HRR196611 IBN196611 ILJ196611 IVF196611 JFB196611 JOX196611 JYT196611 KIP196611 KSL196611 LCH196611 LMD196611 LVZ196611 MFV196611 MPR196611 MZN196611 NJJ196611 NTF196611 ODB196611 OMX196611 OWT196611 PGP196611 PQL196611 QAH196611 QKD196611 QTZ196611 RDV196611 RNR196611 RXN196611 SHJ196611 SRF196611 TBB196611 TKX196611 TUT196611 UEP196611 UOL196611 UYH196611 VID196611 VRZ196611 WBV196611 WLR196611 WVN196611 F262147 JB262147 SX262147 ACT262147 AMP262147 AWL262147 BGH262147 BQD262147 BZZ262147 CJV262147 CTR262147 DDN262147 DNJ262147 DXF262147 EHB262147 EQX262147 FAT262147 FKP262147 FUL262147 GEH262147 GOD262147 GXZ262147 HHV262147 HRR262147 IBN262147 ILJ262147 IVF262147 JFB262147 JOX262147 JYT262147 KIP262147 KSL262147 LCH262147 LMD262147 LVZ262147 MFV262147 MPR262147 MZN262147 NJJ262147 NTF262147 ODB262147 OMX262147 OWT262147 PGP262147 PQL262147 QAH262147 QKD262147 QTZ262147 RDV262147 RNR262147 RXN262147 SHJ262147 SRF262147 TBB262147 TKX262147 TUT262147 UEP262147 UOL262147 UYH262147 VID262147 VRZ262147 WBV262147 WLR262147 WVN262147 F327683 JB327683 SX327683 ACT327683 AMP327683 AWL327683 BGH327683 BQD327683 BZZ327683 CJV327683 CTR327683 DDN327683 DNJ327683 DXF327683 EHB327683 EQX327683 FAT327683 FKP327683 FUL327683 GEH327683 GOD327683 GXZ327683 HHV327683 HRR327683 IBN327683 ILJ327683 IVF327683 JFB327683 JOX327683 JYT327683 KIP327683 KSL327683 LCH327683 LMD327683 LVZ327683 MFV327683 MPR327683 MZN327683 NJJ327683 NTF327683 ODB327683 OMX327683 OWT327683 PGP327683 PQL327683 QAH327683 QKD327683 QTZ327683 RDV327683 RNR327683 RXN327683 SHJ327683 SRF327683 TBB327683 TKX327683 TUT327683 UEP327683 UOL327683 UYH327683 VID327683 VRZ327683 WBV327683 WLR327683 WVN327683 F393219 JB393219 SX393219 ACT393219 AMP393219 AWL393219 BGH393219 BQD393219 BZZ393219 CJV393219 CTR393219 DDN393219 DNJ393219 DXF393219 EHB393219 EQX393219 FAT393219 FKP393219 FUL393219 GEH393219 GOD393219 GXZ393219 HHV393219 HRR393219 IBN393219 ILJ393219 IVF393219 JFB393219 JOX393219 JYT393219 KIP393219 KSL393219 LCH393219 LMD393219 LVZ393219 MFV393219 MPR393219 MZN393219 NJJ393219 NTF393219 ODB393219 OMX393219 OWT393219 PGP393219 PQL393219 QAH393219 QKD393219 QTZ393219 RDV393219 RNR393219 RXN393219 SHJ393219 SRF393219 TBB393219 TKX393219 TUT393219 UEP393219 UOL393219 UYH393219 VID393219 VRZ393219 WBV393219 WLR393219 WVN393219 F458755 JB458755 SX458755 ACT458755 AMP458755 AWL458755 BGH458755 BQD458755 BZZ458755 CJV458755 CTR458755 DDN458755 DNJ458755 DXF458755 EHB458755 EQX458755 FAT458755 FKP458755 FUL458755 GEH458755 GOD458755 GXZ458755 HHV458755 HRR458755 IBN458755 ILJ458755 IVF458755 JFB458755 JOX458755 JYT458755 KIP458755 KSL458755 LCH458755 LMD458755 LVZ458755 MFV458755 MPR458755 MZN458755 NJJ458755 NTF458755 ODB458755 OMX458755 OWT458755 PGP458755 PQL458755 QAH458755 QKD458755 QTZ458755 RDV458755 RNR458755 RXN458755 SHJ458755 SRF458755 TBB458755 TKX458755 TUT458755 UEP458755 UOL458755 UYH458755 VID458755 VRZ458755 WBV458755 WLR458755 WVN458755 F524291 JB524291 SX524291 ACT524291 AMP524291 AWL524291 BGH524291 BQD524291 BZZ524291 CJV524291 CTR524291 DDN524291 DNJ524291 DXF524291 EHB524291 EQX524291 FAT524291 FKP524291 FUL524291 GEH524291 GOD524291 GXZ524291 HHV524291 HRR524291 IBN524291 ILJ524291 IVF524291 JFB524291 JOX524291 JYT524291 KIP524291 KSL524291 LCH524291 LMD524291 LVZ524291 MFV524291 MPR524291 MZN524291 NJJ524291 NTF524291 ODB524291 OMX524291 OWT524291 PGP524291 PQL524291 QAH524291 QKD524291 QTZ524291 RDV524291 RNR524291 RXN524291 SHJ524291 SRF524291 TBB524291 TKX524291 TUT524291 UEP524291 UOL524291 UYH524291 VID524291 VRZ524291 WBV524291 WLR524291 WVN524291 F589827 JB589827 SX589827 ACT589827 AMP589827 AWL589827 BGH589827 BQD589827 BZZ589827 CJV589827 CTR589827 DDN589827 DNJ589827 DXF589827 EHB589827 EQX589827 FAT589827 FKP589827 FUL589827 GEH589827 GOD589827 GXZ589827 HHV589827 HRR589827 IBN589827 ILJ589827 IVF589827 JFB589827 JOX589827 JYT589827 KIP589827 KSL589827 LCH589827 LMD589827 LVZ589827 MFV589827 MPR589827 MZN589827 NJJ589827 NTF589827 ODB589827 OMX589827 OWT589827 PGP589827 PQL589827 QAH589827 QKD589827 QTZ589827 RDV589827 RNR589827 RXN589827 SHJ589827 SRF589827 TBB589827 TKX589827 TUT589827 UEP589827 UOL589827 UYH589827 VID589827 VRZ589827 WBV589827 WLR589827 WVN589827 F655363 JB655363 SX655363 ACT655363 AMP655363 AWL655363 BGH655363 BQD655363 BZZ655363 CJV655363 CTR655363 DDN655363 DNJ655363 DXF655363 EHB655363 EQX655363 FAT655363 FKP655363 FUL655363 GEH655363 GOD655363 GXZ655363 HHV655363 HRR655363 IBN655363 ILJ655363 IVF655363 JFB655363 JOX655363 JYT655363 KIP655363 KSL655363 LCH655363 LMD655363 LVZ655363 MFV655363 MPR655363 MZN655363 NJJ655363 NTF655363 ODB655363 OMX655363 OWT655363 PGP655363 PQL655363 QAH655363 QKD655363 QTZ655363 RDV655363 RNR655363 RXN655363 SHJ655363 SRF655363 TBB655363 TKX655363 TUT655363 UEP655363 UOL655363 UYH655363 VID655363 VRZ655363 WBV655363 WLR655363 WVN655363 F720899 JB720899 SX720899 ACT720899 AMP720899 AWL720899 BGH720899 BQD720899 BZZ720899 CJV720899 CTR720899 DDN720899 DNJ720899 DXF720899 EHB720899 EQX720899 FAT720899 FKP720899 FUL720899 GEH720899 GOD720899 GXZ720899 HHV720899 HRR720899 IBN720899 ILJ720899 IVF720899 JFB720899 JOX720899 JYT720899 KIP720899 KSL720899 LCH720899 LMD720899 LVZ720899 MFV720899 MPR720899 MZN720899 NJJ720899 NTF720899 ODB720899 OMX720899 OWT720899 PGP720899 PQL720899 QAH720899 QKD720899 QTZ720899 RDV720899 RNR720899 RXN720899 SHJ720899 SRF720899 TBB720899 TKX720899 TUT720899 UEP720899 UOL720899 UYH720899 VID720899 VRZ720899 WBV720899 WLR720899 WVN720899 F786435 JB786435 SX786435 ACT786435 AMP786435 AWL786435 BGH786435 BQD786435 BZZ786435 CJV786435 CTR786435 DDN786435 DNJ786435 DXF786435 EHB786435 EQX786435 FAT786435 FKP786435 FUL786435 GEH786435 GOD786435 GXZ786435 HHV786435 HRR786435 IBN786435 ILJ786435 IVF786435 JFB786435 JOX786435 JYT786435 KIP786435 KSL786435 LCH786435 LMD786435 LVZ786435 MFV786435 MPR786435 MZN786435 NJJ786435 NTF786435 ODB786435 OMX786435 OWT786435 PGP786435 PQL786435 QAH786435 QKD786435 QTZ786435 RDV786435 RNR786435 RXN786435 SHJ786435 SRF786435 TBB786435 TKX786435 TUT786435 UEP786435 UOL786435 UYH786435 VID786435 VRZ786435 WBV786435 WLR786435 WVN786435 F851971 JB851971 SX851971 ACT851971 AMP851971 AWL851971 BGH851971 BQD851971 BZZ851971 CJV851971 CTR851971 DDN851971 DNJ851971 DXF851971 EHB851971 EQX851971 FAT851971 FKP851971 FUL851971 GEH851971 GOD851971 GXZ851971 HHV851971 HRR851971 IBN851971 ILJ851971 IVF851971 JFB851971 JOX851971 JYT851971 KIP851971 KSL851971 LCH851971 LMD851971 LVZ851971 MFV851971 MPR851971 MZN851971 NJJ851971 NTF851971 ODB851971 OMX851971 OWT851971 PGP851971 PQL851971 QAH851971 QKD851971 QTZ851971 RDV851971 RNR851971 RXN851971 SHJ851971 SRF851971 TBB851971 TKX851971 TUT851971 UEP851971 UOL851971 UYH851971 VID851971 VRZ851971 WBV851971 WLR851971 WVN851971 F917507 JB917507 SX917507 ACT917507 AMP917507 AWL917507 BGH917507 BQD917507 BZZ917507 CJV917507 CTR917507 DDN917507 DNJ917507 DXF917507 EHB917507 EQX917507 FAT917507 FKP917507 FUL917507 GEH917507 GOD917507 GXZ917507 HHV917507 HRR917507 IBN917507 ILJ917507 IVF917507 JFB917507 JOX917507 JYT917507 KIP917507 KSL917507 LCH917507 LMD917507 LVZ917507 MFV917507 MPR917507 MZN917507 NJJ917507 NTF917507 ODB917507 OMX917507 OWT917507 PGP917507 PQL917507 QAH917507 QKD917507 QTZ917507 RDV917507 RNR917507 RXN917507 SHJ917507 SRF917507 TBB917507 TKX917507 TUT917507 UEP917507 UOL917507 UYH917507 VID917507 VRZ917507 WBV917507 WLR917507 WVN917507 F983043 JB983043 SX983043 ACT983043 AMP983043 AWL983043 BGH983043 BQD983043 BZZ983043 CJV983043 CTR983043 DDN983043 DNJ983043 DXF983043 EHB983043 EQX983043 FAT983043 FKP983043 FUL983043 GEH983043 GOD983043 GXZ983043 HHV983043 HRR983043 IBN983043 ILJ983043 IVF983043 JFB983043 JOX983043 JYT983043 KIP983043 KSL983043 LCH983043 LMD983043 LVZ983043 MFV983043 MPR983043 MZN983043 NJJ983043 NTF983043 ODB983043 OMX983043 OWT983043 PGP983043 PQL983043 QAH983043 QKD983043 QTZ983043 RDV983043 RNR983043 RXN983043 SHJ983043 SRF983043 TBB983043 TKX983043 TUT983043 UEP983043 UOL983043 UYH983043 VID983043 VRZ983043 WBV983043 WLR983043">
      <formula1>lstSourceType</formula1>
    </dataValidation>
  </dataValidations>
  <pageMargins left="0.25" right="0.25" top="0.5" bottom="0.5" header="0.3" footer="0.3"/>
  <pageSetup scale="99" orientation="landscape" r:id="rId1"/>
  <headerFooter alignWithMargins="0">
    <oddFooter>Page &amp;P&amp;R&amp;F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M50"/>
  <sheetViews>
    <sheetView workbookViewId="0">
      <selection activeCell="J9" sqref="J9:K10"/>
    </sheetView>
  </sheetViews>
  <sheetFormatPr defaultColWidth="9.140625" defaultRowHeight="12.75" x14ac:dyDescent="0.2"/>
  <cols>
    <col min="1" max="1" width="3.140625" style="3" customWidth="1"/>
    <col min="2" max="2" width="21.7109375" style="3" customWidth="1"/>
    <col min="3" max="3" width="17.85546875" style="3" customWidth="1"/>
    <col min="4" max="4" width="17" style="3" customWidth="1"/>
    <col min="5" max="5" width="21.140625" style="3" customWidth="1"/>
    <col min="6" max="7" width="22" style="3" customWidth="1"/>
    <col min="8" max="8" width="17.42578125" style="3" customWidth="1"/>
    <col min="9" max="9" width="9.140625" style="3"/>
    <col min="10" max="10" width="18.42578125" style="3" customWidth="1"/>
    <col min="11" max="11" width="25.28515625" style="3" customWidth="1"/>
    <col min="12" max="256" width="9.140625" style="3"/>
    <col min="257" max="257" width="3.140625" style="3" customWidth="1"/>
    <col min="258" max="258" width="21.7109375" style="3" customWidth="1"/>
    <col min="259" max="259" width="17.85546875" style="3" customWidth="1"/>
    <col min="260" max="260" width="17" style="3" customWidth="1"/>
    <col min="261" max="261" width="21.140625" style="3" customWidth="1"/>
    <col min="262" max="263" width="22" style="3" customWidth="1"/>
    <col min="264" max="264" width="17.42578125" style="3" customWidth="1"/>
    <col min="265" max="265" width="9.140625" style="3"/>
    <col min="266" max="266" width="16.7109375" style="3" customWidth="1"/>
    <col min="267" max="267" width="25.28515625" style="3" customWidth="1"/>
    <col min="268" max="512" width="9.140625" style="3"/>
    <col min="513" max="513" width="3.140625" style="3" customWidth="1"/>
    <col min="514" max="514" width="21.7109375" style="3" customWidth="1"/>
    <col min="515" max="515" width="17.85546875" style="3" customWidth="1"/>
    <col min="516" max="516" width="17" style="3" customWidth="1"/>
    <col min="517" max="517" width="21.140625" style="3" customWidth="1"/>
    <col min="518" max="519" width="22" style="3" customWidth="1"/>
    <col min="520" max="520" width="17.42578125" style="3" customWidth="1"/>
    <col min="521" max="521" width="9.140625" style="3"/>
    <col min="522" max="522" width="16.7109375" style="3" customWidth="1"/>
    <col min="523" max="523" width="25.28515625" style="3" customWidth="1"/>
    <col min="524" max="768" width="9.140625" style="3"/>
    <col min="769" max="769" width="3.140625" style="3" customWidth="1"/>
    <col min="770" max="770" width="21.7109375" style="3" customWidth="1"/>
    <col min="771" max="771" width="17.85546875" style="3" customWidth="1"/>
    <col min="772" max="772" width="17" style="3" customWidth="1"/>
    <col min="773" max="773" width="21.140625" style="3" customWidth="1"/>
    <col min="774" max="775" width="22" style="3" customWidth="1"/>
    <col min="776" max="776" width="17.42578125" style="3" customWidth="1"/>
    <col min="777" max="777" width="9.140625" style="3"/>
    <col min="778" max="778" width="16.7109375" style="3" customWidth="1"/>
    <col min="779" max="779" width="25.28515625" style="3" customWidth="1"/>
    <col min="780" max="1024" width="9.140625" style="3"/>
    <col min="1025" max="1025" width="3.140625" style="3" customWidth="1"/>
    <col min="1026" max="1026" width="21.7109375" style="3" customWidth="1"/>
    <col min="1027" max="1027" width="17.85546875" style="3" customWidth="1"/>
    <col min="1028" max="1028" width="17" style="3" customWidth="1"/>
    <col min="1029" max="1029" width="21.140625" style="3" customWidth="1"/>
    <col min="1030" max="1031" width="22" style="3" customWidth="1"/>
    <col min="1032" max="1032" width="17.42578125" style="3" customWidth="1"/>
    <col min="1033" max="1033" width="9.140625" style="3"/>
    <col min="1034" max="1034" width="16.7109375" style="3" customWidth="1"/>
    <col min="1035" max="1035" width="25.28515625" style="3" customWidth="1"/>
    <col min="1036" max="1280" width="9.140625" style="3"/>
    <col min="1281" max="1281" width="3.140625" style="3" customWidth="1"/>
    <col min="1282" max="1282" width="21.7109375" style="3" customWidth="1"/>
    <col min="1283" max="1283" width="17.85546875" style="3" customWidth="1"/>
    <col min="1284" max="1284" width="17" style="3" customWidth="1"/>
    <col min="1285" max="1285" width="21.140625" style="3" customWidth="1"/>
    <col min="1286" max="1287" width="22" style="3" customWidth="1"/>
    <col min="1288" max="1288" width="17.42578125" style="3" customWidth="1"/>
    <col min="1289" max="1289" width="9.140625" style="3"/>
    <col min="1290" max="1290" width="16.7109375" style="3" customWidth="1"/>
    <col min="1291" max="1291" width="25.28515625" style="3" customWidth="1"/>
    <col min="1292" max="1536" width="9.140625" style="3"/>
    <col min="1537" max="1537" width="3.140625" style="3" customWidth="1"/>
    <col min="1538" max="1538" width="21.7109375" style="3" customWidth="1"/>
    <col min="1539" max="1539" width="17.85546875" style="3" customWidth="1"/>
    <col min="1540" max="1540" width="17" style="3" customWidth="1"/>
    <col min="1541" max="1541" width="21.140625" style="3" customWidth="1"/>
    <col min="1542" max="1543" width="22" style="3" customWidth="1"/>
    <col min="1544" max="1544" width="17.42578125" style="3" customWidth="1"/>
    <col min="1545" max="1545" width="9.140625" style="3"/>
    <col min="1546" max="1546" width="16.7109375" style="3" customWidth="1"/>
    <col min="1547" max="1547" width="25.28515625" style="3" customWidth="1"/>
    <col min="1548" max="1792" width="9.140625" style="3"/>
    <col min="1793" max="1793" width="3.140625" style="3" customWidth="1"/>
    <col min="1794" max="1794" width="21.7109375" style="3" customWidth="1"/>
    <col min="1795" max="1795" width="17.85546875" style="3" customWidth="1"/>
    <col min="1796" max="1796" width="17" style="3" customWidth="1"/>
    <col min="1797" max="1797" width="21.140625" style="3" customWidth="1"/>
    <col min="1798" max="1799" width="22" style="3" customWidth="1"/>
    <col min="1800" max="1800" width="17.42578125" style="3" customWidth="1"/>
    <col min="1801" max="1801" width="9.140625" style="3"/>
    <col min="1802" max="1802" width="16.7109375" style="3" customWidth="1"/>
    <col min="1803" max="1803" width="25.28515625" style="3" customWidth="1"/>
    <col min="1804" max="2048" width="9.140625" style="3"/>
    <col min="2049" max="2049" width="3.140625" style="3" customWidth="1"/>
    <col min="2050" max="2050" width="21.7109375" style="3" customWidth="1"/>
    <col min="2051" max="2051" width="17.85546875" style="3" customWidth="1"/>
    <col min="2052" max="2052" width="17" style="3" customWidth="1"/>
    <col min="2053" max="2053" width="21.140625" style="3" customWidth="1"/>
    <col min="2054" max="2055" width="22" style="3" customWidth="1"/>
    <col min="2056" max="2056" width="17.42578125" style="3" customWidth="1"/>
    <col min="2057" max="2057" width="9.140625" style="3"/>
    <col min="2058" max="2058" width="16.7109375" style="3" customWidth="1"/>
    <col min="2059" max="2059" width="25.28515625" style="3" customWidth="1"/>
    <col min="2060" max="2304" width="9.140625" style="3"/>
    <col min="2305" max="2305" width="3.140625" style="3" customWidth="1"/>
    <col min="2306" max="2306" width="21.7109375" style="3" customWidth="1"/>
    <col min="2307" max="2307" width="17.85546875" style="3" customWidth="1"/>
    <col min="2308" max="2308" width="17" style="3" customWidth="1"/>
    <col min="2309" max="2309" width="21.140625" style="3" customWidth="1"/>
    <col min="2310" max="2311" width="22" style="3" customWidth="1"/>
    <col min="2312" max="2312" width="17.42578125" style="3" customWidth="1"/>
    <col min="2313" max="2313" width="9.140625" style="3"/>
    <col min="2314" max="2314" width="16.7109375" style="3" customWidth="1"/>
    <col min="2315" max="2315" width="25.28515625" style="3" customWidth="1"/>
    <col min="2316" max="2560" width="9.140625" style="3"/>
    <col min="2561" max="2561" width="3.140625" style="3" customWidth="1"/>
    <col min="2562" max="2562" width="21.7109375" style="3" customWidth="1"/>
    <col min="2563" max="2563" width="17.85546875" style="3" customWidth="1"/>
    <col min="2564" max="2564" width="17" style="3" customWidth="1"/>
    <col min="2565" max="2565" width="21.140625" style="3" customWidth="1"/>
    <col min="2566" max="2567" width="22" style="3" customWidth="1"/>
    <col min="2568" max="2568" width="17.42578125" style="3" customWidth="1"/>
    <col min="2569" max="2569" width="9.140625" style="3"/>
    <col min="2570" max="2570" width="16.7109375" style="3" customWidth="1"/>
    <col min="2571" max="2571" width="25.28515625" style="3" customWidth="1"/>
    <col min="2572" max="2816" width="9.140625" style="3"/>
    <col min="2817" max="2817" width="3.140625" style="3" customWidth="1"/>
    <col min="2818" max="2818" width="21.7109375" style="3" customWidth="1"/>
    <col min="2819" max="2819" width="17.85546875" style="3" customWidth="1"/>
    <col min="2820" max="2820" width="17" style="3" customWidth="1"/>
    <col min="2821" max="2821" width="21.140625" style="3" customWidth="1"/>
    <col min="2822" max="2823" width="22" style="3" customWidth="1"/>
    <col min="2824" max="2824" width="17.42578125" style="3" customWidth="1"/>
    <col min="2825" max="2825" width="9.140625" style="3"/>
    <col min="2826" max="2826" width="16.7109375" style="3" customWidth="1"/>
    <col min="2827" max="2827" width="25.28515625" style="3" customWidth="1"/>
    <col min="2828" max="3072" width="9.140625" style="3"/>
    <col min="3073" max="3073" width="3.140625" style="3" customWidth="1"/>
    <col min="3074" max="3074" width="21.7109375" style="3" customWidth="1"/>
    <col min="3075" max="3075" width="17.85546875" style="3" customWidth="1"/>
    <col min="3076" max="3076" width="17" style="3" customWidth="1"/>
    <col min="3077" max="3077" width="21.140625" style="3" customWidth="1"/>
    <col min="3078" max="3079" width="22" style="3" customWidth="1"/>
    <col min="3080" max="3080" width="17.42578125" style="3" customWidth="1"/>
    <col min="3081" max="3081" width="9.140625" style="3"/>
    <col min="3082" max="3082" width="16.7109375" style="3" customWidth="1"/>
    <col min="3083" max="3083" width="25.28515625" style="3" customWidth="1"/>
    <col min="3084" max="3328" width="9.140625" style="3"/>
    <col min="3329" max="3329" width="3.140625" style="3" customWidth="1"/>
    <col min="3330" max="3330" width="21.7109375" style="3" customWidth="1"/>
    <col min="3331" max="3331" width="17.85546875" style="3" customWidth="1"/>
    <col min="3332" max="3332" width="17" style="3" customWidth="1"/>
    <col min="3333" max="3333" width="21.140625" style="3" customWidth="1"/>
    <col min="3334" max="3335" width="22" style="3" customWidth="1"/>
    <col min="3336" max="3336" width="17.42578125" style="3" customWidth="1"/>
    <col min="3337" max="3337" width="9.140625" style="3"/>
    <col min="3338" max="3338" width="16.7109375" style="3" customWidth="1"/>
    <col min="3339" max="3339" width="25.28515625" style="3" customWidth="1"/>
    <col min="3340" max="3584" width="9.140625" style="3"/>
    <col min="3585" max="3585" width="3.140625" style="3" customWidth="1"/>
    <col min="3586" max="3586" width="21.7109375" style="3" customWidth="1"/>
    <col min="3587" max="3587" width="17.85546875" style="3" customWidth="1"/>
    <col min="3588" max="3588" width="17" style="3" customWidth="1"/>
    <col min="3589" max="3589" width="21.140625" style="3" customWidth="1"/>
    <col min="3590" max="3591" width="22" style="3" customWidth="1"/>
    <col min="3592" max="3592" width="17.42578125" style="3" customWidth="1"/>
    <col min="3593" max="3593" width="9.140625" style="3"/>
    <col min="3594" max="3594" width="16.7109375" style="3" customWidth="1"/>
    <col min="3595" max="3595" width="25.28515625" style="3" customWidth="1"/>
    <col min="3596" max="3840" width="9.140625" style="3"/>
    <col min="3841" max="3841" width="3.140625" style="3" customWidth="1"/>
    <col min="3842" max="3842" width="21.7109375" style="3" customWidth="1"/>
    <col min="3843" max="3843" width="17.85546875" style="3" customWidth="1"/>
    <col min="3844" max="3844" width="17" style="3" customWidth="1"/>
    <col min="3845" max="3845" width="21.140625" style="3" customWidth="1"/>
    <col min="3846" max="3847" width="22" style="3" customWidth="1"/>
    <col min="3848" max="3848" width="17.42578125" style="3" customWidth="1"/>
    <col min="3849" max="3849" width="9.140625" style="3"/>
    <col min="3850" max="3850" width="16.7109375" style="3" customWidth="1"/>
    <col min="3851" max="3851" width="25.28515625" style="3" customWidth="1"/>
    <col min="3852" max="4096" width="9.140625" style="3"/>
    <col min="4097" max="4097" width="3.140625" style="3" customWidth="1"/>
    <col min="4098" max="4098" width="21.7109375" style="3" customWidth="1"/>
    <col min="4099" max="4099" width="17.85546875" style="3" customWidth="1"/>
    <col min="4100" max="4100" width="17" style="3" customWidth="1"/>
    <col min="4101" max="4101" width="21.140625" style="3" customWidth="1"/>
    <col min="4102" max="4103" width="22" style="3" customWidth="1"/>
    <col min="4104" max="4104" width="17.42578125" style="3" customWidth="1"/>
    <col min="4105" max="4105" width="9.140625" style="3"/>
    <col min="4106" max="4106" width="16.7109375" style="3" customWidth="1"/>
    <col min="4107" max="4107" width="25.28515625" style="3" customWidth="1"/>
    <col min="4108" max="4352" width="9.140625" style="3"/>
    <col min="4353" max="4353" width="3.140625" style="3" customWidth="1"/>
    <col min="4354" max="4354" width="21.7109375" style="3" customWidth="1"/>
    <col min="4355" max="4355" width="17.85546875" style="3" customWidth="1"/>
    <col min="4356" max="4356" width="17" style="3" customWidth="1"/>
    <col min="4357" max="4357" width="21.140625" style="3" customWidth="1"/>
    <col min="4358" max="4359" width="22" style="3" customWidth="1"/>
    <col min="4360" max="4360" width="17.42578125" style="3" customWidth="1"/>
    <col min="4361" max="4361" width="9.140625" style="3"/>
    <col min="4362" max="4362" width="16.7109375" style="3" customWidth="1"/>
    <col min="4363" max="4363" width="25.28515625" style="3" customWidth="1"/>
    <col min="4364" max="4608" width="9.140625" style="3"/>
    <col min="4609" max="4609" width="3.140625" style="3" customWidth="1"/>
    <col min="4610" max="4610" width="21.7109375" style="3" customWidth="1"/>
    <col min="4611" max="4611" width="17.85546875" style="3" customWidth="1"/>
    <col min="4612" max="4612" width="17" style="3" customWidth="1"/>
    <col min="4613" max="4613" width="21.140625" style="3" customWidth="1"/>
    <col min="4614" max="4615" width="22" style="3" customWidth="1"/>
    <col min="4616" max="4616" width="17.42578125" style="3" customWidth="1"/>
    <col min="4617" max="4617" width="9.140625" style="3"/>
    <col min="4618" max="4618" width="16.7109375" style="3" customWidth="1"/>
    <col min="4619" max="4619" width="25.28515625" style="3" customWidth="1"/>
    <col min="4620" max="4864" width="9.140625" style="3"/>
    <col min="4865" max="4865" width="3.140625" style="3" customWidth="1"/>
    <col min="4866" max="4866" width="21.7109375" style="3" customWidth="1"/>
    <col min="4867" max="4867" width="17.85546875" style="3" customWidth="1"/>
    <col min="4868" max="4868" width="17" style="3" customWidth="1"/>
    <col min="4869" max="4869" width="21.140625" style="3" customWidth="1"/>
    <col min="4870" max="4871" width="22" style="3" customWidth="1"/>
    <col min="4872" max="4872" width="17.42578125" style="3" customWidth="1"/>
    <col min="4873" max="4873" width="9.140625" style="3"/>
    <col min="4874" max="4874" width="16.7109375" style="3" customWidth="1"/>
    <col min="4875" max="4875" width="25.28515625" style="3" customWidth="1"/>
    <col min="4876" max="5120" width="9.140625" style="3"/>
    <col min="5121" max="5121" width="3.140625" style="3" customWidth="1"/>
    <col min="5122" max="5122" width="21.7109375" style="3" customWidth="1"/>
    <col min="5123" max="5123" width="17.85546875" style="3" customWidth="1"/>
    <col min="5124" max="5124" width="17" style="3" customWidth="1"/>
    <col min="5125" max="5125" width="21.140625" style="3" customWidth="1"/>
    <col min="5126" max="5127" width="22" style="3" customWidth="1"/>
    <col min="5128" max="5128" width="17.42578125" style="3" customWidth="1"/>
    <col min="5129" max="5129" width="9.140625" style="3"/>
    <col min="5130" max="5130" width="16.7109375" style="3" customWidth="1"/>
    <col min="5131" max="5131" width="25.28515625" style="3" customWidth="1"/>
    <col min="5132" max="5376" width="9.140625" style="3"/>
    <col min="5377" max="5377" width="3.140625" style="3" customWidth="1"/>
    <col min="5378" max="5378" width="21.7109375" style="3" customWidth="1"/>
    <col min="5379" max="5379" width="17.85546875" style="3" customWidth="1"/>
    <col min="5380" max="5380" width="17" style="3" customWidth="1"/>
    <col min="5381" max="5381" width="21.140625" style="3" customWidth="1"/>
    <col min="5382" max="5383" width="22" style="3" customWidth="1"/>
    <col min="5384" max="5384" width="17.42578125" style="3" customWidth="1"/>
    <col min="5385" max="5385" width="9.140625" style="3"/>
    <col min="5386" max="5386" width="16.7109375" style="3" customWidth="1"/>
    <col min="5387" max="5387" width="25.28515625" style="3" customWidth="1"/>
    <col min="5388" max="5632" width="9.140625" style="3"/>
    <col min="5633" max="5633" width="3.140625" style="3" customWidth="1"/>
    <col min="5634" max="5634" width="21.7109375" style="3" customWidth="1"/>
    <col min="5635" max="5635" width="17.85546875" style="3" customWidth="1"/>
    <col min="5636" max="5636" width="17" style="3" customWidth="1"/>
    <col min="5637" max="5637" width="21.140625" style="3" customWidth="1"/>
    <col min="5638" max="5639" width="22" style="3" customWidth="1"/>
    <col min="5640" max="5640" width="17.42578125" style="3" customWidth="1"/>
    <col min="5641" max="5641" width="9.140625" style="3"/>
    <col min="5642" max="5642" width="16.7109375" style="3" customWidth="1"/>
    <col min="5643" max="5643" width="25.28515625" style="3" customWidth="1"/>
    <col min="5644" max="5888" width="9.140625" style="3"/>
    <col min="5889" max="5889" width="3.140625" style="3" customWidth="1"/>
    <col min="5890" max="5890" width="21.7109375" style="3" customWidth="1"/>
    <col min="5891" max="5891" width="17.85546875" style="3" customWidth="1"/>
    <col min="5892" max="5892" width="17" style="3" customWidth="1"/>
    <col min="5893" max="5893" width="21.140625" style="3" customWidth="1"/>
    <col min="5894" max="5895" width="22" style="3" customWidth="1"/>
    <col min="5896" max="5896" width="17.42578125" style="3" customWidth="1"/>
    <col min="5897" max="5897" width="9.140625" style="3"/>
    <col min="5898" max="5898" width="16.7109375" style="3" customWidth="1"/>
    <col min="5899" max="5899" width="25.28515625" style="3" customWidth="1"/>
    <col min="5900" max="6144" width="9.140625" style="3"/>
    <col min="6145" max="6145" width="3.140625" style="3" customWidth="1"/>
    <col min="6146" max="6146" width="21.7109375" style="3" customWidth="1"/>
    <col min="6147" max="6147" width="17.85546875" style="3" customWidth="1"/>
    <col min="6148" max="6148" width="17" style="3" customWidth="1"/>
    <col min="6149" max="6149" width="21.140625" style="3" customWidth="1"/>
    <col min="6150" max="6151" width="22" style="3" customWidth="1"/>
    <col min="6152" max="6152" width="17.42578125" style="3" customWidth="1"/>
    <col min="6153" max="6153" width="9.140625" style="3"/>
    <col min="6154" max="6154" width="16.7109375" style="3" customWidth="1"/>
    <col min="6155" max="6155" width="25.28515625" style="3" customWidth="1"/>
    <col min="6156" max="6400" width="9.140625" style="3"/>
    <col min="6401" max="6401" width="3.140625" style="3" customWidth="1"/>
    <col min="6402" max="6402" width="21.7109375" style="3" customWidth="1"/>
    <col min="6403" max="6403" width="17.85546875" style="3" customWidth="1"/>
    <col min="6404" max="6404" width="17" style="3" customWidth="1"/>
    <col min="6405" max="6405" width="21.140625" style="3" customWidth="1"/>
    <col min="6406" max="6407" width="22" style="3" customWidth="1"/>
    <col min="6408" max="6408" width="17.42578125" style="3" customWidth="1"/>
    <col min="6409" max="6409" width="9.140625" style="3"/>
    <col min="6410" max="6410" width="16.7109375" style="3" customWidth="1"/>
    <col min="6411" max="6411" width="25.28515625" style="3" customWidth="1"/>
    <col min="6412" max="6656" width="9.140625" style="3"/>
    <col min="6657" max="6657" width="3.140625" style="3" customWidth="1"/>
    <col min="6658" max="6658" width="21.7109375" style="3" customWidth="1"/>
    <col min="6659" max="6659" width="17.85546875" style="3" customWidth="1"/>
    <col min="6660" max="6660" width="17" style="3" customWidth="1"/>
    <col min="6661" max="6661" width="21.140625" style="3" customWidth="1"/>
    <col min="6662" max="6663" width="22" style="3" customWidth="1"/>
    <col min="6664" max="6664" width="17.42578125" style="3" customWidth="1"/>
    <col min="6665" max="6665" width="9.140625" style="3"/>
    <col min="6666" max="6666" width="16.7109375" style="3" customWidth="1"/>
    <col min="6667" max="6667" width="25.28515625" style="3" customWidth="1"/>
    <col min="6668" max="6912" width="9.140625" style="3"/>
    <col min="6913" max="6913" width="3.140625" style="3" customWidth="1"/>
    <col min="6914" max="6914" width="21.7109375" style="3" customWidth="1"/>
    <col min="6915" max="6915" width="17.85546875" style="3" customWidth="1"/>
    <col min="6916" max="6916" width="17" style="3" customWidth="1"/>
    <col min="6917" max="6917" width="21.140625" style="3" customWidth="1"/>
    <col min="6918" max="6919" width="22" style="3" customWidth="1"/>
    <col min="6920" max="6920" width="17.42578125" style="3" customWidth="1"/>
    <col min="6921" max="6921" width="9.140625" style="3"/>
    <col min="6922" max="6922" width="16.7109375" style="3" customWidth="1"/>
    <col min="6923" max="6923" width="25.28515625" style="3" customWidth="1"/>
    <col min="6924" max="7168" width="9.140625" style="3"/>
    <col min="7169" max="7169" width="3.140625" style="3" customWidth="1"/>
    <col min="7170" max="7170" width="21.7109375" style="3" customWidth="1"/>
    <col min="7171" max="7171" width="17.85546875" style="3" customWidth="1"/>
    <col min="7172" max="7172" width="17" style="3" customWidth="1"/>
    <col min="7173" max="7173" width="21.140625" style="3" customWidth="1"/>
    <col min="7174" max="7175" width="22" style="3" customWidth="1"/>
    <col min="7176" max="7176" width="17.42578125" style="3" customWidth="1"/>
    <col min="7177" max="7177" width="9.140625" style="3"/>
    <col min="7178" max="7178" width="16.7109375" style="3" customWidth="1"/>
    <col min="7179" max="7179" width="25.28515625" style="3" customWidth="1"/>
    <col min="7180" max="7424" width="9.140625" style="3"/>
    <col min="7425" max="7425" width="3.140625" style="3" customWidth="1"/>
    <col min="7426" max="7426" width="21.7109375" style="3" customWidth="1"/>
    <col min="7427" max="7427" width="17.85546875" style="3" customWidth="1"/>
    <col min="7428" max="7428" width="17" style="3" customWidth="1"/>
    <col min="7429" max="7429" width="21.140625" style="3" customWidth="1"/>
    <col min="7430" max="7431" width="22" style="3" customWidth="1"/>
    <col min="7432" max="7432" width="17.42578125" style="3" customWidth="1"/>
    <col min="7433" max="7433" width="9.140625" style="3"/>
    <col min="7434" max="7434" width="16.7109375" style="3" customWidth="1"/>
    <col min="7435" max="7435" width="25.28515625" style="3" customWidth="1"/>
    <col min="7436" max="7680" width="9.140625" style="3"/>
    <col min="7681" max="7681" width="3.140625" style="3" customWidth="1"/>
    <col min="7682" max="7682" width="21.7109375" style="3" customWidth="1"/>
    <col min="7683" max="7683" width="17.85546875" style="3" customWidth="1"/>
    <col min="7684" max="7684" width="17" style="3" customWidth="1"/>
    <col min="7685" max="7685" width="21.140625" style="3" customWidth="1"/>
    <col min="7686" max="7687" width="22" style="3" customWidth="1"/>
    <col min="7688" max="7688" width="17.42578125" style="3" customWidth="1"/>
    <col min="7689" max="7689" width="9.140625" style="3"/>
    <col min="7690" max="7690" width="16.7109375" style="3" customWidth="1"/>
    <col min="7691" max="7691" width="25.28515625" style="3" customWidth="1"/>
    <col min="7692" max="7936" width="9.140625" style="3"/>
    <col min="7937" max="7937" width="3.140625" style="3" customWidth="1"/>
    <col min="7938" max="7938" width="21.7109375" style="3" customWidth="1"/>
    <col min="7939" max="7939" width="17.85546875" style="3" customWidth="1"/>
    <col min="7940" max="7940" width="17" style="3" customWidth="1"/>
    <col min="7941" max="7941" width="21.140625" style="3" customWidth="1"/>
    <col min="7942" max="7943" width="22" style="3" customWidth="1"/>
    <col min="7944" max="7944" width="17.42578125" style="3" customWidth="1"/>
    <col min="7945" max="7945" width="9.140625" style="3"/>
    <col min="7946" max="7946" width="16.7109375" style="3" customWidth="1"/>
    <col min="7947" max="7947" width="25.28515625" style="3" customWidth="1"/>
    <col min="7948" max="8192" width="9.140625" style="3"/>
    <col min="8193" max="8193" width="3.140625" style="3" customWidth="1"/>
    <col min="8194" max="8194" width="21.7109375" style="3" customWidth="1"/>
    <col min="8195" max="8195" width="17.85546875" style="3" customWidth="1"/>
    <col min="8196" max="8196" width="17" style="3" customWidth="1"/>
    <col min="8197" max="8197" width="21.140625" style="3" customWidth="1"/>
    <col min="8198" max="8199" width="22" style="3" customWidth="1"/>
    <col min="8200" max="8200" width="17.42578125" style="3" customWidth="1"/>
    <col min="8201" max="8201" width="9.140625" style="3"/>
    <col min="8202" max="8202" width="16.7109375" style="3" customWidth="1"/>
    <col min="8203" max="8203" width="25.28515625" style="3" customWidth="1"/>
    <col min="8204" max="8448" width="9.140625" style="3"/>
    <col min="8449" max="8449" width="3.140625" style="3" customWidth="1"/>
    <col min="8450" max="8450" width="21.7109375" style="3" customWidth="1"/>
    <col min="8451" max="8451" width="17.85546875" style="3" customWidth="1"/>
    <col min="8452" max="8452" width="17" style="3" customWidth="1"/>
    <col min="8453" max="8453" width="21.140625" style="3" customWidth="1"/>
    <col min="8454" max="8455" width="22" style="3" customWidth="1"/>
    <col min="8456" max="8456" width="17.42578125" style="3" customWidth="1"/>
    <col min="8457" max="8457" width="9.140625" style="3"/>
    <col min="8458" max="8458" width="16.7109375" style="3" customWidth="1"/>
    <col min="8459" max="8459" width="25.28515625" style="3" customWidth="1"/>
    <col min="8460" max="8704" width="9.140625" style="3"/>
    <col min="8705" max="8705" width="3.140625" style="3" customWidth="1"/>
    <col min="8706" max="8706" width="21.7109375" style="3" customWidth="1"/>
    <col min="8707" max="8707" width="17.85546875" style="3" customWidth="1"/>
    <col min="8708" max="8708" width="17" style="3" customWidth="1"/>
    <col min="8709" max="8709" width="21.140625" style="3" customWidth="1"/>
    <col min="8710" max="8711" width="22" style="3" customWidth="1"/>
    <col min="8712" max="8712" width="17.42578125" style="3" customWidth="1"/>
    <col min="8713" max="8713" width="9.140625" style="3"/>
    <col min="8714" max="8714" width="16.7109375" style="3" customWidth="1"/>
    <col min="8715" max="8715" width="25.28515625" style="3" customWidth="1"/>
    <col min="8716" max="8960" width="9.140625" style="3"/>
    <col min="8961" max="8961" width="3.140625" style="3" customWidth="1"/>
    <col min="8962" max="8962" width="21.7109375" style="3" customWidth="1"/>
    <col min="8963" max="8963" width="17.85546875" style="3" customWidth="1"/>
    <col min="8964" max="8964" width="17" style="3" customWidth="1"/>
    <col min="8965" max="8965" width="21.140625" style="3" customWidth="1"/>
    <col min="8966" max="8967" width="22" style="3" customWidth="1"/>
    <col min="8968" max="8968" width="17.42578125" style="3" customWidth="1"/>
    <col min="8969" max="8969" width="9.140625" style="3"/>
    <col min="8970" max="8970" width="16.7109375" style="3" customWidth="1"/>
    <col min="8971" max="8971" width="25.28515625" style="3" customWidth="1"/>
    <col min="8972" max="9216" width="9.140625" style="3"/>
    <col min="9217" max="9217" width="3.140625" style="3" customWidth="1"/>
    <col min="9218" max="9218" width="21.7109375" style="3" customWidth="1"/>
    <col min="9219" max="9219" width="17.85546875" style="3" customWidth="1"/>
    <col min="9220" max="9220" width="17" style="3" customWidth="1"/>
    <col min="9221" max="9221" width="21.140625" style="3" customWidth="1"/>
    <col min="9222" max="9223" width="22" style="3" customWidth="1"/>
    <col min="9224" max="9224" width="17.42578125" style="3" customWidth="1"/>
    <col min="9225" max="9225" width="9.140625" style="3"/>
    <col min="9226" max="9226" width="16.7109375" style="3" customWidth="1"/>
    <col min="9227" max="9227" width="25.28515625" style="3" customWidth="1"/>
    <col min="9228" max="9472" width="9.140625" style="3"/>
    <col min="9473" max="9473" width="3.140625" style="3" customWidth="1"/>
    <col min="9474" max="9474" width="21.7109375" style="3" customWidth="1"/>
    <col min="9475" max="9475" width="17.85546875" style="3" customWidth="1"/>
    <col min="9476" max="9476" width="17" style="3" customWidth="1"/>
    <col min="9477" max="9477" width="21.140625" style="3" customWidth="1"/>
    <col min="9478" max="9479" width="22" style="3" customWidth="1"/>
    <col min="9480" max="9480" width="17.42578125" style="3" customWidth="1"/>
    <col min="9481" max="9481" width="9.140625" style="3"/>
    <col min="9482" max="9482" width="16.7109375" style="3" customWidth="1"/>
    <col min="9483" max="9483" width="25.28515625" style="3" customWidth="1"/>
    <col min="9484" max="9728" width="9.140625" style="3"/>
    <col min="9729" max="9729" width="3.140625" style="3" customWidth="1"/>
    <col min="9730" max="9730" width="21.7109375" style="3" customWidth="1"/>
    <col min="9731" max="9731" width="17.85546875" style="3" customWidth="1"/>
    <col min="9732" max="9732" width="17" style="3" customWidth="1"/>
    <col min="9733" max="9733" width="21.140625" style="3" customWidth="1"/>
    <col min="9734" max="9735" width="22" style="3" customWidth="1"/>
    <col min="9736" max="9736" width="17.42578125" style="3" customWidth="1"/>
    <col min="9737" max="9737" width="9.140625" style="3"/>
    <col min="9738" max="9738" width="16.7109375" style="3" customWidth="1"/>
    <col min="9739" max="9739" width="25.28515625" style="3" customWidth="1"/>
    <col min="9740" max="9984" width="9.140625" style="3"/>
    <col min="9985" max="9985" width="3.140625" style="3" customWidth="1"/>
    <col min="9986" max="9986" width="21.7109375" style="3" customWidth="1"/>
    <col min="9987" max="9987" width="17.85546875" style="3" customWidth="1"/>
    <col min="9988" max="9988" width="17" style="3" customWidth="1"/>
    <col min="9989" max="9989" width="21.140625" style="3" customWidth="1"/>
    <col min="9990" max="9991" width="22" style="3" customWidth="1"/>
    <col min="9992" max="9992" width="17.42578125" style="3" customWidth="1"/>
    <col min="9993" max="9993" width="9.140625" style="3"/>
    <col min="9994" max="9994" width="16.7109375" style="3" customWidth="1"/>
    <col min="9995" max="9995" width="25.28515625" style="3" customWidth="1"/>
    <col min="9996" max="10240" width="9.140625" style="3"/>
    <col min="10241" max="10241" width="3.140625" style="3" customWidth="1"/>
    <col min="10242" max="10242" width="21.7109375" style="3" customWidth="1"/>
    <col min="10243" max="10243" width="17.85546875" style="3" customWidth="1"/>
    <col min="10244" max="10244" width="17" style="3" customWidth="1"/>
    <col min="10245" max="10245" width="21.140625" style="3" customWidth="1"/>
    <col min="10246" max="10247" width="22" style="3" customWidth="1"/>
    <col min="10248" max="10248" width="17.42578125" style="3" customWidth="1"/>
    <col min="10249" max="10249" width="9.140625" style="3"/>
    <col min="10250" max="10250" width="16.7109375" style="3" customWidth="1"/>
    <col min="10251" max="10251" width="25.28515625" style="3" customWidth="1"/>
    <col min="10252" max="10496" width="9.140625" style="3"/>
    <col min="10497" max="10497" width="3.140625" style="3" customWidth="1"/>
    <col min="10498" max="10498" width="21.7109375" style="3" customWidth="1"/>
    <col min="10499" max="10499" width="17.85546875" style="3" customWidth="1"/>
    <col min="10500" max="10500" width="17" style="3" customWidth="1"/>
    <col min="10501" max="10501" width="21.140625" style="3" customWidth="1"/>
    <col min="10502" max="10503" width="22" style="3" customWidth="1"/>
    <col min="10504" max="10504" width="17.42578125" style="3" customWidth="1"/>
    <col min="10505" max="10505" width="9.140625" style="3"/>
    <col min="10506" max="10506" width="16.7109375" style="3" customWidth="1"/>
    <col min="10507" max="10507" width="25.28515625" style="3" customWidth="1"/>
    <col min="10508" max="10752" width="9.140625" style="3"/>
    <col min="10753" max="10753" width="3.140625" style="3" customWidth="1"/>
    <col min="10754" max="10754" width="21.7109375" style="3" customWidth="1"/>
    <col min="10755" max="10755" width="17.85546875" style="3" customWidth="1"/>
    <col min="10756" max="10756" width="17" style="3" customWidth="1"/>
    <col min="10757" max="10757" width="21.140625" style="3" customWidth="1"/>
    <col min="10758" max="10759" width="22" style="3" customWidth="1"/>
    <col min="10760" max="10760" width="17.42578125" style="3" customWidth="1"/>
    <col min="10761" max="10761" width="9.140625" style="3"/>
    <col min="10762" max="10762" width="16.7109375" style="3" customWidth="1"/>
    <col min="10763" max="10763" width="25.28515625" style="3" customWidth="1"/>
    <col min="10764" max="11008" width="9.140625" style="3"/>
    <col min="11009" max="11009" width="3.140625" style="3" customWidth="1"/>
    <col min="11010" max="11010" width="21.7109375" style="3" customWidth="1"/>
    <col min="11011" max="11011" width="17.85546875" style="3" customWidth="1"/>
    <col min="11012" max="11012" width="17" style="3" customWidth="1"/>
    <col min="11013" max="11013" width="21.140625" style="3" customWidth="1"/>
    <col min="11014" max="11015" width="22" style="3" customWidth="1"/>
    <col min="11016" max="11016" width="17.42578125" style="3" customWidth="1"/>
    <col min="11017" max="11017" width="9.140625" style="3"/>
    <col min="11018" max="11018" width="16.7109375" style="3" customWidth="1"/>
    <col min="11019" max="11019" width="25.28515625" style="3" customWidth="1"/>
    <col min="11020" max="11264" width="9.140625" style="3"/>
    <col min="11265" max="11265" width="3.140625" style="3" customWidth="1"/>
    <col min="11266" max="11266" width="21.7109375" style="3" customWidth="1"/>
    <col min="11267" max="11267" width="17.85546875" style="3" customWidth="1"/>
    <col min="11268" max="11268" width="17" style="3" customWidth="1"/>
    <col min="11269" max="11269" width="21.140625" style="3" customWidth="1"/>
    <col min="11270" max="11271" width="22" style="3" customWidth="1"/>
    <col min="11272" max="11272" width="17.42578125" style="3" customWidth="1"/>
    <col min="11273" max="11273" width="9.140625" style="3"/>
    <col min="11274" max="11274" width="16.7109375" style="3" customWidth="1"/>
    <col min="11275" max="11275" width="25.28515625" style="3" customWidth="1"/>
    <col min="11276" max="11520" width="9.140625" style="3"/>
    <col min="11521" max="11521" width="3.140625" style="3" customWidth="1"/>
    <col min="11522" max="11522" width="21.7109375" style="3" customWidth="1"/>
    <col min="11523" max="11523" width="17.85546875" style="3" customWidth="1"/>
    <col min="11524" max="11524" width="17" style="3" customWidth="1"/>
    <col min="11525" max="11525" width="21.140625" style="3" customWidth="1"/>
    <col min="11526" max="11527" width="22" style="3" customWidth="1"/>
    <col min="11528" max="11528" width="17.42578125" style="3" customWidth="1"/>
    <col min="11529" max="11529" width="9.140625" style="3"/>
    <col min="11530" max="11530" width="16.7109375" style="3" customWidth="1"/>
    <col min="11531" max="11531" width="25.28515625" style="3" customWidth="1"/>
    <col min="11532" max="11776" width="9.140625" style="3"/>
    <col min="11777" max="11777" width="3.140625" style="3" customWidth="1"/>
    <col min="11778" max="11778" width="21.7109375" style="3" customWidth="1"/>
    <col min="11779" max="11779" width="17.85546875" style="3" customWidth="1"/>
    <col min="11780" max="11780" width="17" style="3" customWidth="1"/>
    <col min="11781" max="11781" width="21.140625" style="3" customWidth="1"/>
    <col min="11782" max="11783" width="22" style="3" customWidth="1"/>
    <col min="11784" max="11784" width="17.42578125" style="3" customWidth="1"/>
    <col min="11785" max="11785" width="9.140625" style="3"/>
    <col min="11786" max="11786" width="16.7109375" style="3" customWidth="1"/>
    <col min="11787" max="11787" width="25.28515625" style="3" customWidth="1"/>
    <col min="11788" max="12032" width="9.140625" style="3"/>
    <col min="12033" max="12033" width="3.140625" style="3" customWidth="1"/>
    <col min="12034" max="12034" width="21.7109375" style="3" customWidth="1"/>
    <col min="12035" max="12035" width="17.85546875" style="3" customWidth="1"/>
    <col min="12036" max="12036" width="17" style="3" customWidth="1"/>
    <col min="12037" max="12037" width="21.140625" style="3" customWidth="1"/>
    <col min="12038" max="12039" width="22" style="3" customWidth="1"/>
    <col min="12040" max="12040" width="17.42578125" style="3" customWidth="1"/>
    <col min="12041" max="12041" width="9.140625" style="3"/>
    <col min="12042" max="12042" width="16.7109375" style="3" customWidth="1"/>
    <col min="12043" max="12043" width="25.28515625" style="3" customWidth="1"/>
    <col min="12044" max="12288" width="9.140625" style="3"/>
    <col min="12289" max="12289" width="3.140625" style="3" customWidth="1"/>
    <col min="12290" max="12290" width="21.7109375" style="3" customWidth="1"/>
    <col min="12291" max="12291" width="17.85546875" style="3" customWidth="1"/>
    <col min="12292" max="12292" width="17" style="3" customWidth="1"/>
    <col min="12293" max="12293" width="21.140625" style="3" customWidth="1"/>
    <col min="12294" max="12295" width="22" style="3" customWidth="1"/>
    <col min="12296" max="12296" width="17.42578125" style="3" customWidth="1"/>
    <col min="12297" max="12297" width="9.140625" style="3"/>
    <col min="12298" max="12298" width="16.7109375" style="3" customWidth="1"/>
    <col min="12299" max="12299" width="25.28515625" style="3" customWidth="1"/>
    <col min="12300" max="12544" width="9.140625" style="3"/>
    <col min="12545" max="12545" width="3.140625" style="3" customWidth="1"/>
    <col min="12546" max="12546" width="21.7109375" style="3" customWidth="1"/>
    <col min="12547" max="12547" width="17.85546875" style="3" customWidth="1"/>
    <col min="12548" max="12548" width="17" style="3" customWidth="1"/>
    <col min="12549" max="12549" width="21.140625" style="3" customWidth="1"/>
    <col min="12550" max="12551" width="22" style="3" customWidth="1"/>
    <col min="12552" max="12552" width="17.42578125" style="3" customWidth="1"/>
    <col min="12553" max="12553" width="9.140625" style="3"/>
    <col min="12554" max="12554" width="16.7109375" style="3" customWidth="1"/>
    <col min="12555" max="12555" width="25.28515625" style="3" customWidth="1"/>
    <col min="12556" max="12800" width="9.140625" style="3"/>
    <col min="12801" max="12801" width="3.140625" style="3" customWidth="1"/>
    <col min="12802" max="12802" width="21.7109375" style="3" customWidth="1"/>
    <col min="12803" max="12803" width="17.85546875" style="3" customWidth="1"/>
    <col min="12804" max="12804" width="17" style="3" customWidth="1"/>
    <col min="12805" max="12805" width="21.140625" style="3" customWidth="1"/>
    <col min="12806" max="12807" width="22" style="3" customWidth="1"/>
    <col min="12808" max="12808" width="17.42578125" style="3" customWidth="1"/>
    <col min="12809" max="12809" width="9.140625" style="3"/>
    <col min="12810" max="12810" width="16.7109375" style="3" customWidth="1"/>
    <col min="12811" max="12811" width="25.28515625" style="3" customWidth="1"/>
    <col min="12812" max="13056" width="9.140625" style="3"/>
    <col min="13057" max="13057" width="3.140625" style="3" customWidth="1"/>
    <col min="13058" max="13058" width="21.7109375" style="3" customWidth="1"/>
    <col min="13059" max="13059" width="17.85546875" style="3" customWidth="1"/>
    <col min="13060" max="13060" width="17" style="3" customWidth="1"/>
    <col min="13061" max="13061" width="21.140625" style="3" customWidth="1"/>
    <col min="13062" max="13063" width="22" style="3" customWidth="1"/>
    <col min="13064" max="13064" width="17.42578125" style="3" customWidth="1"/>
    <col min="13065" max="13065" width="9.140625" style="3"/>
    <col min="13066" max="13066" width="16.7109375" style="3" customWidth="1"/>
    <col min="13067" max="13067" width="25.28515625" style="3" customWidth="1"/>
    <col min="13068" max="13312" width="9.140625" style="3"/>
    <col min="13313" max="13313" width="3.140625" style="3" customWidth="1"/>
    <col min="13314" max="13314" width="21.7109375" style="3" customWidth="1"/>
    <col min="13315" max="13315" width="17.85546875" style="3" customWidth="1"/>
    <col min="13316" max="13316" width="17" style="3" customWidth="1"/>
    <col min="13317" max="13317" width="21.140625" style="3" customWidth="1"/>
    <col min="13318" max="13319" width="22" style="3" customWidth="1"/>
    <col min="13320" max="13320" width="17.42578125" style="3" customWidth="1"/>
    <col min="13321" max="13321" width="9.140625" style="3"/>
    <col min="13322" max="13322" width="16.7109375" style="3" customWidth="1"/>
    <col min="13323" max="13323" width="25.28515625" style="3" customWidth="1"/>
    <col min="13324" max="13568" width="9.140625" style="3"/>
    <col min="13569" max="13569" width="3.140625" style="3" customWidth="1"/>
    <col min="13570" max="13570" width="21.7109375" style="3" customWidth="1"/>
    <col min="13571" max="13571" width="17.85546875" style="3" customWidth="1"/>
    <col min="13572" max="13572" width="17" style="3" customWidth="1"/>
    <col min="13573" max="13573" width="21.140625" style="3" customWidth="1"/>
    <col min="13574" max="13575" width="22" style="3" customWidth="1"/>
    <col min="13576" max="13576" width="17.42578125" style="3" customWidth="1"/>
    <col min="13577" max="13577" width="9.140625" style="3"/>
    <col min="13578" max="13578" width="16.7109375" style="3" customWidth="1"/>
    <col min="13579" max="13579" width="25.28515625" style="3" customWidth="1"/>
    <col min="13580" max="13824" width="9.140625" style="3"/>
    <col min="13825" max="13825" width="3.140625" style="3" customWidth="1"/>
    <col min="13826" max="13826" width="21.7109375" style="3" customWidth="1"/>
    <col min="13827" max="13827" width="17.85546875" style="3" customWidth="1"/>
    <col min="13828" max="13828" width="17" style="3" customWidth="1"/>
    <col min="13829" max="13829" width="21.140625" style="3" customWidth="1"/>
    <col min="13830" max="13831" width="22" style="3" customWidth="1"/>
    <col min="13832" max="13832" width="17.42578125" style="3" customWidth="1"/>
    <col min="13833" max="13833" width="9.140625" style="3"/>
    <col min="13834" max="13834" width="16.7109375" style="3" customWidth="1"/>
    <col min="13835" max="13835" width="25.28515625" style="3" customWidth="1"/>
    <col min="13836" max="14080" width="9.140625" style="3"/>
    <col min="14081" max="14081" width="3.140625" style="3" customWidth="1"/>
    <col min="14082" max="14082" width="21.7109375" style="3" customWidth="1"/>
    <col min="14083" max="14083" width="17.85546875" style="3" customWidth="1"/>
    <col min="14084" max="14084" width="17" style="3" customWidth="1"/>
    <col min="14085" max="14085" width="21.140625" style="3" customWidth="1"/>
    <col min="14086" max="14087" width="22" style="3" customWidth="1"/>
    <col min="14088" max="14088" width="17.42578125" style="3" customWidth="1"/>
    <col min="14089" max="14089" width="9.140625" style="3"/>
    <col min="14090" max="14090" width="16.7109375" style="3" customWidth="1"/>
    <col min="14091" max="14091" width="25.28515625" style="3" customWidth="1"/>
    <col min="14092" max="14336" width="9.140625" style="3"/>
    <col min="14337" max="14337" width="3.140625" style="3" customWidth="1"/>
    <col min="14338" max="14338" width="21.7109375" style="3" customWidth="1"/>
    <col min="14339" max="14339" width="17.85546875" style="3" customWidth="1"/>
    <col min="14340" max="14340" width="17" style="3" customWidth="1"/>
    <col min="14341" max="14341" width="21.140625" style="3" customWidth="1"/>
    <col min="14342" max="14343" width="22" style="3" customWidth="1"/>
    <col min="14344" max="14344" width="17.42578125" style="3" customWidth="1"/>
    <col min="14345" max="14345" width="9.140625" style="3"/>
    <col min="14346" max="14346" width="16.7109375" style="3" customWidth="1"/>
    <col min="14347" max="14347" width="25.28515625" style="3" customWidth="1"/>
    <col min="14348" max="14592" width="9.140625" style="3"/>
    <col min="14593" max="14593" width="3.140625" style="3" customWidth="1"/>
    <col min="14594" max="14594" width="21.7109375" style="3" customWidth="1"/>
    <col min="14595" max="14595" width="17.85546875" style="3" customWidth="1"/>
    <col min="14596" max="14596" width="17" style="3" customWidth="1"/>
    <col min="14597" max="14597" width="21.140625" style="3" customWidth="1"/>
    <col min="14598" max="14599" width="22" style="3" customWidth="1"/>
    <col min="14600" max="14600" width="17.42578125" style="3" customWidth="1"/>
    <col min="14601" max="14601" width="9.140625" style="3"/>
    <col min="14602" max="14602" width="16.7109375" style="3" customWidth="1"/>
    <col min="14603" max="14603" width="25.28515625" style="3" customWidth="1"/>
    <col min="14604" max="14848" width="9.140625" style="3"/>
    <col min="14849" max="14849" width="3.140625" style="3" customWidth="1"/>
    <col min="14850" max="14850" width="21.7109375" style="3" customWidth="1"/>
    <col min="14851" max="14851" width="17.85546875" style="3" customWidth="1"/>
    <col min="14852" max="14852" width="17" style="3" customWidth="1"/>
    <col min="14853" max="14853" width="21.140625" style="3" customWidth="1"/>
    <col min="14854" max="14855" width="22" style="3" customWidth="1"/>
    <col min="14856" max="14856" width="17.42578125" style="3" customWidth="1"/>
    <col min="14857" max="14857" width="9.140625" style="3"/>
    <col min="14858" max="14858" width="16.7109375" style="3" customWidth="1"/>
    <col min="14859" max="14859" width="25.28515625" style="3" customWidth="1"/>
    <col min="14860" max="15104" width="9.140625" style="3"/>
    <col min="15105" max="15105" width="3.140625" style="3" customWidth="1"/>
    <col min="15106" max="15106" width="21.7109375" style="3" customWidth="1"/>
    <col min="15107" max="15107" width="17.85546875" style="3" customWidth="1"/>
    <col min="15108" max="15108" width="17" style="3" customWidth="1"/>
    <col min="15109" max="15109" width="21.140625" style="3" customWidth="1"/>
    <col min="15110" max="15111" width="22" style="3" customWidth="1"/>
    <col min="15112" max="15112" width="17.42578125" style="3" customWidth="1"/>
    <col min="15113" max="15113" width="9.140625" style="3"/>
    <col min="15114" max="15114" width="16.7109375" style="3" customWidth="1"/>
    <col min="15115" max="15115" width="25.28515625" style="3" customWidth="1"/>
    <col min="15116" max="15360" width="9.140625" style="3"/>
    <col min="15361" max="15361" width="3.140625" style="3" customWidth="1"/>
    <col min="15362" max="15362" width="21.7109375" style="3" customWidth="1"/>
    <col min="15363" max="15363" width="17.85546875" style="3" customWidth="1"/>
    <col min="15364" max="15364" width="17" style="3" customWidth="1"/>
    <col min="15365" max="15365" width="21.140625" style="3" customWidth="1"/>
    <col min="15366" max="15367" width="22" style="3" customWidth="1"/>
    <col min="15368" max="15368" width="17.42578125" style="3" customWidth="1"/>
    <col min="15369" max="15369" width="9.140625" style="3"/>
    <col min="15370" max="15370" width="16.7109375" style="3" customWidth="1"/>
    <col min="15371" max="15371" width="25.28515625" style="3" customWidth="1"/>
    <col min="15372" max="15616" width="9.140625" style="3"/>
    <col min="15617" max="15617" width="3.140625" style="3" customWidth="1"/>
    <col min="15618" max="15618" width="21.7109375" style="3" customWidth="1"/>
    <col min="15619" max="15619" width="17.85546875" style="3" customWidth="1"/>
    <col min="15620" max="15620" width="17" style="3" customWidth="1"/>
    <col min="15621" max="15621" width="21.140625" style="3" customWidth="1"/>
    <col min="15622" max="15623" width="22" style="3" customWidth="1"/>
    <col min="15624" max="15624" width="17.42578125" style="3" customWidth="1"/>
    <col min="15625" max="15625" width="9.140625" style="3"/>
    <col min="15626" max="15626" width="16.7109375" style="3" customWidth="1"/>
    <col min="15627" max="15627" width="25.28515625" style="3" customWidth="1"/>
    <col min="15628" max="15872" width="9.140625" style="3"/>
    <col min="15873" max="15873" width="3.140625" style="3" customWidth="1"/>
    <col min="15874" max="15874" width="21.7109375" style="3" customWidth="1"/>
    <col min="15875" max="15875" width="17.85546875" style="3" customWidth="1"/>
    <col min="15876" max="15876" width="17" style="3" customWidth="1"/>
    <col min="15877" max="15877" width="21.140625" style="3" customWidth="1"/>
    <col min="15878" max="15879" width="22" style="3" customWidth="1"/>
    <col min="15880" max="15880" width="17.42578125" style="3" customWidth="1"/>
    <col min="15881" max="15881" width="9.140625" style="3"/>
    <col min="15882" max="15882" width="16.7109375" style="3" customWidth="1"/>
    <col min="15883" max="15883" width="25.28515625" style="3" customWidth="1"/>
    <col min="15884" max="16128" width="9.140625" style="3"/>
    <col min="16129" max="16129" width="3.140625" style="3" customWidth="1"/>
    <col min="16130" max="16130" width="21.7109375" style="3" customWidth="1"/>
    <col min="16131" max="16131" width="17.85546875" style="3" customWidth="1"/>
    <col min="16132" max="16132" width="17" style="3" customWidth="1"/>
    <col min="16133" max="16133" width="21.140625" style="3" customWidth="1"/>
    <col min="16134" max="16135" width="22" style="3" customWidth="1"/>
    <col min="16136" max="16136" width="17.42578125" style="3" customWidth="1"/>
    <col min="16137" max="16137" width="9.140625" style="3"/>
    <col min="16138" max="16138" width="16.7109375" style="3" customWidth="1"/>
    <col min="16139" max="16139" width="25.28515625" style="3" customWidth="1"/>
    <col min="16140" max="16384" width="9.140625" style="3"/>
  </cols>
  <sheetData>
    <row r="1" spans="1:39" ht="20.25" x14ac:dyDescent="0.3">
      <c r="A1" s="477" t="s">
        <v>17</v>
      </c>
      <c r="B1" s="477"/>
      <c r="C1" s="477"/>
      <c r="D1" s="477"/>
      <c r="E1" s="477"/>
      <c r="F1" s="477"/>
      <c r="G1" s="477"/>
      <c r="H1" s="477"/>
      <c r="I1" s="477"/>
      <c r="J1" s="477"/>
      <c r="K1" s="477"/>
      <c r="O1" s="11"/>
      <c r="P1" s="11"/>
      <c r="Q1" s="11"/>
      <c r="R1" s="11"/>
      <c r="S1" s="11"/>
      <c r="T1" s="11"/>
      <c r="U1" s="11"/>
      <c r="V1" s="11"/>
      <c r="W1" s="11"/>
      <c r="X1" s="11"/>
      <c r="Y1" s="11"/>
      <c r="Z1" s="11"/>
      <c r="AA1" s="11"/>
      <c r="AB1" s="11"/>
      <c r="AC1" s="11"/>
      <c r="AD1" s="11"/>
      <c r="AE1" s="11"/>
      <c r="AF1" s="11"/>
      <c r="AG1" s="11"/>
      <c r="AH1" s="11"/>
      <c r="AI1" s="11"/>
      <c r="AJ1" s="11"/>
      <c r="AK1" s="11"/>
      <c r="AL1" s="11"/>
      <c r="AM1" s="11"/>
    </row>
    <row r="2" spans="1:39" ht="30" customHeight="1" x14ac:dyDescent="0.25">
      <c r="A2" s="130" t="s">
        <v>147</v>
      </c>
      <c r="C2" s="131"/>
      <c r="D2" s="131"/>
      <c r="E2" s="131"/>
      <c r="F2" s="131"/>
      <c r="G2" s="131"/>
      <c r="H2" s="131"/>
    </row>
    <row r="3" spans="1:39" s="129" customFormat="1" ht="40.5" customHeight="1" x14ac:dyDescent="0.2">
      <c r="B3" s="132" t="s">
        <v>148</v>
      </c>
      <c r="C3" s="133" t="s">
        <v>149</v>
      </c>
      <c r="D3" s="133" t="s">
        <v>150</v>
      </c>
      <c r="E3" s="133" t="s">
        <v>85</v>
      </c>
      <c r="F3" s="133" t="s">
        <v>151</v>
      </c>
      <c r="G3" s="133" t="s">
        <v>152</v>
      </c>
      <c r="H3" s="133" t="s">
        <v>153</v>
      </c>
      <c r="I3" s="134" t="s">
        <v>16</v>
      </c>
      <c r="J3" s="133" t="s">
        <v>154</v>
      </c>
      <c r="K3" s="133" t="s">
        <v>155</v>
      </c>
    </row>
    <row r="4" spans="1:39" s="129" customFormat="1" x14ac:dyDescent="0.2">
      <c r="B4" s="55" t="s">
        <v>588</v>
      </c>
      <c r="C4" s="42">
        <v>1</v>
      </c>
      <c r="D4" s="135">
        <v>1</v>
      </c>
      <c r="E4" s="135">
        <v>3</v>
      </c>
      <c r="F4" s="135">
        <v>1</v>
      </c>
      <c r="G4" s="135">
        <v>1</v>
      </c>
      <c r="H4" s="136">
        <v>1</v>
      </c>
      <c r="I4" s="137" t="str">
        <f t="shared" ref="I4:I6" si="0">IF(D4&lt;&gt;"",D4&amp;","&amp;E4&amp;","&amp;F4&amp;","&amp;G4&amp;","&amp;H4,"0,0,0,0,0")</f>
        <v>1,3,1,1,1</v>
      </c>
      <c r="J4" s="138" t="str">
        <f t="shared" ref="J4:J9" si="1">IF(MAX(D4:H4)&gt;=5, "Requirements not met", "Requirements met")</f>
        <v>Requirements met</v>
      </c>
      <c r="K4" s="139" t="str">
        <f t="shared" ref="K4:K9" si="2">IF(MAX(D4:H4)&gt;=5, "Not OK", "OK")</f>
        <v>OK</v>
      </c>
    </row>
    <row r="5" spans="1:39" s="129" customFormat="1" x14ac:dyDescent="0.2">
      <c r="B5" s="55" t="s">
        <v>1181</v>
      </c>
      <c r="C5" s="42">
        <v>2</v>
      </c>
      <c r="D5" s="135">
        <v>1</v>
      </c>
      <c r="E5" s="135">
        <v>2</v>
      </c>
      <c r="F5" s="135">
        <v>1</v>
      </c>
      <c r="G5" s="135">
        <v>1</v>
      </c>
      <c r="H5" s="136">
        <v>2</v>
      </c>
      <c r="I5" s="137" t="str">
        <f t="shared" si="0"/>
        <v>1,2,1,1,2</v>
      </c>
      <c r="J5" s="138" t="str">
        <f t="shared" si="1"/>
        <v>Requirements met</v>
      </c>
      <c r="K5" s="139" t="str">
        <f t="shared" si="2"/>
        <v>OK</v>
      </c>
    </row>
    <row r="6" spans="1:39" s="129" customFormat="1" x14ac:dyDescent="0.2">
      <c r="B6" s="55" t="s">
        <v>1193</v>
      </c>
      <c r="C6" s="42">
        <v>3</v>
      </c>
      <c r="D6" s="135">
        <v>1</v>
      </c>
      <c r="E6" s="135">
        <v>1</v>
      </c>
      <c r="F6" s="135">
        <v>1</v>
      </c>
      <c r="G6" s="135">
        <v>1</v>
      </c>
      <c r="H6" s="136">
        <v>1</v>
      </c>
      <c r="I6" s="137" t="str">
        <f t="shared" si="0"/>
        <v>1,1,1,1,1</v>
      </c>
      <c r="J6" s="138" t="str">
        <f t="shared" si="1"/>
        <v>Requirements met</v>
      </c>
      <c r="K6" s="139" t="str">
        <f t="shared" si="2"/>
        <v>OK</v>
      </c>
    </row>
    <row r="7" spans="1:39" s="129" customFormat="1" x14ac:dyDescent="0.2">
      <c r="B7" s="57" t="s">
        <v>945</v>
      </c>
      <c r="C7" s="42">
        <v>4</v>
      </c>
      <c r="D7" s="135">
        <v>1</v>
      </c>
      <c r="E7" s="135">
        <v>1</v>
      </c>
      <c r="F7" s="135">
        <v>1</v>
      </c>
      <c r="G7" s="135">
        <v>1</v>
      </c>
      <c r="H7" s="136">
        <v>1</v>
      </c>
      <c r="I7" s="137" t="str">
        <f>IF(D7&lt;&gt;"",D7&amp;","&amp;E7&amp;","&amp;F7&amp;","&amp;G7&amp;","&amp;H7,"0,0,0,0,0")</f>
        <v>1,1,1,1,1</v>
      </c>
      <c r="J7" s="138" t="str">
        <f t="shared" si="1"/>
        <v>Requirements met</v>
      </c>
      <c r="K7" s="139" t="str">
        <f t="shared" si="2"/>
        <v>OK</v>
      </c>
    </row>
    <row r="8" spans="1:39" s="129" customFormat="1" x14ac:dyDescent="0.2">
      <c r="B8" s="55" t="s">
        <v>1182</v>
      </c>
      <c r="C8" s="42">
        <v>5</v>
      </c>
      <c r="D8" s="135">
        <v>1</v>
      </c>
      <c r="E8" s="135">
        <v>2</v>
      </c>
      <c r="F8" s="135">
        <v>1</v>
      </c>
      <c r="G8" s="135">
        <v>1</v>
      </c>
      <c r="H8" s="136">
        <v>2</v>
      </c>
      <c r="I8" s="137" t="str">
        <f t="shared" ref="I8" si="3">IF(D8&lt;&gt;"",D8&amp;","&amp;E8&amp;","&amp;F8&amp;","&amp;G8&amp;","&amp;H8,"0,0,0,0,0")</f>
        <v>1,2,1,1,2</v>
      </c>
      <c r="J8" s="138" t="str">
        <f t="shared" si="1"/>
        <v>Requirements met</v>
      </c>
      <c r="K8" s="139" t="str">
        <f t="shared" si="2"/>
        <v>OK</v>
      </c>
    </row>
    <row r="9" spans="1:39" s="129" customFormat="1" x14ac:dyDescent="0.2">
      <c r="B9" s="57" t="s">
        <v>1183</v>
      </c>
      <c r="C9" s="42">
        <v>6</v>
      </c>
      <c r="D9" s="135">
        <v>2</v>
      </c>
      <c r="E9" s="135">
        <v>1</v>
      </c>
      <c r="F9" s="135">
        <v>1</v>
      </c>
      <c r="G9" s="135">
        <v>1</v>
      </c>
      <c r="H9" s="136">
        <v>2</v>
      </c>
      <c r="I9" s="137" t="str">
        <f>IF(D9&lt;&gt;"",D9&amp;","&amp;E9&amp;","&amp;F9&amp;","&amp;G9&amp;","&amp;H9,"0,0,0,0,0")</f>
        <v>2,1,1,1,2</v>
      </c>
      <c r="J9" s="138" t="str">
        <f t="shared" si="1"/>
        <v>Requirements met</v>
      </c>
      <c r="K9" s="139" t="str">
        <f t="shared" si="2"/>
        <v>OK</v>
      </c>
    </row>
    <row r="10" spans="1:39" s="129" customFormat="1" x14ac:dyDescent="0.2">
      <c r="B10" s="380" t="s">
        <v>2238</v>
      </c>
      <c r="C10" s="381">
        <v>8</v>
      </c>
      <c r="D10" s="382">
        <v>1</v>
      </c>
      <c r="E10" s="382">
        <v>1</v>
      </c>
      <c r="F10" s="382">
        <v>1</v>
      </c>
      <c r="G10" s="382">
        <v>1</v>
      </c>
      <c r="H10" s="383">
        <v>1</v>
      </c>
      <c r="I10" s="384" t="str">
        <f>IF(D10&lt;&gt;"",D10&amp;","&amp;E10&amp;","&amp;F10&amp;","&amp;G10&amp;","&amp;H10,"0,0,0,0,0")</f>
        <v>1,1,1,1,1</v>
      </c>
      <c r="J10" s="138" t="str">
        <f t="shared" ref="J10" si="4">IF(MAX(D10:H10)&gt;=5, "Requirements not met", "Requirements met")</f>
        <v>Requirements met</v>
      </c>
      <c r="K10" s="139" t="str">
        <f t="shared" ref="K10" si="5">IF(MAX(D10:H10)&gt;=5, "Not OK", "OK")</f>
        <v>OK</v>
      </c>
    </row>
    <row r="11" spans="1:39" s="129" customFormat="1" ht="12.75" customHeight="1" x14ac:dyDescent="0.2">
      <c r="B11" s="140" t="s">
        <v>72</v>
      </c>
      <c r="C11" s="141"/>
      <c r="D11" s="141"/>
      <c r="E11" s="141"/>
      <c r="F11" s="141"/>
      <c r="G11" s="141"/>
      <c r="H11" s="141"/>
      <c r="I11" s="142" t="str">
        <f>MAX(D4:D7)&amp;","&amp;MAX(E4:E7)&amp;","&amp;MAX(F4:F7)&amp;","&amp;MAX(G4:G7)&amp;","&amp;MAX(H4:H7)</f>
        <v>1,3,1,1,2</v>
      </c>
      <c r="J11" s="478"/>
      <c r="K11" s="478"/>
    </row>
    <row r="12" spans="1:39" ht="20.25" x14ac:dyDescent="0.3">
      <c r="B12" s="11"/>
      <c r="C12" s="11"/>
      <c r="D12" s="11"/>
      <c r="E12" s="11"/>
      <c r="F12" s="11"/>
      <c r="G12" s="11"/>
      <c r="H12" s="11"/>
      <c r="I12" s="67"/>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row>
    <row r="13" spans="1:39" ht="20.25" x14ac:dyDescent="0.3">
      <c r="A13" s="130" t="s">
        <v>156</v>
      </c>
      <c r="C13" s="11"/>
      <c r="D13" s="11"/>
      <c r="E13" s="11"/>
      <c r="F13" s="11"/>
      <c r="G13" s="11"/>
      <c r="H13" s="67"/>
      <c r="N13" s="11"/>
      <c r="O13" s="11"/>
      <c r="P13" s="11"/>
      <c r="Q13" s="11"/>
      <c r="R13" s="11"/>
      <c r="S13" s="11"/>
      <c r="T13" s="11"/>
      <c r="U13" s="11"/>
      <c r="V13" s="11"/>
      <c r="W13" s="11"/>
      <c r="X13" s="11"/>
      <c r="Y13" s="11"/>
      <c r="Z13" s="11"/>
      <c r="AA13" s="11"/>
      <c r="AB13" s="11"/>
      <c r="AC13" s="11"/>
      <c r="AD13" s="11"/>
      <c r="AE13" s="11"/>
      <c r="AF13" s="11"/>
      <c r="AG13" s="11"/>
      <c r="AH13" s="11"/>
      <c r="AI13" s="11"/>
      <c r="AJ13" s="11"/>
      <c r="AK13" s="11"/>
      <c r="AL13" s="11"/>
    </row>
    <row r="14" spans="1:39" s="144" customFormat="1" ht="13.5" thickBot="1" x14ac:dyDescent="0.25">
      <c r="A14" s="143" t="s">
        <v>157</v>
      </c>
    </row>
    <row r="15" spans="1:39" ht="17.25" customHeight="1" thickBot="1" x14ac:dyDescent="0.25">
      <c r="B15" s="479" t="s">
        <v>158</v>
      </c>
      <c r="C15" s="481" t="s">
        <v>159</v>
      </c>
      <c r="D15" s="482"/>
      <c r="E15" s="482"/>
      <c r="F15" s="482"/>
      <c r="G15" s="483"/>
    </row>
    <row r="16" spans="1:39" ht="13.5" thickBot="1" x14ac:dyDescent="0.25">
      <c r="B16" s="480"/>
      <c r="C16" s="145">
        <v>1</v>
      </c>
      <c r="D16" s="145">
        <v>2</v>
      </c>
      <c r="E16" s="145">
        <v>3</v>
      </c>
      <c r="F16" s="145">
        <v>4</v>
      </c>
      <c r="G16" s="145">
        <v>5</v>
      </c>
    </row>
    <row r="17" spans="1:18" ht="72.75" thickBot="1" x14ac:dyDescent="0.25">
      <c r="B17" s="484" t="s">
        <v>160</v>
      </c>
      <c r="C17" s="146" t="s">
        <v>161</v>
      </c>
      <c r="D17" s="146" t="s">
        <v>162</v>
      </c>
      <c r="E17" s="146" t="s">
        <v>163</v>
      </c>
      <c r="F17" s="146" t="s">
        <v>164</v>
      </c>
      <c r="G17" s="146" t="s">
        <v>165</v>
      </c>
    </row>
    <row r="18" spans="1:18" ht="24" customHeight="1" thickBot="1" x14ac:dyDescent="0.25">
      <c r="B18" s="485"/>
      <c r="C18" s="487" t="s">
        <v>166</v>
      </c>
      <c r="D18" s="488"/>
      <c r="E18" s="487" t="s">
        <v>167</v>
      </c>
      <c r="F18" s="489"/>
      <c r="G18" s="488"/>
    </row>
    <row r="19" spans="1:18" ht="36.75" thickBot="1" x14ac:dyDescent="0.25">
      <c r="B19" s="486"/>
      <c r="C19" s="147" t="s">
        <v>168</v>
      </c>
      <c r="D19" s="490" t="s">
        <v>169</v>
      </c>
      <c r="E19" s="491"/>
      <c r="F19" s="492" t="s">
        <v>170</v>
      </c>
      <c r="G19" s="493"/>
    </row>
    <row r="20" spans="1:18" ht="60.75" thickBot="1" x14ac:dyDescent="0.25">
      <c r="B20" s="148" t="s">
        <v>85</v>
      </c>
      <c r="C20" s="146" t="s">
        <v>171</v>
      </c>
      <c r="D20" s="146" t="s">
        <v>172</v>
      </c>
      <c r="E20" s="146" t="s">
        <v>173</v>
      </c>
      <c r="F20" s="146" t="s">
        <v>174</v>
      </c>
      <c r="G20" s="146" t="s">
        <v>175</v>
      </c>
    </row>
    <row r="21" spans="1:18" ht="44.25" customHeight="1" thickBot="1" x14ac:dyDescent="0.25">
      <c r="B21" s="148" t="s">
        <v>151</v>
      </c>
      <c r="C21" s="146" t="s">
        <v>176</v>
      </c>
      <c r="D21" s="146" t="s">
        <v>177</v>
      </c>
      <c r="E21" s="146" t="s">
        <v>178</v>
      </c>
      <c r="F21" s="146" t="s">
        <v>179</v>
      </c>
      <c r="G21" s="146" t="s">
        <v>180</v>
      </c>
    </row>
    <row r="22" spans="1:18" ht="44.25" customHeight="1" thickBot="1" x14ac:dyDescent="0.25">
      <c r="B22" s="148" t="s">
        <v>152</v>
      </c>
      <c r="C22" s="146" t="s">
        <v>181</v>
      </c>
      <c r="D22" s="146" t="s">
        <v>182</v>
      </c>
      <c r="E22" s="146" t="s">
        <v>183</v>
      </c>
      <c r="F22" s="146" t="s">
        <v>184</v>
      </c>
      <c r="G22" s="146" t="s">
        <v>185</v>
      </c>
    </row>
    <row r="23" spans="1:18" ht="44.25" customHeight="1" thickBot="1" x14ac:dyDescent="0.25">
      <c r="B23" s="148" t="s">
        <v>186</v>
      </c>
      <c r="C23" s="146" t="s">
        <v>187</v>
      </c>
      <c r="D23" s="487" t="s">
        <v>188</v>
      </c>
      <c r="E23" s="488"/>
      <c r="F23" s="146" t="s">
        <v>189</v>
      </c>
      <c r="G23" s="146" t="s">
        <v>190</v>
      </c>
    </row>
    <row r="24" spans="1:18" x14ac:dyDescent="0.2">
      <c r="B24" s="149"/>
      <c r="C24" s="150"/>
      <c r="D24" s="150"/>
      <c r="E24" s="150"/>
      <c r="F24" s="150"/>
      <c r="G24" s="150"/>
    </row>
    <row r="25" spans="1:18" customFormat="1" ht="15" x14ac:dyDescent="0.25">
      <c r="A25" s="151" t="s">
        <v>191</v>
      </c>
      <c r="C25" s="152"/>
      <c r="D25" s="152"/>
      <c r="E25" s="152"/>
      <c r="F25" s="152"/>
      <c r="G25" s="152"/>
      <c r="H25" s="152"/>
      <c r="I25" s="152"/>
      <c r="J25" s="152"/>
      <c r="K25" s="152"/>
      <c r="L25" s="152"/>
      <c r="M25" s="152"/>
      <c r="N25" s="152"/>
      <c r="O25" s="152"/>
      <c r="P25" s="152"/>
      <c r="Q25" s="152"/>
      <c r="R25" s="152"/>
    </row>
    <row r="26" spans="1:18" customFormat="1" ht="15" x14ac:dyDescent="0.25">
      <c r="B26" s="153" t="s">
        <v>192</v>
      </c>
      <c r="C26" s="154"/>
      <c r="D26" s="154"/>
      <c r="E26" s="154"/>
      <c r="F26" s="154"/>
      <c r="G26" s="154"/>
      <c r="H26" s="155"/>
      <c r="I26" s="152"/>
      <c r="J26" s="152"/>
      <c r="K26" s="152"/>
      <c r="L26" s="152"/>
      <c r="M26" s="152"/>
      <c r="N26" s="152"/>
      <c r="O26" s="152"/>
      <c r="P26" s="152"/>
      <c r="Q26" s="152"/>
      <c r="R26" s="152"/>
    </row>
    <row r="27" spans="1:18" customFormat="1" ht="65.25" customHeight="1" x14ac:dyDescent="0.25">
      <c r="B27" s="156"/>
      <c r="C27" s="458" t="s">
        <v>193</v>
      </c>
      <c r="D27" s="459"/>
      <c r="E27" s="459"/>
      <c r="F27" s="459"/>
      <c r="G27" s="459"/>
      <c r="H27" s="460"/>
      <c r="N27" s="157"/>
      <c r="O27" s="157"/>
      <c r="P27" s="157"/>
      <c r="Q27" s="157"/>
      <c r="R27" s="157"/>
    </row>
    <row r="28" spans="1:18" customFormat="1" ht="15" x14ac:dyDescent="0.25">
      <c r="B28" s="156"/>
      <c r="C28" s="158" t="s">
        <v>194</v>
      </c>
      <c r="D28" s="159"/>
      <c r="E28" s="159"/>
      <c r="F28" s="159"/>
      <c r="G28" s="159"/>
      <c r="H28" s="160"/>
      <c r="I28" s="152"/>
      <c r="J28" s="152"/>
      <c r="K28" s="152"/>
      <c r="L28" s="152"/>
      <c r="M28" s="152"/>
      <c r="N28" s="152"/>
      <c r="O28" s="152"/>
      <c r="P28" s="152"/>
      <c r="Q28" s="152"/>
      <c r="R28" s="152"/>
    </row>
    <row r="29" spans="1:18" customFormat="1" ht="15" x14ac:dyDescent="0.25">
      <c r="B29" s="156"/>
      <c r="C29" s="161" t="s">
        <v>195</v>
      </c>
      <c r="D29" s="162"/>
      <c r="E29" s="162"/>
      <c r="F29" s="162"/>
      <c r="G29" s="162"/>
      <c r="H29" s="163"/>
      <c r="I29" s="152"/>
      <c r="J29" s="152"/>
      <c r="K29" s="152"/>
      <c r="L29" s="152"/>
      <c r="M29" s="152"/>
      <c r="N29" s="152"/>
      <c r="O29" s="152"/>
      <c r="P29" s="152"/>
      <c r="Q29" s="152"/>
      <c r="R29" s="152"/>
    </row>
    <row r="30" spans="1:18" customFormat="1" ht="15" x14ac:dyDescent="0.25">
      <c r="B30" s="156"/>
      <c r="C30" s="161" t="s">
        <v>196</v>
      </c>
      <c r="D30" s="162"/>
      <c r="E30" s="162"/>
      <c r="F30" s="162"/>
      <c r="G30" s="162"/>
      <c r="H30" s="163"/>
      <c r="I30" s="152"/>
      <c r="J30" s="152"/>
      <c r="K30" s="152"/>
      <c r="L30" s="152"/>
      <c r="M30" s="152"/>
      <c r="N30" s="152"/>
      <c r="O30" s="152"/>
      <c r="P30" s="152"/>
      <c r="Q30" s="152"/>
      <c r="R30" s="152"/>
    </row>
    <row r="31" spans="1:18" customFormat="1" ht="15" x14ac:dyDescent="0.25">
      <c r="B31" s="156"/>
      <c r="C31" s="161" t="s">
        <v>197</v>
      </c>
      <c r="D31" s="162"/>
      <c r="E31" s="162"/>
      <c r="F31" s="162"/>
      <c r="G31" s="162"/>
      <c r="H31" s="163"/>
      <c r="I31" s="152"/>
      <c r="J31" s="152"/>
      <c r="K31" s="152"/>
      <c r="L31" s="152"/>
      <c r="M31" s="152"/>
      <c r="N31" s="152"/>
      <c r="O31" s="152"/>
      <c r="P31" s="152"/>
      <c r="Q31" s="152"/>
      <c r="R31" s="152"/>
    </row>
    <row r="32" spans="1:18" customFormat="1" ht="15" x14ac:dyDescent="0.25">
      <c r="B32" s="156"/>
      <c r="C32" s="161" t="s">
        <v>198</v>
      </c>
      <c r="D32" s="162"/>
      <c r="E32" s="162"/>
      <c r="F32" s="162"/>
      <c r="G32" s="162"/>
      <c r="H32" s="163"/>
      <c r="I32" s="152"/>
      <c r="J32" s="152"/>
      <c r="K32" s="152"/>
      <c r="L32" s="152"/>
      <c r="M32" s="152"/>
      <c r="N32" s="152"/>
      <c r="O32" s="152"/>
      <c r="P32" s="152"/>
      <c r="Q32" s="152"/>
      <c r="R32" s="152"/>
    </row>
    <row r="33" spans="1:18" customFormat="1" ht="41.25" customHeight="1" x14ac:dyDescent="0.25">
      <c r="B33" s="156"/>
      <c r="C33" s="474" t="s">
        <v>199</v>
      </c>
      <c r="D33" s="475"/>
      <c r="E33" s="475"/>
      <c r="F33" s="475"/>
      <c r="G33" s="475"/>
      <c r="H33" s="476"/>
      <c r="N33" s="164"/>
      <c r="O33" s="164"/>
      <c r="P33" s="164"/>
      <c r="Q33" s="152"/>
      <c r="R33" s="152"/>
    </row>
    <row r="34" spans="1:18" customFormat="1" ht="38.25" customHeight="1" x14ac:dyDescent="0.25">
      <c r="B34" s="165"/>
      <c r="C34" s="458" t="s">
        <v>200</v>
      </c>
      <c r="D34" s="459"/>
      <c r="E34" s="459"/>
      <c r="F34" s="459"/>
      <c r="G34" s="459"/>
      <c r="H34" s="460"/>
      <c r="N34" s="157"/>
      <c r="O34" s="157"/>
      <c r="P34" s="157"/>
      <c r="Q34" s="157"/>
      <c r="R34" s="152"/>
    </row>
    <row r="35" spans="1:18" customFormat="1" ht="43.5" customHeight="1" x14ac:dyDescent="0.25">
      <c r="B35" s="458" t="s">
        <v>201</v>
      </c>
      <c r="C35" s="459"/>
      <c r="D35" s="459"/>
      <c r="E35" s="459"/>
      <c r="F35" s="459"/>
      <c r="G35" s="459"/>
      <c r="H35" s="460"/>
      <c r="I35" s="152"/>
      <c r="J35" s="152"/>
      <c r="K35" s="152"/>
      <c r="L35" s="152"/>
      <c r="M35" s="152"/>
      <c r="N35" s="152"/>
      <c r="O35" s="152"/>
      <c r="P35" s="152"/>
      <c r="Q35" s="152"/>
      <c r="R35" s="152"/>
    </row>
    <row r="36" spans="1:18" customFormat="1" ht="49.5" customHeight="1" x14ac:dyDescent="0.25">
      <c r="B36" s="458" t="s">
        <v>202</v>
      </c>
      <c r="C36" s="459"/>
      <c r="D36" s="459"/>
      <c r="E36" s="459"/>
      <c r="F36" s="459"/>
      <c r="G36" s="459"/>
      <c r="H36" s="460"/>
      <c r="I36" s="166"/>
    </row>
    <row r="37" spans="1:18" customFormat="1" ht="46.5" customHeight="1" x14ac:dyDescent="0.25">
      <c r="B37" s="458" t="s">
        <v>203</v>
      </c>
      <c r="C37" s="459"/>
      <c r="D37" s="459"/>
      <c r="E37" s="459"/>
      <c r="F37" s="459"/>
      <c r="G37" s="459"/>
      <c r="H37" s="460"/>
      <c r="I37" s="166"/>
    </row>
    <row r="38" spans="1:18" customFormat="1" ht="30" customHeight="1" x14ac:dyDescent="0.25">
      <c r="B38" s="458" t="s">
        <v>204</v>
      </c>
      <c r="C38" s="459"/>
      <c r="D38" s="459"/>
      <c r="E38" s="459"/>
      <c r="F38" s="459"/>
      <c r="G38" s="459"/>
      <c r="H38" s="460"/>
      <c r="I38" s="166"/>
    </row>
    <row r="39" spans="1:18" customFormat="1" ht="15" customHeight="1" x14ac:dyDescent="0.25">
      <c r="A39" s="167" t="s">
        <v>205</v>
      </c>
      <c r="B39" s="167"/>
      <c r="I39" s="168"/>
    </row>
    <row r="40" spans="1:18" customFormat="1" ht="30" customHeight="1" x14ac:dyDescent="0.25">
      <c r="B40" s="461" t="s">
        <v>206</v>
      </c>
      <c r="C40" s="462"/>
      <c r="D40" s="462"/>
      <c r="E40" s="462"/>
      <c r="F40" s="462"/>
      <c r="G40" s="462"/>
      <c r="H40" s="463"/>
    </row>
    <row r="41" spans="1:18" customFormat="1" ht="12.75" customHeight="1" x14ac:dyDescent="0.25">
      <c r="B41" s="464" t="s">
        <v>207</v>
      </c>
      <c r="C41" s="465"/>
      <c r="D41" s="465"/>
      <c r="E41" s="465"/>
      <c r="F41" s="465"/>
      <c r="G41" s="169"/>
      <c r="H41" s="170"/>
    </row>
    <row r="42" spans="1:18" customFormat="1" ht="29.25" customHeight="1" x14ac:dyDescent="0.25">
      <c r="B42" s="466" t="s">
        <v>208</v>
      </c>
      <c r="C42" s="467"/>
      <c r="D42" s="467"/>
      <c r="E42" s="467"/>
      <c r="F42" s="467"/>
      <c r="G42" s="467"/>
      <c r="H42" s="468"/>
    </row>
    <row r="43" spans="1:18" customFormat="1" ht="15" customHeight="1" x14ac:dyDescent="0.25">
      <c r="B43" s="171" t="s">
        <v>209</v>
      </c>
      <c r="C43" s="169"/>
      <c r="D43" s="169"/>
      <c r="E43" s="169"/>
      <c r="F43" s="169"/>
      <c r="G43" s="169"/>
      <c r="H43" s="170"/>
    </row>
    <row r="44" spans="1:18" customFormat="1" ht="30.75" customHeight="1" x14ac:dyDescent="0.25">
      <c r="B44" s="466" t="s">
        <v>210</v>
      </c>
      <c r="C44" s="467"/>
      <c r="D44" s="467"/>
      <c r="E44" s="467"/>
      <c r="F44" s="467"/>
      <c r="G44" s="467"/>
      <c r="H44" s="468"/>
    </row>
    <row r="45" spans="1:18" customFormat="1" ht="12.75" customHeight="1" x14ac:dyDescent="0.25">
      <c r="B45" s="469" t="s">
        <v>211</v>
      </c>
      <c r="C45" s="470"/>
      <c r="D45" s="470"/>
      <c r="E45" s="470"/>
      <c r="F45" s="470"/>
      <c r="G45" s="470"/>
      <c r="H45" s="170"/>
    </row>
    <row r="46" spans="1:18" customFormat="1" ht="35.25" customHeight="1" x14ac:dyDescent="0.25">
      <c r="B46" s="466" t="s">
        <v>212</v>
      </c>
      <c r="C46" s="467"/>
      <c r="D46" s="467"/>
      <c r="E46" s="467"/>
      <c r="F46" s="467"/>
      <c r="G46" s="467"/>
      <c r="H46" s="468"/>
    </row>
    <row r="47" spans="1:18" customFormat="1" ht="24.75" customHeight="1" x14ac:dyDescent="0.25">
      <c r="B47" s="471" t="s">
        <v>213</v>
      </c>
      <c r="C47" s="472"/>
      <c r="D47" s="472"/>
      <c r="E47" s="472"/>
      <c r="F47" s="472"/>
      <c r="G47" s="472"/>
      <c r="H47" s="473"/>
    </row>
    <row r="48" spans="1:18" customFormat="1" ht="27.75" customHeight="1" x14ac:dyDescent="0.25">
      <c r="B48" s="474" t="s">
        <v>214</v>
      </c>
      <c r="C48" s="475"/>
      <c r="D48" s="475"/>
      <c r="E48" s="475"/>
      <c r="F48" s="475"/>
      <c r="G48" s="475"/>
      <c r="H48" s="476"/>
    </row>
    <row r="49" spans="2:8" customFormat="1" ht="21" customHeight="1" x14ac:dyDescent="0.25">
      <c r="B49" s="458" t="s">
        <v>215</v>
      </c>
      <c r="C49" s="459"/>
      <c r="D49" s="459"/>
      <c r="E49" s="459"/>
      <c r="F49" s="459"/>
      <c r="G49" s="459"/>
      <c r="H49" s="460"/>
    </row>
    <row r="50" spans="2:8" customFormat="1" ht="26.25" customHeight="1" x14ac:dyDescent="0.25">
      <c r="B50" s="457" t="s">
        <v>216</v>
      </c>
      <c r="C50" s="457"/>
      <c r="D50" s="457"/>
      <c r="E50" s="457"/>
      <c r="F50" s="457"/>
      <c r="G50" s="457"/>
      <c r="H50" s="457"/>
    </row>
  </sheetData>
  <mergeCells count="27">
    <mergeCell ref="B36:H36"/>
    <mergeCell ref="A1:K1"/>
    <mergeCell ref="J11:K11"/>
    <mergeCell ref="B15:B16"/>
    <mergeCell ref="C15:G15"/>
    <mergeCell ref="B17:B19"/>
    <mergeCell ref="C18:D18"/>
    <mergeCell ref="E18:G18"/>
    <mergeCell ref="D19:E19"/>
    <mergeCell ref="F19:G19"/>
    <mergeCell ref="D23:E23"/>
    <mergeCell ref="C27:H27"/>
    <mergeCell ref="C33:H33"/>
    <mergeCell ref="C34:H34"/>
    <mergeCell ref="B35:H35"/>
    <mergeCell ref="B50:H50"/>
    <mergeCell ref="B37:H37"/>
    <mergeCell ref="B38:H38"/>
    <mergeCell ref="B40:H40"/>
    <mergeCell ref="B41:F41"/>
    <mergeCell ref="B42:H42"/>
    <mergeCell ref="B44:H44"/>
    <mergeCell ref="B45:G45"/>
    <mergeCell ref="B46:H46"/>
    <mergeCell ref="B47:H47"/>
    <mergeCell ref="B48:H48"/>
    <mergeCell ref="B49:H49"/>
  </mergeCells>
  <conditionalFormatting sqref="J4:K4">
    <cfRule type="expression" dxfId="8" priority="7">
      <formula>MAX(D4:H4)&gt;=5</formula>
    </cfRule>
  </conditionalFormatting>
  <conditionalFormatting sqref="J5:K5">
    <cfRule type="expression" dxfId="7" priority="6">
      <formula>MAX(D5:H5)&gt;=5</formula>
    </cfRule>
  </conditionalFormatting>
  <conditionalFormatting sqref="J6:K6">
    <cfRule type="expression" dxfId="6" priority="5">
      <formula>MAX(D6:H6)&gt;=5</formula>
    </cfRule>
  </conditionalFormatting>
  <conditionalFormatting sqref="J7:K7">
    <cfRule type="expression" dxfId="5" priority="4">
      <formula>MAX(D7:H7)&gt;=5</formula>
    </cfRule>
  </conditionalFormatting>
  <conditionalFormatting sqref="I11">
    <cfRule type="expression" dxfId="4" priority="3">
      <formula>MAX($D$4:$H$7)&gt;=5</formula>
    </cfRule>
  </conditionalFormatting>
  <conditionalFormatting sqref="J8:K8">
    <cfRule type="expression" dxfId="3" priority="2">
      <formula>MAX(D8:H8)&gt;=5</formula>
    </cfRule>
  </conditionalFormatting>
  <conditionalFormatting sqref="J9:K10">
    <cfRule type="expression" dxfId="2" priority="1">
      <formula>MAX(D9:H9)&gt;=5</formula>
    </cfRule>
  </conditionalFormatting>
  <pageMargins left="0.7" right="0.7" top="0.75" bottom="0.75" header="0.3" footer="0.3"/>
  <pageSetup paperSize="3" orientation="landscape" r:id="rId1"/>
  <headerFooter>
    <oddFooter>Page &amp;P&amp;R&amp;F</oddFooter>
  </headerFooter>
  <rowBreaks count="1" manualBreakCount="1">
    <brk id="2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K183"/>
  <sheetViews>
    <sheetView topLeftCell="D89" workbookViewId="0">
      <selection activeCell="D92" sqref="D5:D92"/>
    </sheetView>
  </sheetViews>
  <sheetFormatPr defaultRowHeight="15" x14ac:dyDescent="0.25"/>
  <cols>
    <col min="2" max="2" width="6.140625" customWidth="1"/>
    <col min="3" max="3" width="12" bestFit="1" customWidth="1"/>
    <col min="4" max="4" width="46.42578125" customWidth="1"/>
    <col min="5" max="5" width="17.7109375" customWidth="1"/>
    <col min="6" max="6" width="53.28515625" customWidth="1"/>
    <col min="7" max="7" width="9.28515625" customWidth="1"/>
    <col min="37" max="37" width="41.140625" bestFit="1" customWidth="1"/>
  </cols>
  <sheetData>
    <row r="1" spans="1:7" ht="18" x14ac:dyDescent="0.25">
      <c r="A1" s="173" t="s">
        <v>18</v>
      </c>
      <c r="C1" s="305"/>
      <c r="D1" s="279" t="s">
        <v>217</v>
      </c>
      <c r="F1" s="305"/>
      <c r="G1" s="305"/>
    </row>
    <row r="2" spans="1:7" ht="15.75" x14ac:dyDescent="0.25">
      <c r="A2" s="178" t="s">
        <v>586</v>
      </c>
      <c r="B2" s="177"/>
      <c r="C2" s="179"/>
    </row>
    <row r="3" spans="1:7" x14ac:dyDescent="0.25">
      <c r="A3" s="200" t="s">
        <v>1052</v>
      </c>
    </row>
    <row r="4" spans="1:7" ht="15.75" thickBot="1" x14ac:dyDescent="0.3"/>
    <row r="5" spans="1:7" s="200" customFormat="1" ht="15.75" thickBot="1" x14ac:dyDescent="0.3">
      <c r="A5" s="259">
        <v>0</v>
      </c>
      <c r="B5" s="260" t="s">
        <v>565</v>
      </c>
      <c r="C5" s="260" t="s">
        <v>564</v>
      </c>
      <c r="D5" s="260" t="s">
        <v>561</v>
      </c>
      <c r="E5" s="260" t="s">
        <v>69</v>
      </c>
      <c r="F5" s="261" t="s">
        <v>218</v>
      </c>
      <c r="G5" s="320"/>
    </row>
    <row r="6" spans="1:7" x14ac:dyDescent="0.25">
      <c r="A6">
        <f>IF(F6="",0,IF(C6&lt;44.1,0,MAX($A$5:A5)+1))</f>
        <v>0</v>
      </c>
      <c r="B6">
        <v>3</v>
      </c>
      <c r="C6">
        <v>134.21816000000001</v>
      </c>
      <c r="D6" s="273" t="s">
        <v>414</v>
      </c>
      <c r="E6" t="s">
        <v>507</v>
      </c>
    </row>
    <row r="7" spans="1:7" x14ac:dyDescent="0.25">
      <c r="A7">
        <f>IF(F7="",0,IF(C7&lt;44.1,0,MAX($A$5:A6)+1))</f>
        <v>0</v>
      </c>
      <c r="B7">
        <v>25</v>
      </c>
      <c r="C7">
        <v>120.19158</v>
      </c>
      <c r="D7" s="273" t="s">
        <v>553</v>
      </c>
      <c r="E7" t="s">
        <v>572</v>
      </c>
    </row>
    <row r="8" spans="1:7" x14ac:dyDescent="0.25">
      <c r="A8">
        <f>IF(F8="",0,IF(C8&lt;44.1,0,MAX($A$5:A7)+1))</f>
        <v>1</v>
      </c>
      <c r="B8">
        <v>30</v>
      </c>
      <c r="C8">
        <v>120.19158</v>
      </c>
      <c r="D8" t="s">
        <v>351</v>
      </c>
      <c r="E8" t="s">
        <v>570</v>
      </c>
      <c r="F8" t="s">
        <v>462</v>
      </c>
    </row>
    <row r="9" spans="1:7" x14ac:dyDescent="0.25">
      <c r="A9">
        <f>IF(F9="",0,IF(C9&lt;44.1,0,MAX($A$5:A8)+1))</f>
        <v>0</v>
      </c>
      <c r="B9">
        <v>36</v>
      </c>
      <c r="C9">
        <v>134.21816000000001</v>
      </c>
      <c r="D9" s="273" t="s">
        <v>554</v>
      </c>
      <c r="E9" t="s">
        <v>573</v>
      </c>
    </row>
    <row r="10" spans="1:7" x14ac:dyDescent="0.25">
      <c r="A10">
        <f>IF(F10="",0,IF(C10&lt;44.1,0,MAX($A$5:A9)+1))</f>
        <v>2</v>
      </c>
      <c r="B10">
        <v>44</v>
      </c>
      <c r="C10">
        <v>120.19158</v>
      </c>
      <c r="D10" t="s">
        <v>392</v>
      </c>
      <c r="E10" t="s">
        <v>571</v>
      </c>
      <c r="F10" t="s">
        <v>532</v>
      </c>
    </row>
    <row r="11" spans="1:7" x14ac:dyDescent="0.25">
      <c r="A11">
        <f>IF(F11="",0,IF(C11&lt;44.1,0,MAX($A$5:A10)+1))</f>
        <v>0</v>
      </c>
      <c r="B11">
        <v>51</v>
      </c>
      <c r="C11">
        <v>134.21816000000001</v>
      </c>
      <c r="D11" s="273" t="s">
        <v>555</v>
      </c>
      <c r="E11" t="s">
        <v>589</v>
      </c>
    </row>
    <row r="12" spans="1:7" x14ac:dyDescent="0.25">
      <c r="A12">
        <f>IF(F12="",0,IF(C12&lt;44.1,0,MAX($A$5:A11)+1))</f>
        <v>0</v>
      </c>
      <c r="B12">
        <v>59</v>
      </c>
      <c r="C12">
        <v>134.21816000000001</v>
      </c>
      <c r="D12" s="273" t="s">
        <v>556</v>
      </c>
      <c r="E12" t="s">
        <v>574</v>
      </c>
    </row>
    <row r="13" spans="1:7" x14ac:dyDescent="0.25">
      <c r="A13">
        <f>IF(F13="",0,IF(C13&lt;44.1,0,MAX($A$5:A12)+1))</f>
        <v>3</v>
      </c>
      <c r="B13">
        <v>80</v>
      </c>
      <c r="C13">
        <v>120.19158</v>
      </c>
      <c r="D13" t="s">
        <v>399</v>
      </c>
      <c r="E13" t="s">
        <v>508</v>
      </c>
      <c r="F13" t="s">
        <v>533</v>
      </c>
    </row>
    <row r="14" spans="1:7" x14ac:dyDescent="0.25">
      <c r="A14">
        <f>IF(F14="",0,IF(C14&lt;44.1,0,MAX($A$5:A13)+1))</f>
        <v>4</v>
      </c>
      <c r="B14">
        <v>89</v>
      </c>
      <c r="C14">
        <v>120.19158</v>
      </c>
      <c r="D14" t="s">
        <v>402</v>
      </c>
      <c r="E14" t="s">
        <v>509</v>
      </c>
      <c r="F14" t="s">
        <v>534</v>
      </c>
    </row>
    <row r="15" spans="1:7" x14ac:dyDescent="0.25">
      <c r="A15">
        <f>IF(F15="",0,IF(C15&lt;44.1,0,MAX($A$5:A14)+1))</f>
        <v>5</v>
      </c>
      <c r="B15">
        <v>118</v>
      </c>
      <c r="C15">
        <v>114.22852</v>
      </c>
      <c r="D15" t="s">
        <v>293</v>
      </c>
      <c r="E15" t="s">
        <v>433</v>
      </c>
      <c r="F15" t="s">
        <v>463</v>
      </c>
    </row>
    <row r="16" spans="1:7" x14ac:dyDescent="0.25">
      <c r="A16">
        <f>IF(F16="",0,IF(C16&lt;44.1,0,MAX($A$5:A15)+1))</f>
        <v>6</v>
      </c>
      <c r="B16">
        <v>122</v>
      </c>
      <c r="C16">
        <v>86.175359999999998</v>
      </c>
      <c r="D16" t="s">
        <v>295</v>
      </c>
      <c r="E16" t="s">
        <v>498</v>
      </c>
      <c r="F16" t="s">
        <v>535</v>
      </c>
    </row>
    <row r="17" spans="1:6" x14ac:dyDescent="0.25">
      <c r="A17">
        <f>IF(F17="",0,IF(C17&lt;44.1,0,MAX($A$5:A16)+1))</f>
        <v>0</v>
      </c>
      <c r="B17">
        <v>127</v>
      </c>
      <c r="C17">
        <v>72.148780000000002</v>
      </c>
      <c r="D17" s="273" t="s">
        <v>422</v>
      </c>
      <c r="E17" t="s">
        <v>510</v>
      </c>
    </row>
    <row r="18" spans="1:6" x14ac:dyDescent="0.25">
      <c r="A18">
        <f>IF(F18="",0,IF(C18&lt;44.1,0,MAX($A$5:A17)+1))</f>
        <v>7</v>
      </c>
      <c r="B18">
        <v>130</v>
      </c>
      <c r="C18">
        <v>114.22852</v>
      </c>
      <c r="D18" t="s">
        <v>396</v>
      </c>
      <c r="E18" t="s">
        <v>432</v>
      </c>
      <c r="F18" t="s">
        <v>464</v>
      </c>
    </row>
    <row r="19" spans="1:6" x14ac:dyDescent="0.25">
      <c r="A19">
        <f>IF(F19="",0,IF(C19&lt;44.1,0,MAX($A$5:A18)+1))</f>
        <v>8</v>
      </c>
      <c r="B19">
        <v>136</v>
      </c>
      <c r="C19">
        <v>86.175359999999998</v>
      </c>
      <c r="D19" t="s">
        <v>298</v>
      </c>
      <c r="E19" t="s">
        <v>357</v>
      </c>
      <c r="F19" t="s">
        <v>465</v>
      </c>
    </row>
    <row r="20" spans="1:6" x14ac:dyDescent="0.25">
      <c r="A20">
        <f>IF(F20="",0,IF(C20&lt;44.1,0,MAX($A$5:A19)+1))</f>
        <v>9</v>
      </c>
      <c r="B20">
        <v>138</v>
      </c>
      <c r="C20">
        <v>114.22852</v>
      </c>
      <c r="D20" t="s">
        <v>423</v>
      </c>
      <c r="E20" t="s">
        <v>511</v>
      </c>
      <c r="F20" t="s">
        <v>536</v>
      </c>
    </row>
    <row r="21" spans="1:6" x14ac:dyDescent="0.25">
      <c r="A21">
        <f>IF(F21="",0,IF(C21&lt;44.1,0,MAX($A$5:A20)+1))</f>
        <v>10</v>
      </c>
      <c r="B21">
        <v>140</v>
      </c>
      <c r="C21">
        <v>100.20193999999999</v>
      </c>
      <c r="D21" t="s">
        <v>301</v>
      </c>
      <c r="E21" t="s">
        <v>434</v>
      </c>
      <c r="F21" t="s">
        <v>466</v>
      </c>
    </row>
    <row r="22" spans="1:6" x14ac:dyDescent="0.25">
      <c r="A22">
        <f>IF(F22="",0,IF(C22&lt;44.1,0,MAX($A$5:A21)+1))</f>
        <v>11</v>
      </c>
      <c r="B22">
        <v>149</v>
      </c>
      <c r="C22">
        <v>114.22852</v>
      </c>
      <c r="D22" t="s">
        <v>415</v>
      </c>
      <c r="E22" t="s">
        <v>512</v>
      </c>
      <c r="F22" t="s">
        <v>537</v>
      </c>
    </row>
    <row r="23" spans="1:6" x14ac:dyDescent="0.25">
      <c r="A23">
        <f>IF(F23="",0,IF(C23&lt;44.1,0,MAX($A$5:A22)+1))</f>
        <v>12</v>
      </c>
      <c r="B23">
        <v>152</v>
      </c>
      <c r="C23">
        <v>100.20193999999999</v>
      </c>
      <c r="D23" t="s">
        <v>304</v>
      </c>
      <c r="E23" t="s">
        <v>435</v>
      </c>
      <c r="F23" t="s">
        <v>467</v>
      </c>
    </row>
    <row r="24" spans="1:6" x14ac:dyDescent="0.25">
      <c r="A24">
        <f>IF(F24="",0,IF(C24&lt;44.1,0,MAX($A$5:A23)+1))</f>
        <v>13</v>
      </c>
      <c r="B24">
        <v>193</v>
      </c>
      <c r="C24">
        <v>114.22852</v>
      </c>
      <c r="D24" t="s">
        <v>307</v>
      </c>
      <c r="E24" t="s">
        <v>499</v>
      </c>
      <c r="F24" t="s">
        <v>538</v>
      </c>
    </row>
    <row r="25" spans="1:6" x14ac:dyDescent="0.25">
      <c r="A25">
        <f>IF(F25="",0,IF(C25&lt;44.1,0,MAX($A$5:A24)+1))</f>
        <v>14</v>
      </c>
      <c r="B25">
        <v>194</v>
      </c>
      <c r="C25">
        <v>100.20193999999999</v>
      </c>
      <c r="D25" t="s">
        <v>310</v>
      </c>
      <c r="E25" t="s">
        <v>458</v>
      </c>
      <c r="F25" t="s">
        <v>468</v>
      </c>
    </row>
    <row r="26" spans="1:6" x14ac:dyDescent="0.25">
      <c r="A26">
        <f>IF(F26="",0,IF(C26&lt;44.1,0,MAX($A$5:A25)+1))</f>
        <v>15</v>
      </c>
      <c r="B26">
        <v>199</v>
      </c>
      <c r="C26">
        <v>86.175359999999998</v>
      </c>
      <c r="D26" t="s">
        <v>313</v>
      </c>
      <c r="E26" t="s">
        <v>459</v>
      </c>
      <c r="F26" t="s">
        <v>469</v>
      </c>
    </row>
    <row r="27" spans="1:6" x14ac:dyDescent="0.25">
      <c r="A27">
        <f>IF(F27="",0,IF(C27&lt;44.1,0,MAX($A$5:A26)+1))</f>
        <v>0</v>
      </c>
      <c r="B27">
        <v>226</v>
      </c>
      <c r="C27">
        <v>114.22852</v>
      </c>
      <c r="D27" s="273" t="s">
        <v>421</v>
      </c>
      <c r="E27" t="s">
        <v>513</v>
      </c>
    </row>
    <row r="28" spans="1:6" x14ac:dyDescent="0.25">
      <c r="A28">
        <f>IF(F28="",0,IF(C28&lt;44.1,0,MAX($A$5:A27)+1))</f>
        <v>16</v>
      </c>
      <c r="B28">
        <v>244</v>
      </c>
      <c r="C28">
        <v>114.22852</v>
      </c>
      <c r="D28" t="s">
        <v>316</v>
      </c>
      <c r="E28" t="s">
        <v>500</v>
      </c>
      <c r="F28" t="s">
        <v>539</v>
      </c>
    </row>
    <row r="29" spans="1:6" x14ac:dyDescent="0.25">
      <c r="A29">
        <f>IF(F29="",0,IF(C29&lt;44.1,0,MAX($A$5:A28)+1))</f>
        <v>17</v>
      </c>
      <c r="B29">
        <v>245</v>
      </c>
      <c r="C29">
        <v>100.20193999999999</v>
      </c>
      <c r="D29" t="s">
        <v>319</v>
      </c>
      <c r="E29" t="s">
        <v>460</v>
      </c>
      <c r="F29" t="s">
        <v>470</v>
      </c>
    </row>
    <row r="30" spans="1:6" x14ac:dyDescent="0.25">
      <c r="A30">
        <f>IF(F30="",0,IF(C30&lt;44.1,0,MAX($A$5:A29)+1))</f>
        <v>18</v>
      </c>
      <c r="B30">
        <v>248</v>
      </c>
      <c r="C30">
        <v>86.175359999999998</v>
      </c>
      <c r="D30" t="s">
        <v>322</v>
      </c>
      <c r="E30" t="s">
        <v>461</v>
      </c>
      <c r="F30" t="s">
        <v>471</v>
      </c>
    </row>
    <row r="31" spans="1:6" x14ac:dyDescent="0.25">
      <c r="A31">
        <f>IF(F31="",0,IF(C31&lt;44.1,0,MAX($A$5:A30)+1))</f>
        <v>19</v>
      </c>
      <c r="B31">
        <v>302</v>
      </c>
      <c r="C31">
        <v>78.111840000000001</v>
      </c>
      <c r="D31" t="s">
        <v>260</v>
      </c>
      <c r="E31" t="s">
        <v>436</v>
      </c>
      <c r="F31" t="s">
        <v>487</v>
      </c>
    </row>
    <row r="32" spans="1:6" x14ac:dyDescent="0.25">
      <c r="A32">
        <f>IF(F32="",0,IF(C32&lt;44.1,0,MAX($A$5:A31)+1))</f>
        <v>20</v>
      </c>
      <c r="B32">
        <v>385</v>
      </c>
      <c r="C32">
        <v>84.159480000000002</v>
      </c>
      <c r="D32" t="s">
        <v>325</v>
      </c>
      <c r="E32" t="s">
        <v>501</v>
      </c>
      <c r="F32" t="s">
        <v>540</v>
      </c>
    </row>
    <row r="33" spans="1:6" x14ac:dyDescent="0.25">
      <c r="A33">
        <f>IF(F33="",0,IF(C33&lt;44.1,0,MAX($A$5:A32)+1))</f>
        <v>21</v>
      </c>
      <c r="B33">
        <v>390</v>
      </c>
      <c r="C33">
        <v>70.132900000000006</v>
      </c>
      <c r="D33" t="s">
        <v>328</v>
      </c>
      <c r="E33" t="s">
        <v>502</v>
      </c>
      <c r="F33" t="s">
        <v>541</v>
      </c>
    </row>
    <row r="34" spans="1:6" x14ac:dyDescent="0.25">
      <c r="A34">
        <f>IF(F34="",0,IF(C34&lt;44.1,0,MAX($A$5:A33)+1))</f>
        <v>0</v>
      </c>
      <c r="B34">
        <v>438</v>
      </c>
      <c r="C34">
        <v>30.069040000000001</v>
      </c>
      <c r="D34" t="s">
        <v>263</v>
      </c>
      <c r="E34" t="s">
        <v>358</v>
      </c>
      <c r="F34" t="s">
        <v>472</v>
      </c>
    </row>
    <row r="35" spans="1:6" x14ac:dyDescent="0.25">
      <c r="A35">
        <f>IF(F35="",0,IF(C35&lt;44.1,0,MAX($A$5:A34)+1))</f>
        <v>22</v>
      </c>
      <c r="B35">
        <v>449</v>
      </c>
      <c r="C35">
        <v>106.16500000000001</v>
      </c>
      <c r="D35" t="s">
        <v>331</v>
      </c>
      <c r="E35" t="s">
        <v>438</v>
      </c>
      <c r="F35" t="s">
        <v>486</v>
      </c>
    </row>
    <row r="36" spans="1:6" x14ac:dyDescent="0.25">
      <c r="A36">
        <f>IF(F36="",0,IF(C36&lt;44.1,0,MAX($A$5:A35)+1))</f>
        <v>23</v>
      </c>
      <c r="B36">
        <v>450</v>
      </c>
      <c r="C36">
        <v>112.21263999999999</v>
      </c>
      <c r="D36" t="s">
        <v>333</v>
      </c>
      <c r="E36" t="s">
        <v>503</v>
      </c>
      <c r="F36" t="s">
        <v>542</v>
      </c>
    </row>
    <row r="37" spans="1:6" x14ac:dyDescent="0.25">
      <c r="A37">
        <f>IF(F37="",0,IF(C37&lt;44.1,0,MAX($A$5:A36)+1))</f>
        <v>24</v>
      </c>
      <c r="B37">
        <v>491</v>
      </c>
      <c r="C37">
        <v>58.122199999999999</v>
      </c>
      <c r="D37" t="s">
        <v>266</v>
      </c>
      <c r="E37" t="s">
        <v>359</v>
      </c>
      <c r="F37" t="s">
        <v>473</v>
      </c>
    </row>
    <row r="38" spans="1:6" x14ac:dyDescent="0.25">
      <c r="A38">
        <f>IF(F38="",0,IF(C38&lt;44.1,0,MAX($A$5:A37)+1))</f>
        <v>0</v>
      </c>
      <c r="B38">
        <v>499</v>
      </c>
      <c r="C38">
        <v>134.21816000000001</v>
      </c>
      <c r="D38" s="273" t="s">
        <v>557</v>
      </c>
      <c r="E38" t="s">
        <v>580</v>
      </c>
    </row>
    <row r="39" spans="1:6" x14ac:dyDescent="0.25">
      <c r="A39">
        <f>IF(F39="",0,IF(C39&lt;44.1,0,MAX($A$5:A38)+1))</f>
        <v>25</v>
      </c>
      <c r="B39">
        <v>508</v>
      </c>
      <c r="C39">
        <v>72.148780000000002</v>
      </c>
      <c r="D39" t="s">
        <v>335</v>
      </c>
      <c r="E39" t="s">
        <v>439</v>
      </c>
      <c r="F39" t="s">
        <v>474</v>
      </c>
    </row>
    <row r="40" spans="1:6" x14ac:dyDescent="0.25">
      <c r="A40">
        <f>IF(F40="",0,IF(C40&lt;44.1,0,MAX($A$5:A39)+1))</f>
        <v>26</v>
      </c>
      <c r="B40">
        <v>514</v>
      </c>
      <c r="C40">
        <v>120.19158</v>
      </c>
      <c r="D40" t="s">
        <v>354</v>
      </c>
      <c r="E40" t="s">
        <v>504</v>
      </c>
      <c r="F40" t="s">
        <v>543</v>
      </c>
    </row>
    <row r="41" spans="1:6" x14ac:dyDescent="0.25">
      <c r="A41">
        <f>IF(F41="",0,IF(C41&lt;44.1,0,MAX($A$5:A40)+1))</f>
        <v>27</v>
      </c>
      <c r="B41">
        <v>522</v>
      </c>
      <c r="C41">
        <v>106.16500000000001</v>
      </c>
      <c r="D41" t="s">
        <v>338</v>
      </c>
      <c r="E41" t="s">
        <v>360</v>
      </c>
      <c r="F41" t="s">
        <v>475</v>
      </c>
    </row>
    <row r="42" spans="1:6" x14ac:dyDescent="0.25">
      <c r="A42">
        <f>IF(F42="",0,IF(C42&lt;44.1,0,MAX($A$5:A41)+1))</f>
        <v>28</v>
      </c>
      <c r="B42">
        <v>524</v>
      </c>
      <c r="C42">
        <v>84.159480000000002</v>
      </c>
      <c r="D42" t="s">
        <v>420</v>
      </c>
      <c r="E42" t="s">
        <v>548</v>
      </c>
      <c r="F42" t="s">
        <v>478</v>
      </c>
    </row>
    <row r="43" spans="1:6" x14ac:dyDescent="0.25">
      <c r="A43">
        <f>IF(F43="",0,IF(C43&lt;44.1,0,MAX($A$5:A42)+1))</f>
        <v>0</v>
      </c>
      <c r="B43">
        <v>529</v>
      </c>
      <c r="C43">
        <v>16.042459999999998</v>
      </c>
      <c r="D43" t="s">
        <v>268</v>
      </c>
      <c r="E43" t="s">
        <v>361</v>
      </c>
      <c r="F43" t="s">
        <v>476</v>
      </c>
    </row>
    <row r="44" spans="1:6" x14ac:dyDescent="0.25">
      <c r="A44">
        <f>IF(F44="",0,IF(C44&lt;44.1,0,MAX($A$5:A43)+1))</f>
        <v>29</v>
      </c>
      <c r="B44">
        <v>550</v>
      </c>
      <c r="C44">
        <v>98.186059999999998</v>
      </c>
      <c r="D44" t="s">
        <v>341</v>
      </c>
      <c r="E44" t="s">
        <v>440</v>
      </c>
      <c r="F44" t="s">
        <v>488</v>
      </c>
    </row>
    <row r="45" spans="1:6" x14ac:dyDescent="0.25">
      <c r="A45">
        <f>IF(F45="",0,IF(C45&lt;44.1,0,MAX($A$5:A44)+1))</f>
        <v>30</v>
      </c>
      <c r="B45">
        <v>551</v>
      </c>
      <c r="C45">
        <v>84.159480000000002</v>
      </c>
      <c r="D45" t="s">
        <v>344</v>
      </c>
      <c r="E45" t="s">
        <v>441</v>
      </c>
      <c r="F45" t="s">
        <v>477</v>
      </c>
    </row>
    <row r="46" spans="1:6" x14ac:dyDescent="0.25">
      <c r="A46">
        <f>IF(F46="",0,IF(C46&lt;44.1,0,MAX($A$5:A45)+1))</f>
        <v>31</v>
      </c>
      <c r="B46">
        <v>551</v>
      </c>
      <c r="C46">
        <v>84.159480000000002</v>
      </c>
      <c r="D46" t="s">
        <v>344</v>
      </c>
      <c r="E46" t="s">
        <v>559</v>
      </c>
      <c r="F46" t="s">
        <v>560</v>
      </c>
    </row>
    <row r="47" spans="1:6" x14ac:dyDescent="0.25">
      <c r="A47">
        <f>IF(F47="",0,IF(C47&lt;44.1,0,MAX($A$5:A46)+1))</f>
        <v>32</v>
      </c>
      <c r="B47">
        <v>592</v>
      </c>
      <c r="C47">
        <v>58.122199999999999</v>
      </c>
      <c r="D47" t="s">
        <v>270</v>
      </c>
      <c r="E47" t="s">
        <v>442</v>
      </c>
      <c r="F47" t="s">
        <v>479</v>
      </c>
    </row>
    <row r="48" spans="1:6" x14ac:dyDescent="0.25">
      <c r="A48">
        <f>IF(F48="",0,IF(C48&lt;44.1,0,MAX($A$5:A47)+1))</f>
        <v>33</v>
      </c>
      <c r="B48">
        <v>598</v>
      </c>
      <c r="C48">
        <v>142.28167999999999</v>
      </c>
      <c r="D48" t="s">
        <v>405</v>
      </c>
      <c r="E48" t="s">
        <v>443</v>
      </c>
      <c r="F48" t="s">
        <v>480</v>
      </c>
    </row>
    <row r="49" spans="1:6" x14ac:dyDescent="0.25">
      <c r="A49">
        <f>IF(F49="",0,IF(C49&lt;44.1,0,MAX($A$5:A48)+1))</f>
        <v>34</v>
      </c>
      <c r="B49">
        <v>600</v>
      </c>
      <c r="C49">
        <v>100.20193999999999</v>
      </c>
      <c r="D49" t="s">
        <v>273</v>
      </c>
      <c r="E49" t="s">
        <v>444</v>
      </c>
      <c r="F49" t="s">
        <v>563</v>
      </c>
    </row>
    <row r="50" spans="1:6" x14ac:dyDescent="0.25">
      <c r="A50">
        <f>IF(F50="",0,IF(C50&lt;44.1,0,MAX($A$5:A49)+1))</f>
        <v>35</v>
      </c>
      <c r="B50">
        <v>601</v>
      </c>
      <c r="C50">
        <v>86.175359999999998</v>
      </c>
      <c r="D50" t="s">
        <v>276</v>
      </c>
      <c r="E50" t="s">
        <v>445</v>
      </c>
      <c r="F50" t="s">
        <v>562</v>
      </c>
    </row>
    <row r="51" spans="1:6" x14ac:dyDescent="0.25">
      <c r="A51">
        <f>IF(F51="",0,IF(C51&lt;44.1,0,MAX($A$5:A50)+1))</f>
        <v>36</v>
      </c>
      <c r="B51">
        <v>603</v>
      </c>
      <c r="C51">
        <v>128.2551</v>
      </c>
      <c r="D51" t="s">
        <v>408</v>
      </c>
      <c r="E51" t="s">
        <v>446</v>
      </c>
      <c r="F51" t="s">
        <v>481</v>
      </c>
    </row>
    <row r="52" spans="1:6" x14ac:dyDescent="0.25">
      <c r="A52">
        <f>IF(F52="",0,IF(C52&lt;44.1,0,MAX($A$5:A51)+1))</f>
        <v>37</v>
      </c>
      <c r="B52">
        <v>604</v>
      </c>
      <c r="C52">
        <v>114.22852</v>
      </c>
      <c r="D52" s="197" t="s">
        <v>279</v>
      </c>
      <c r="E52" t="s">
        <v>447</v>
      </c>
      <c r="F52" t="s">
        <v>1222</v>
      </c>
    </row>
    <row r="53" spans="1:6" x14ac:dyDescent="0.25">
      <c r="A53">
        <f>IF(F53="",0,IF(C53&lt;44.1,0,MAX($A$5:A52)+1))</f>
        <v>38</v>
      </c>
      <c r="B53">
        <v>605</v>
      </c>
      <c r="C53">
        <v>72.148780000000002</v>
      </c>
      <c r="D53" t="s">
        <v>282</v>
      </c>
      <c r="E53" t="s">
        <v>448</v>
      </c>
      <c r="F53" t="s">
        <v>482</v>
      </c>
    </row>
    <row r="54" spans="1:6" x14ac:dyDescent="0.25">
      <c r="A54">
        <f>IF(F54="",0,IF(C54&lt;44.1,0,MAX($A$5:A53)+1))</f>
        <v>39</v>
      </c>
      <c r="B54">
        <v>608</v>
      </c>
      <c r="C54">
        <v>120.19158</v>
      </c>
      <c r="D54" t="s">
        <v>411</v>
      </c>
      <c r="E54" t="s">
        <v>514</v>
      </c>
      <c r="F54" t="s">
        <v>544</v>
      </c>
    </row>
    <row r="55" spans="1:6" x14ac:dyDescent="0.25">
      <c r="A55">
        <f>IF(F55="",0,IF(C55&lt;44.1,0,MAX($A$5:A54)+1))</f>
        <v>0</v>
      </c>
      <c r="B55">
        <v>610</v>
      </c>
      <c r="C55">
        <v>156.30826000000002</v>
      </c>
      <c r="D55" s="273" t="s">
        <v>417</v>
      </c>
      <c r="E55" t="s">
        <v>576</v>
      </c>
    </row>
    <row r="56" spans="1:6" x14ac:dyDescent="0.25">
      <c r="A56">
        <f>IF(F56="",0,IF(C56&lt;44.1,0,MAX($A$5:A55)+1))</f>
        <v>40</v>
      </c>
      <c r="B56">
        <v>620</v>
      </c>
      <c r="C56">
        <v>106.16500000000001</v>
      </c>
      <c r="D56" t="s">
        <v>347</v>
      </c>
      <c r="E56" t="s">
        <v>449</v>
      </c>
      <c r="F56" t="s">
        <v>483</v>
      </c>
    </row>
    <row r="57" spans="1:6" x14ac:dyDescent="0.25">
      <c r="A57">
        <f>IF(F57="",0,IF(C57&lt;44.1,0,MAX($A$5:A56)+1))</f>
        <v>41</v>
      </c>
      <c r="B57">
        <v>648</v>
      </c>
      <c r="C57">
        <v>106.16500000000001</v>
      </c>
      <c r="D57" t="s">
        <v>419</v>
      </c>
      <c r="E57" t="s">
        <v>549</v>
      </c>
      <c r="F57" t="s">
        <v>545</v>
      </c>
    </row>
    <row r="58" spans="1:6" x14ac:dyDescent="0.25">
      <c r="A58">
        <f>IF(F58="",0,IF(C58&lt;44.1,0,MAX($A$5:A57)+1))</f>
        <v>42</v>
      </c>
      <c r="B58">
        <v>671</v>
      </c>
      <c r="C58">
        <v>106.16500000000001</v>
      </c>
      <c r="D58" t="s">
        <v>285</v>
      </c>
      <c r="E58" t="s">
        <v>362</v>
      </c>
      <c r="F58" t="s">
        <v>484</v>
      </c>
    </row>
    <row r="59" spans="1:6" x14ac:dyDescent="0.25">
      <c r="A59">
        <f>IF(F59="",0,IF(C59&lt;44.1,0,MAX($A$5:A58)+1))</f>
        <v>43</v>
      </c>
      <c r="B59">
        <v>678</v>
      </c>
      <c r="C59">
        <v>106.16500000000001</v>
      </c>
      <c r="D59" t="s">
        <v>356</v>
      </c>
      <c r="E59" t="s">
        <v>505</v>
      </c>
      <c r="F59" t="s">
        <v>546</v>
      </c>
    </row>
    <row r="60" spans="1:6" x14ac:dyDescent="0.25">
      <c r="A60">
        <f>IF(F60="",0,IF(C60&lt;44.1,0,MAX($A$5:A59)+1))</f>
        <v>0</v>
      </c>
      <c r="B60">
        <v>703</v>
      </c>
      <c r="C60">
        <v>72.148780000000002</v>
      </c>
      <c r="D60" t="s">
        <v>413</v>
      </c>
      <c r="E60" t="s">
        <v>515</v>
      </c>
    </row>
    <row r="61" spans="1:6" x14ac:dyDescent="0.25">
      <c r="A61">
        <f>IF(F61="",0,IF(C61&lt;44.1,0,MAX($A$5:A60)+1))</f>
        <v>44</v>
      </c>
      <c r="B61">
        <v>717</v>
      </c>
      <c r="C61">
        <v>72.148780000000002</v>
      </c>
      <c r="D61" t="s">
        <v>291</v>
      </c>
      <c r="E61" t="s">
        <v>363</v>
      </c>
      <c r="F61" t="s">
        <v>485</v>
      </c>
    </row>
    <row r="62" spans="1:6" x14ac:dyDescent="0.25">
      <c r="A62">
        <f>IF(F62="",0,IF(C62&lt;44.1,0,MAX($A$5:A61)+1))</f>
        <v>0</v>
      </c>
      <c r="B62">
        <v>981</v>
      </c>
      <c r="C62">
        <v>134.21816000000001</v>
      </c>
      <c r="D62" t="s">
        <v>558</v>
      </c>
      <c r="E62" t="s">
        <v>575</v>
      </c>
    </row>
    <row r="63" spans="1:6" x14ac:dyDescent="0.25">
      <c r="A63">
        <f>IF(F63="",0,IF(C63&lt;44.1,0,MAX($A$5:A62)+1))</f>
        <v>0</v>
      </c>
      <c r="B63">
        <v>1924</v>
      </c>
      <c r="C63">
        <v>78.111840000000001</v>
      </c>
      <c r="D63" t="s">
        <v>491</v>
      </c>
      <c r="E63" t="s">
        <v>516</v>
      </c>
    </row>
    <row r="64" spans="1:6" x14ac:dyDescent="0.25">
      <c r="A64">
        <f>IF(F64="",0,IF(C64&lt;44.1,0,MAX($A$5:A63)+1))</f>
        <v>0</v>
      </c>
      <c r="B64">
        <v>1929</v>
      </c>
      <c r="C64">
        <v>78.111840000000001</v>
      </c>
      <c r="D64" t="s">
        <v>431</v>
      </c>
      <c r="E64" t="s">
        <v>437</v>
      </c>
    </row>
    <row r="65" spans="1:6" x14ac:dyDescent="0.25">
      <c r="A65">
        <f>IF(F65="",0,IF(C65&lt;44.1,0,MAX($A$5:A64)+1))</f>
        <v>0</v>
      </c>
      <c r="B65">
        <v>1976</v>
      </c>
      <c r="C65">
        <v>56.106319999999997</v>
      </c>
      <c r="D65" t="s">
        <v>497</v>
      </c>
      <c r="E65" t="s">
        <v>577</v>
      </c>
    </row>
    <row r="66" spans="1:6" x14ac:dyDescent="0.25">
      <c r="A66">
        <f>IF(F66="",0,IF(C66&lt;44.1,0,MAX($A$5:A65)+1))</f>
        <v>0</v>
      </c>
      <c r="B66">
        <v>1986</v>
      </c>
      <c r="C66">
        <v>78.111840000000001</v>
      </c>
      <c r="D66" t="s">
        <v>492</v>
      </c>
      <c r="E66" t="s">
        <v>517</v>
      </c>
    </row>
    <row r="67" spans="1:6" x14ac:dyDescent="0.25">
      <c r="A67">
        <f>IF(F67="",0,IF(C67&lt;44.1,0,MAX($A$5:A66)+1))</f>
        <v>0</v>
      </c>
      <c r="B67">
        <v>1999</v>
      </c>
      <c r="C67">
        <v>78.111840000000001</v>
      </c>
      <c r="D67" t="s">
        <v>493</v>
      </c>
      <c r="E67" t="s">
        <v>518</v>
      </c>
    </row>
    <row r="68" spans="1:6" x14ac:dyDescent="0.25">
      <c r="A68">
        <f>IF(F68="",0,IF(C68&lt;44.1,0,MAX($A$5:A67)+1))</f>
        <v>0</v>
      </c>
      <c r="B68">
        <v>2005</v>
      </c>
      <c r="C68">
        <v>78.111840000000001</v>
      </c>
      <c r="D68" t="s">
        <v>494</v>
      </c>
      <c r="E68" t="s">
        <v>519</v>
      </c>
    </row>
    <row r="69" spans="1:6" x14ac:dyDescent="0.25">
      <c r="A69">
        <f>IF(F69="",0,IF(C69&lt;44.1,0,MAX($A$5:A68)+1))</f>
        <v>0</v>
      </c>
      <c r="B69">
        <v>2006</v>
      </c>
      <c r="C69">
        <v>78.111840000000001</v>
      </c>
      <c r="D69" t="s">
        <v>287</v>
      </c>
      <c r="E69" t="s">
        <v>579</v>
      </c>
    </row>
    <row r="70" spans="1:6" x14ac:dyDescent="0.25">
      <c r="A70">
        <f>IF(F70="",0,IF(C70&lt;44.1,0,MAX($A$5:A69)+1))</f>
        <v>0</v>
      </c>
      <c r="B70">
        <v>2011</v>
      </c>
      <c r="C70">
        <v>78.111840000000001</v>
      </c>
      <c r="D70" t="s">
        <v>495</v>
      </c>
      <c r="E70" t="s">
        <v>520</v>
      </c>
    </row>
    <row r="71" spans="1:6" x14ac:dyDescent="0.25">
      <c r="A71">
        <f>IF(F71="",0,IF(C71&lt;44.1,0,MAX($A$5:A70)+1))</f>
        <v>0</v>
      </c>
      <c r="B71">
        <v>2012</v>
      </c>
      <c r="C71">
        <v>78.111840000000001</v>
      </c>
      <c r="D71" t="s">
        <v>288</v>
      </c>
      <c r="E71" t="s">
        <v>578</v>
      </c>
    </row>
    <row r="72" spans="1:6" x14ac:dyDescent="0.25">
      <c r="A72">
        <f>IF(F72="",0,IF(C72&lt;44.1,0,MAX($A$5:A71)+1))</f>
        <v>0</v>
      </c>
      <c r="B72">
        <v>2018</v>
      </c>
      <c r="C72">
        <v>78.111840000000001</v>
      </c>
      <c r="D72" t="s">
        <v>496</v>
      </c>
      <c r="E72" t="s">
        <v>521</v>
      </c>
    </row>
    <row r="73" spans="1:6" x14ac:dyDescent="0.25">
      <c r="A73">
        <f>IF(F73="",0,IF(C73&lt;44.1,0,MAX($A$5:A72)+1))</f>
        <v>45</v>
      </c>
      <c r="B73">
        <v>2132</v>
      </c>
      <c r="C73">
        <v>58.122199999999999</v>
      </c>
      <c r="D73" t="s">
        <v>289</v>
      </c>
      <c r="E73" t="s">
        <v>457</v>
      </c>
      <c r="F73" t="s">
        <v>474</v>
      </c>
    </row>
    <row r="74" spans="1:6" x14ac:dyDescent="0.25">
      <c r="A74">
        <f>IF(F74="",0,IF(C74&lt;44.1,0,MAX($A$5:A73)+1))</f>
        <v>46</v>
      </c>
      <c r="B74">
        <v>2283</v>
      </c>
      <c r="C74">
        <v>137.19212445472201</v>
      </c>
      <c r="D74" t="s">
        <v>349</v>
      </c>
      <c r="E74" t="s">
        <v>506</v>
      </c>
      <c r="F74" t="s">
        <v>547</v>
      </c>
    </row>
    <row r="75" spans="1:6" x14ac:dyDescent="0.25">
      <c r="A75">
        <f>IF(F75="",0,IF(C75&lt;44.1,0,MAX($A$5:A74)+1))</f>
        <v>0</v>
      </c>
      <c r="B75" t="s">
        <v>596</v>
      </c>
      <c r="C75">
        <v>86.175359999999998</v>
      </c>
      <c r="D75" t="s">
        <v>522</v>
      </c>
      <c r="E75" t="s">
        <v>525</v>
      </c>
    </row>
    <row r="76" spans="1:6" x14ac:dyDescent="0.25">
      <c r="A76">
        <f>IF(F76="",0,IF(C76&lt;44.1,0,MAX($A$5:A75)+1))</f>
        <v>0</v>
      </c>
      <c r="B76">
        <v>1166</v>
      </c>
      <c r="C76">
        <v>78.111840000000001</v>
      </c>
      <c r="D76" t="s">
        <v>523</v>
      </c>
      <c r="E76" t="s">
        <v>524</v>
      </c>
    </row>
    <row r="77" spans="1:6" x14ac:dyDescent="0.25">
      <c r="A77">
        <f>IF(F77="",0,IF(C77&lt;44.1,0,MAX($A$5:A76)+1))</f>
        <v>47</v>
      </c>
      <c r="B77">
        <v>2127</v>
      </c>
      <c r="C77">
        <v>86.175359999999998</v>
      </c>
      <c r="D77" t="s">
        <v>590</v>
      </c>
      <c r="E77" t="s">
        <v>526</v>
      </c>
      <c r="F77" t="s">
        <v>562</v>
      </c>
    </row>
    <row r="78" spans="1:6" x14ac:dyDescent="0.25">
      <c r="A78">
        <f>IF(F78="",0,IF(C78&lt;44.1,0,MAX($A$5:A77)+1))</f>
        <v>48</v>
      </c>
      <c r="B78">
        <v>2126</v>
      </c>
      <c r="C78">
        <v>112.21263999999999</v>
      </c>
      <c r="D78" t="s">
        <v>591</v>
      </c>
      <c r="E78" t="s">
        <v>527</v>
      </c>
      <c r="F78" t="s">
        <v>563</v>
      </c>
    </row>
    <row r="79" spans="1:6" x14ac:dyDescent="0.25">
      <c r="A79">
        <f>IF(F79="",0,IF(C79&lt;44.1,0,MAX($A$5:A78)+1))</f>
        <v>0</v>
      </c>
      <c r="B79">
        <v>2130</v>
      </c>
      <c r="C79">
        <v>114.22852</v>
      </c>
      <c r="D79" s="273" t="s">
        <v>592</v>
      </c>
      <c r="E79" t="s">
        <v>528</v>
      </c>
    </row>
    <row r="80" spans="1:6" x14ac:dyDescent="0.25">
      <c r="A80">
        <f>IF(F80="",0,IF(C80&lt;44.1,0,MAX($A$5:A79)+1))</f>
        <v>0</v>
      </c>
      <c r="B80">
        <v>2128</v>
      </c>
      <c r="C80">
        <v>112.21263999999999</v>
      </c>
      <c r="D80" s="272" t="s">
        <v>594</v>
      </c>
      <c r="E80" t="s">
        <v>529</v>
      </c>
    </row>
    <row r="81" spans="1:6" x14ac:dyDescent="0.25">
      <c r="A81">
        <f>IF(F81="",0,IF(C81&lt;44.1,0,MAX($A$5:A80)+1))</f>
        <v>0</v>
      </c>
      <c r="B81">
        <v>500</v>
      </c>
      <c r="C81">
        <v>142.28167999999999</v>
      </c>
      <c r="D81" s="272" t="s">
        <v>595</v>
      </c>
      <c r="E81" t="s">
        <v>530</v>
      </c>
    </row>
    <row r="82" spans="1:6" x14ac:dyDescent="0.25">
      <c r="A82">
        <f>IF(F82="",0,IF(C82&lt;44.1,0,MAX($A$5:A81)+1))</f>
        <v>0</v>
      </c>
      <c r="B82">
        <v>505</v>
      </c>
      <c r="C82">
        <v>156.30825999999999</v>
      </c>
      <c r="D82" s="272" t="s">
        <v>593</v>
      </c>
      <c r="E82" t="s">
        <v>531</v>
      </c>
    </row>
    <row r="83" spans="1:6" x14ac:dyDescent="0.25">
      <c r="A83">
        <f>IF(F83="",0,IF(C83&lt;44.1,0,MAX($A$5:A82)+1))</f>
        <v>49</v>
      </c>
      <c r="B83">
        <v>64</v>
      </c>
      <c r="C83">
        <v>56.106319999999997</v>
      </c>
      <c r="D83" s="197" t="s">
        <v>1007</v>
      </c>
      <c r="E83" t="s">
        <v>1053</v>
      </c>
      <c r="F83" t="s">
        <v>1219</v>
      </c>
    </row>
    <row r="84" spans="1:6" x14ac:dyDescent="0.25">
      <c r="A84">
        <f>IF(F84="",0,IF(C84&lt;44.1,0,MAX($A$5:A83)+1))</f>
        <v>50</v>
      </c>
      <c r="B84">
        <v>108</v>
      </c>
      <c r="C84">
        <v>70.132900000000006</v>
      </c>
      <c r="D84" s="197" t="s">
        <v>1011</v>
      </c>
      <c r="E84" t="s">
        <v>1054</v>
      </c>
      <c r="F84" t="s">
        <v>1212</v>
      </c>
    </row>
    <row r="85" spans="1:6" x14ac:dyDescent="0.25">
      <c r="A85">
        <f>IF(F85="",0,IF(C85&lt;44.1,0,MAX($A$5:A84)+1))</f>
        <v>0</v>
      </c>
      <c r="B85">
        <v>282</v>
      </c>
      <c r="C85">
        <v>26.037279999999999</v>
      </c>
      <c r="D85" s="197" t="s">
        <v>1015</v>
      </c>
      <c r="E85" t="s">
        <v>1015</v>
      </c>
      <c r="F85" s="181" t="s">
        <v>1216</v>
      </c>
    </row>
    <row r="86" spans="1:6" x14ac:dyDescent="0.25">
      <c r="A86">
        <f>IF(F86="",0,IF(C86&lt;44.1,0,MAX($A$5:A85)+1))</f>
        <v>51</v>
      </c>
      <c r="B86">
        <v>367</v>
      </c>
      <c r="C86">
        <v>56.106319999999997</v>
      </c>
      <c r="D86" s="197" t="s">
        <v>1019</v>
      </c>
      <c r="E86" t="s">
        <v>1059</v>
      </c>
      <c r="F86" s="181" t="s">
        <v>1214</v>
      </c>
    </row>
    <row r="87" spans="1:6" x14ac:dyDescent="0.25">
      <c r="A87">
        <f>IF(F87="",0,IF(C87&lt;44.1,0,MAX($A$5:A86)+1))</f>
        <v>52</v>
      </c>
      <c r="B87">
        <v>371</v>
      </c>
      <c r="C87">
        <v>70.132900000000006</v>
      </c>
      <c r="D87" s="197" t="s">
        <v>1023</v>
      </c>
      <c r="E87" t="s">
        <v>1058</v>
      </c>
      <c r="F87" s="181" t="s">
        <v>1215</v>
      </c>
    </row>
    <row r="88" spans="1:6" x14ac:dyDescent="0.25">
      <c r="A88">
        <f>IF(F88="",0,IF(C88&lt;44.1,0,MAX($A$5:A87)+1))</f>
        <v>0</v>
      </c>
      <c r="B88">
        <v>452</v>
      </c>
      <c r="C88">
        <v>28.053159999999998</v>
      </c>
      <c r="D88" s="197" t="s">
        <v>1027</v>
      </c>
      <c r="E88" t="s">
        <v>1027</v>
      </c>
      <c r="F88" t="s">
        <v>1213</v>
      </c>
    </row>
    <row r="89" spans="1:6" x14ac:dyDescent="0.25">
      <c r="A89">
        <f>IF(F89="",0,IF(C89&lt;44.1,0,MAX($A$5:A88)+1))</f>
        <v>53</v>
      </c>
      <c r="B89">
        <v>511</v>
      </c>
      <c r="C89">
        <v>68.117019999999997</v>
      </c>
      <c r="D89" s="197" t="s">
        <v>1031</v>
      </c>
      <c r="E89" t="s">
        <v>1055</v>
      </c>
      <c r="F89" t="s">
        <v>1217</v>
      </c>
    </row>
    <row r="90" spans="1:6" x14ac:dyDescent="0.25">
      <c r="A90">
        <f>IF(F90="",0,IF(C90&lt;44.1,0,MAX($A$5:A89)+1))</f>
        <v>54</v>
      </c>
      <c r="B90">
        <v>698</v>
      </c>
      <c r="C90">
        <v>104.14912</v>
      </c>
      <c r="D90" s="197" t="s">
        <v>1039</v>
      </c>
      <c r="E90" t="s">
        <v>1039</v>
      </c>
      <c r="F90" t="s">
        <v>1218</v>
      </c>
    </row>
    <row r="91" spans="1:6" x14ac:dyDescent="0.25">
      <c r="A91">
        <f>IF(F91="",0,IF(C91&lt;44.1,0,MAX($A$5:A90)+1))</f>
        <v>55</v>
      </c>
      <c r="B91">
        <v>737</v>
      </c>
      <c r="C91">
        <v>56.106319999999997</v>
      </c>
      <c r="D91" s="197" t="s">
        <v>1043</v>
      </c>
      <c r="E91" t="s">
        <v>1056</v>
      </c>
      <c r="F91" s="181" t="s">
        <v>1221</v>
      </c>
    </row>
    <row r="92" spans="1:6" x14ac:dyDescent="0.25">
      <c r="A92">
        <f>IF(F92="",0,IF(C92&lt;44.1,0,MAX($A$5:A91)+1))</f>
        <v>56</v>
      </c>
      <c r="B92">
        <v>742</v>
      </c>
      <c r="C92">
        <v>70.132900000000006</v>
      </c>
      <c r="D92" s="373" t="s">
        <v>1047</v>
      </c>
      <c r="E92" s="374" t="s">
        <v>1057</v>
      </c>
      <c r="F92" s="374" t="s">
        <v>1220</v>
      </c>
    </row>
    <row r="93" spans="1:6" x14ac:dyDescent="0.25">
      <c r="D93" s="374" t="s">
        <v>1268</v>
      </c>
      <c r="E93" s="374" t="s">
        <v>2124</v>
      </c>
      <c r="F93" s="375" t="s">
        <v>2211</v>
      </c>
    </row>
    <row r="94" spans="1:6" x14ac:dyDescent="0.25">
      <c r="D94" s="374" t="s">
        <v>1655</v>
      </c>
      <c r="E94" s="374" t="s">
        <v>2125</v>
      </c>
      <c r="F94" s="374" t="s">
        <v>2165</v>
      </c>
    </row>
    <row r="95" spans="1:6" x14ac:dyDescent="0.25">
      <c r="D95" s="374" t="s">
        <v>1347</v>
      </c>
      <c r="E95" s="374" t="s">
        <v>2126</v>
      </c>
      <c r="F95" s="374" t="s">
        <v>2166</v>
      </c>
    </row>
    <row r="96" spans="1:6" x14ac:dyDescent="0.25">
      <c r="D96" s="374" t="s">
        <v>1515</v>
      </c>
      <c r="E96" s="374" t="s">
        <v>2127</v>
      </c>
      <c r="F96" s="374" t="s">
        <v>2139</v>
      </c>
    </row>
    <row r="97" spans="4:6" x14ac:dyDescent="0.25">
      <c r="D97" s="374" t="s">
        <v>1658</v>
      </c>
      <c r="E97" s="374" t="s">
        <v>2128</v>
      </c>
      <c r="F97" s="375" t="s">
        <v>2212</v>
      </c>
    </row>
    <row r="98" spans="4:6" x14ac:dyDescent="0.25">
      <c r="D98" s="374" t="s">
        <v>1699</v>
      </c>
      <c r="E98" s="374" t="s">
        <v>2047</v>
      </c>
      <c r="F98" s="374" t="s">
        <v>2167</v>
      </c>
    </row>
    <row r="99" spans="4:6" x14ac:dyDescent="0.25">
      <c r="D99" s="374" t="s">
        <v>1584</v>
      </c>
      <c r="E99" s="374" t="s">
        <v>2048</v>
      </c>
      <c r="F99" s="374" t="s">
        <v>2140</v>
      </c>
    </row>
    <row r="100" spans="4:6" x14ac:dyDescent="0.25">
      <c r="D100" s="374" t="s">
        <v>1313</v>
      </c>
      <c r="E100" s="374" t="s">
        <v>2036</v>
      </c>
      <c r="F100" s="374" t="s">
        <v>2138</v>
      </c>
    </row>
    <row r="101" spans="4:6" x14ac:dyDescent="0.25">
      <c r="D101" s="374" t="s">
        <v>1509</v>
      </c>
      <c r="E101" s="374" t="s">
        <v>2049</v>
      </c>
      <c r="F101" s="374" t="s">
        <v>2141</v>
      </c>
    </row>
    <row r="102" spans="4:6" x14ac:dyDescent="0.25">
      <c r="D102" s="374" t="s">
        <v>1349</v>
      </c>
      <c r="E102" s="374" t="s">
        <v>2050</v>
      </c>
      <c r="F102" s="374" t="s">
        <v>2168</v>
      </c>
    </row>
    <row r="103" spans="4:6" x14ac:dyDescent="0.25">
      <c r="D103" s="374" t="s">
        <v>1331</v>
      </c>
      <c r="E103" s="374" t="s">
        <v>2051</v>
      </c>
      <c r="F103" s="374" t="s">
        <v>2142</v>
      </c>
    </row>
    <row r="104" spans="4:6" x14ac:dyDescent="0.25">
      <c r="D104" s="374" t="s">
        <v>1429</v>
      </c>
      <c r="E104" s="374" t="s">
        <v>2052</v>
      </c>
      <c r="F104" s="374" t="s">
        <v>2143</v>
      </c>
    </row>
    <row r="105" spans="4:6" x14ac:dyDescent="0.25">
      <c r="D105" s="374" t="s">
        <v>1273</v>
      </c>
      <c r="E105" s="374" t="s">
        <v>2037</v>
      </c>
      <c r="F105" s="374" t="s">
        <v>2171</v>
      </c>
    </row>
    <row r="106" spans="4:6" x14ac:dyDescent="0.25">
      <c r="D106" s="374" t="s">
        <v>1352</v>
      </c>
      <c r="E106" s="374" t="s">
        <v>2053</v>
      </c>
      <c r="F106" s="374" t="s">
        <v>2170</v>
      </c>
    </row>
    <row r="107" spans="4:6" x14ac:dyDescent="0.25">
      <c r="D107" s="374" t="s">
        <v>1666</v>
      </c>
      <c r="E107" s="374" t="s">
        <v>2136</v>
      </c>
      <c r="F107" s="374" t="s">
        <v>2169</v>
      </c>
    </row>
    <row r="108" spans="4:6" x14ac:dyDescent="0.25">
      <c r="D108" s="374" t="s">
        <v>1414</v>
      </c>
      <c r="E108" s="374" t="s">
        <v>2054</v>
      </c>
      <c r="F108" s="374" t="s">
        <v>2144</v>
      </c>
    </row>
    <row r="109" spans="4:6" x14ac:dyDescent="0.25">
      <c r="D109" s="374" t="s">
        <v>1715</v>
      </c>
      <c r="E109" s="374" t="s">
        <v>2055</v>
      </c>
      <c r="F109" s="374" t="s">
        <v>2145</v>
      </c>
    </row>
    <row r="110" spans="4:6" x14ac:dyDescent="0.25">
      <c r="D110" s="374" t="s">
        <v>1786</v>
      </c>
      <c r="E110" s="374" t="s">
        <v>2056</v>
      </c>
      <c r="F110" s="374" t="s">
        <v>2146</v>
      </c>
    </row>
    <row r="111" spans="4:6" x14ac:dyDescent="0.25">
      <c r="D111" s="374" t="s">
        <v>1355</v>
      </c>
      <c r="E111" s="374" t="s">
        <v>2057</v>
      </c>
      <c r="F111" s="374" t="s">
        <v>2147</v>
      </c>
    </row>
    <row r="112" spans="4:6" x14ac:dyDescent="0.25">
      <c r="D112" s="374" t="s">
        <v>1357</v>
      </c>
      <c r="E112" s="374" t="s">
        <v>2058</v>
      </c>
      <c r="F112" s="375" t="s">
        <v>2213</v>
      </c>
    </row>
    <row r="113" spans="4:6" x14ac:dyDescent="0.25">
      <c r="D113" s="374" t="s">
        <v>1740</v>
      </c>
      <c r="E113" s="374" t="s">
        <v>2059</v>
      </c>
      <c r="F113" s="374" t="s">
        <v>2172</v>
      </c>
    </row>
    <row r="114" spans="4:6" x14ac:dyDescent="0.25">
      <c r="D114" s="374" t="s">
        <v>1457</v>
      </c>
      <c r="E114" s="374" t="s">
        <v>2060</v>
      </c>
      <c r="F114" s="374" t="s">
        <v>2148</v>
      </c>
    </row>
    <row r="115" spans="4:6" x14ac:dyDescent="0.25">
      <c r="D115" s="374" t="s">
        <v>1476</v>
      </c>
      <c r="E115" s="374" t="s">
        <v>2061</v>
      </c>
      <c r="F115" s="374" t="s">
        <v>2149</v>
      </c>
    </row>
    <row r="116" spans="4:6" x14ac:dyDescent="0.25">
      <c r="D116" s="374" t="s">
        <v>1418</v>
      </c>
      <c r="E116" s="374" t="s">
        <v>2062</v>
      </c>
      <c r="F116" s="374" t="s">
        <v>2150</v>
      </c>
    </row>
    <row r="117" spans="4:6" x14ac:dyDescent="0.25">
      <c r="D117" s="374" t="s">
        <v>1280</v>
      </c>
      <c r="E117" s="374" t="s">
        <v>2063</v>
      </c>
      <c r="F117" s="374" t="s">
        <v>2151</v>
      </c>
    </row>
    <row r="118" spans="4:6" x14ac:dyDescent="0.25">
      <c r="D118" s="374" t="s">
        <v>1670</v>
      </c>
      <c r="E118" s="374" t="s">
        <v>2064</v>
      </c>
      <c r="F118" s="374" t="s">
        <v>2173</v>
      </c>
    </row>
    <row r="119" spans="4:6" x14ac:dyDescent="0.25">
      <c r="D119" s="374" t="s">
        <v>1467</v>
      </c>
      <c r="E119" s="374" t="s">
        <v>2065</v>
      </c>
      <c r="F119" s="374" t="s">
        <v>2152</v>
      </c>
    </row>
    <row r="120" spans="4:6" x14ac:dyDescent="0.25">
      <c r="D120" s="374" t="s">
        <v>1445</v>
      </c>
      <c r="E120" s="374" t="s">
        <v>2066</v>
      </c>
      <c r="F120" s="374" t="s">
        <v>2174</v>
      </c>
    </row>
    <row r="121" spans="4:6" x14ac:dyDescent="0.25">
      <c r="D121" s="374" t="s">
        <v>1543</v>
      </c>
      <c r="E121" s="374" t="s">
        <v>2067</v>
      </c>
      <c r="F121" s="374" t="s">
        <v>2153</v>
      </c>
    </row>
    <row r="122" spans="4:6" x14ac:dyDescent="0.25">
      <c r="D122" s="374" t="s">
        <v>1291</v>
      </c>
      <c r="E122" s="374" t="s">
        <v>2068</v>
      </c>
      <c r="F122" s="374" t="s">
        <v>2175</v>
      </c>
    </row>
    <row r="123" spans="4:6" x14ac:dyDescent="0.25">
      <c r="D123" s="374" t="s">
        <v>1675</v>
      </c>
      <c r="E123" s="374" t="s">
        <v>2069</v>
      </c>
      <c r="F123" s="374" t="s">
        <v>2176</v>
      </c>
    </row>
    <row r="124" spans="4:6" x14ac:dyDescent="0.25">
      <c r="D124" s="374" t="s">
        <v>1360</v>
      </c>
      <c r="E124" s="374" t="s">
        <v>2070</v>
      </c>
      <c r="F124" s="375" t="s">
        <v>2214</v>
      </c>
    </row>
    <row r="125" spans="4:6" x14ac:dyDescent="0.25">
      <c r="D125" s="374" t="s">
        <v>1293</v>
      </c>
      <c r="E125" s="374" t="s">
        <v>2071</v>
      </c>
      <c r="F125" s="374" t="s">
        <v>2154</v>
      </c>
    </row>
    <row r="126" spans="4:6" x14ac:dyDescent="0.25">
      <c r="D126" s="374" t="s">
        <v>1362</v>
      </c>
      <c r="E126" s="374" t="s">
        <v>2072</v>
      </c>
      <c r="F126" s="374" t="s">
        <v>2177</v>
      </c>
    </row>
    <row r="127" spans="4:6" x14ac:dyDescent="0.25">
      <c r="D127" s="374" t="s">
        <v>1028</v>
      </c>
      <c r="E127" s="374" t="s">
        <v>2038</v>
      </c>
      <c r="F127" s="374" t="s">
        <v>2178</v>
      </c>
    </row>
    <row r="128" spans="4:6" x14ac:dyDescent="0.25">
      <c r="D128" s="374" t="s">
        <v>1295</v>
      </c>
      <c r="E128" s="374" t="s">
        <v>2073</v>
      </c>
      <c r="F128" s="374" t="s">
        <v>2179</v>
      </c>
    </row>
    <row r="129" spans="4:11" x14ac:dyDescent="0.25">
      <c r="D129" s="374" t="s">
        <v>1555</v>
      </c>
      <c r="E129" s="374" t="s">
        <v>2074</v>
      </c>
      <c r="F129" s="374" t="s">
        <v>2215</v>
      </c>
    </row>
    <row r="130" spans="4:11" x14ac:dyDescent="0.25">
      <c r="D130" s="374" t="s">
        <v>1367</v>
      </c>
      <c r="E130" s="374" t="s">
        <v>2075</v>
      </c>
      <c r="F130" s="374" t="s">
        <v>2155</v>
      </c>
    </row>
    <row r="131" spans="4:11" x14ac:dyDescent="0.25">
      <c r="D131" s="374" t="s">
        <v>1678</v>
      </c>
      <c r="E131" s="374" t="s">
        <v>2076</v>
      </c>
      <c r="F131" s="374" t="s">
        <v>2180</v>
      </c>
      <c r="K131" s="372"/>
    </row>
    <row r="132" spans="4:11" x14ac:dyDescent="0.25">
      <c r="D132" s="374" t="s">
        <v>1596</v>
      </c>
      <c r="E132" s="374" t="s">
        <v>2077</v>
      </c>
      <c r="F132" s="374" t="s">
        <v>2156</v>
      </c>
    </row>
    <row r="133" spans="4:11" x14ac:dyDescent="0.25">
      <c r="D133" s="374" t="s">
        <v>1369</v>
      </c>
      <c r="E133" s="374" t="s">
        <v>2078</v>
      </c>
      <c r="F133" s="374" t="s">
        <v>2181</v>
      </c>
    </row>
    <row r="134" spans="4:11" x14ac:dyDescent="0.25">
      <c r="D134" s="374" t="s">
        <v>1643</v>
      </c>
      <c r="E134" s="374" t="s">
        <v>2079</v>
      </c>
      <c r="F134" s="374" t="s">
        <v>2157</v>
      </c>
    </row>
    <row r="135" spans="4:11" x14ac:dyDescent="0.25">
      <c r="D135" s="374" t="s">
        <v>1729</v>
      </c>
      <c r="E135" s="374" t="s">
        <v>2080</v>
      </c>
      <c r="F135" s="374" t="s">
        <v>2182</v>
      </c>
    </row>
    <row r="136" spans="4:11" x14ac:dyDescent="0.25">
      <c r="D136" s="374" t="s">
        <v>1803</v>
      </c>
      <c r="E136" s="374" t="s">
        <v>2081</v>
      </c>
      <c r="F136" s="374" t="s">
        <v>2183</v>
      </c>
    </row>
    <row r="137" spans="4:11" x14ac:dyDescent="0.25">
      <c r="D137" s="374" t="s">
        <v>1490</v>
      </c>
      <c r="E137" s="374" t="s">
        <v>2082</v>
      </c>
      <c r="F137" s="374" t="s">
        <v>2184</v>
      </c>
    </row>
    <row r="138" spans="4:11" x14ac:dyDescent="0.25">
      <c r="D138" s="374" t="s">
        <v>1371</v>
      </c>
      <c r="E138" s="374" t="s">
        <v>2083</v>
      </c>
      <c r="F138" s="374" t="s">
        <v>2158</v>
      </c>
    </row>
    <row r="139" spans="4:11" x14ac:dyDescent="0.25">
      <c r="D139" s="374" t="s">
        <v>1789</v>
      </c>
      <c r="E139" s="374" t="s">
        <v>2084</v>
      </c>
      <c r="F139" s="374" t="s">
        <v>2185</v>
      </c>
    </row>
    <row r="140" spans="4:11" x14ac:dyDescent="0.25">
      <c r="D140" s="374" t="s">
        <v>1852</v>
      </c>
      <c r="E140" s="374" t="s">
        <v>2085</v>
      </c>
      <c r="F140" s="374" t="s">
        <v>2159</v>
      </c>
    </row>
    <row r="141" spans="4:11" x14ac:dyDescent="0.25">
      <c r="D141" s="374" t="s">
        <v>1287</v>
      </c>
      <c r="E141" s="374" t="s">
        <v>2086</v>
      </c>
      <c r="F141" s="374" t="s">
        <v>2186</v>
      </c>
    </row>
    <row r="142" spans="4:11" x14ac:dyDescent="0.25">
      <c r="D142" s="374" t="s">
        <v>1431</v>
      </c>
      <c r="E142" s="374" t="s">
        <v>2087</v>
      </c>
      <c r="F142" s="374" t="s">
        <v>2160</v>
      </c>
    </row>
    <row r="143" spans="4:11" x14ac:dyDescent="0.25">
      <c r="D143" s="374" t="s">
        <v>1853</v>
      </c>
      <c r="E143" s="374" t="s">
        <v>2088</v>
      </c>
      <c r="F143" s="374" t="s">
        <v>2161</v>
      </c>
    </row>
    <row r="144" spans="4:11" x14ac:dyDescent="0.25">
      <c r="D144" s="374" t="s">
        <v>1937</v>
      </c>
      <c r="E144" s="374" t="s">
        <v>2089</v>
      </c>
      <c r="F144" s="374" t="s">
        <v>2162</v>
      </c>
    </row>
    <row r="145" spans="4:6" x14ac:dyDescent="0.25">
      <c r="D145" s="374" t="s">
        <v>1468</v>
      </c>
      <c r="E145" s="374" t="s">
        <v>2090</v>
      </c>
      <c r="F145" s="374" t="s">
        <v>2163</v>
      </c>
    </row>
    <row r="146" spans="4:6" x14ac:dyDescent="0.25">
      <c r="D146" s="374" t="s">
        <v>1375</v>
      </c>
      <c r="E146" s="374" t="s">
        <v>2091</v>
      </c>
      <c r="F146" s="374" t="s">
        <v>2187</v>
      </c>
    </row>
    <row r="147" spans="4:6" x14ac:dyDescent="0.25">
      <c r="D147" s="374" t="s">
        <v>1378</v>
      </c>
      <c r="E147" s="374" t="s">
        <v>2092</v>
      </c>
      <c r="F147" s="374" t="s">
        <v>2164</v>
      </c>
    </row>
    <row r="148" spans="4:6" x14ac:dyDescent="0.25">
      <c r="D148" s="374" t="s">
        <v>1747</v>
      </c>
      <c r="E148" s="374" t="s">
        <v>2129</v>
      </c>
      <c r="F148" s="374" t="s">
        <v>2188</v>
      </c>
    </row>
    <row r="149" spans="4:6" x14ac:dyDescent="0.25">
      <c r="D149" s="374" t="s">
        <v>1835</v>
      </c>
      <c r="E149" s="374" t="s">
        <v>2039</v>
      </c>
      <c r="F149" s="375" t="s">
        <v>2216</v>
      </c>
    </row>
    <row r="150" spans="4:6" x14ac:dyDescent="0.25">
      <c r="D150" s="374" t="s">
        <v>1381</v>
      </c>
      <c r="E150" s="374" t="s">
        <v>2093</v>
      </c>
      <c r="F150" s="375" t="s">
        <v>2217</v>
      </c>
    </row>
    <row r="151" spans="4:6" x14ac:dyDescent="0.25">
      <c r="D151" s="374" t="s">
        <v>1565</v>
      </c>
      <c r="E151" s="374" t="s">
        <v>2130</v>
      </c>
      <c r="F151" s="374" t="s">
        <v>2189</v>
      </c>
    </row>
    <row r="152" spans="4:6" x14ac:dyDescent="0.25">
      <c r="D152" s="374" t="s">
        <v>1750</v>
      </c>
      <c r="E152" s="374" t="s">
        <v>2131</v>
      </c>
      <c r="F152" s="374" t="s">
        <v>2190</v>
      </c>
    </row>
    <row r="153" spans="4:6" x14ac:dyDescent="0.25">
      <c r="D153" s="374" t="s">
        <v>1303</v>
      </c>
      <c r="E153" s="374" t="s">
        <v>2094</v>
      </c>
      <c r="F153" s="374" t="s">
        <v>2191</v>
      </c>
    </row>
    <row r="154" spans="4:6" x14ac:dyDescent="0.25">
      <c r="D154" s="374" t="s">
        <v>1305</v>
      </c>
      <c r="E154" s="374" t="s">
        <v>2132</v>
      </c>
      <c r="F154" s="374" t="s">
        <v>2192</v>
      </c>
    </row>
    <row r="155" spans="4:6" x14ac:dyDescent="0.25">
      <c r="D155" s="374" t="s">
        <v>1633</v>
      </c>
      <c r="E155" s="374" t="s">
        <v>2095</v>
      </c>
      <c r="F155" s="374" t="s">
        <v>2193</v>
      </c>
    </row>
    <row r="156" spans="4:6" x14ac:dyDescent="0.25">
      <c r="D156" s="374" t="s">
        <v>1310</v>
      </c>
      <c r="E156" s="374" t="s">
        <v>2040</v>
      </c>
      <c r="F156" s="374" t="s">
        <v>2194</v>
      </c>
    </row>
    <row r="157" spans="4:6" x14ac:dyDescent="0.25">
      <c r="D157" s="374" t="s">
        <v>1506</v>
      </c>
      <c r="E157" s="374" t="s">
        <v>2096</v>
      </c>
      <c r="F157" s="374" t="s">
        <v>2195</v>
      </c>
    </row>
    <row r="158" spans="4:6" x14ac:dyDescent="0.25">
      <c r="D158" s="374" t="s">
        <v>1340</v>
      </c>
      <c r="E158" s="374" t="s">
        <v>2133</v>
      </c>
      <c r="F158" s="375" t="s">
        <v>2218</v>
      </c>
    </row>
    <row r="159" spans="4:6" x14ac:dyDescent="0.25">
      <c r="D159" s="374" t="s">
        <v>1568</v>
      </c>
      <c r="E159" s="374" t="s">
        <v>2134</v>
      </c>
      <c r="F159" s="374" t="s">
        <v>2196</v>
      </c>
    </row>
    <row r="160" spans="4:6" x14ac:dyDescent="0.25">
      <c r="D160" s="374" t="s">
        <v>1398</v>
      </c>
      <c r="E160" s="374" t="s">
        <v>2097</v>
      </c>
      <c r="F160" s="374" t="s">
        <v>2219</v>
      </c>
    </row>
    <row r="161" spans="4:6" x14ac:dyDescent="0.25">
      <c r="D161" s="374" t="s">
        <v>1388</v>
      </c>
      <c r="E161" s="374" t="s">
        <v>2098</v>
      </c>
      <c r="F161" s="374" t="s">
        <v>2197</v>
      </c>
    </row>
    <row r="162" spans="4:6" x14ac:dyDescent="0.25">
      <c r="D162" s="374" t="s">
        <v>1315</v>
      </c>
      <c r="E162" s="374" t="s">
        <v>2041</v>
      </c>
      <c r="F162" s="374" t="s">
        <v>2198</v>
      </c>
    </row>
    <row r="163" spans="4:6" x14ac:dyDescent="0.25">
      <c r="D163" s="374" t="s">
        <v>1391</v>
      </c>
      <c r="E163" s="374" t="s">
        <v>2112</v>
      </c>
      <c r="F163" s="494" t="s">
        <v>2221</v>
      </c>
    </row>
    <row r="164" spans="4:6" x14ac:dyDescent="0.25">
      <c r="D164" s="374" t="s">
        <v>1823</v>
      </c>
      <c r="E164" s="374" t="s">
        <v>2113</v>
      </c>
      <c r="F164" s="494"/>
    </row>
    <row r="165" spans="4:6" x14ac:dyDescent="0.25">
      <c r="D165" s="374" t="s">
        <v>1318</v>
      </c>
      <c r="E165" s="374" t="s">
        <v>2099</v>
      </c>
      <c r="F165" s="494"/>
    </row>
    <row r="166" spans="4:6" x14ac:dyDescent="0.25">
      <c r="D166" s="374" t="s">
        <v>1482</v>
      </c>
      <c r="E166" s="374" t="s">
        <v>2042</v>
      </c>
      <c r="F166" s="374" t="s">
        <v>2198</v>
      </c>
    </row>
    <row r="167" spans="4:6" x14ac:dyDescent="0.25">
      <c r="D167" s="374" t="s">
        <v>1463</v>
      </c>
      <c r="E167" s="374" t="s">
        <v>2100</v>
      </c>
      <c r="F167" s="374" t="s">
        <v>2199</v>
      </c>
    </row>
    <row r="168" spans="4:6" x14ac:dyDescent="0.25">
      <c r="D168" s="374" t="s">
        <v>1319</v>
      </c>
      <c r="E168" s="374" t="s">
        <v>2101</v>
      </c>
      <c r="F168" s="374" t="s">
        <v>2200</v>
      </c>
    </row>
    <row r="169" spans="4:6" x14ac:dyDescent="0.25">
      <c r="D169" s="374" t="s">
        <v>1425</v>
      </c>
      <c r="E169" s="374" t="s">
        <v>2102</v>
      </c>
      <c r="F169" s="375" t="s">
        <v>2222</v>
      </c>
    </row>
    <row r="170" spans="4:6" x14ac:dyDescent="0.25">
      <c r="D170" s="374" t="s">
        <v>1572</v>
      </c>
      <c r="E170" s="374" t="s">
        <v>2135</v>
      </c>
      <c r="F170" s="374" t="s">
        <v>2220</v>
      </c>
    </row>
    <row r="171" spans="4:6" x14ac:dyDescent="0.25">
      <c r="D171" s="374" t="s">
        <v>1686</v>
      </c>
      <c r="E171" s="374" t="s">
        <v>2043</v>
      </c>
      <c r="F171" s="375" t="s">
        <v>2223</v>
      </c>
    </row>
    <row r="172" spans="4:6" x14ac:dyDescent="0.25">
      <c r="D172" s="374" t="s">
        <v>1432</v>
      </c>
      <c r="E172" s="374" t="s">
        <v>2103</v>
      </c>
      <c r="F172" s="374" t="s">
        <v>2201</v>
      </c>
    </row>
    <row r="173" spans="4:6" x14ac:dyDescent="0.25">
      <c r="D173" s="374" t="s">
        <v>1433</v>
      </c>
      <c r="E173" s="374" t="s">
        <v>2104</v>
      </c>
      <c r="F173" s="374" t="s">
        <v>2202</v>
      </c>
    </row>
    <row r="174" spans="4:6" x14ac:dyDescent="0.25">
      <c r="D174" s="374" t="s">
        <v>1911</v>
      </c>
      <c r="E174" s="374" t="s">
        <v>2105</v>
      </c>
      <c r="F174" s="374" t="s">
        <v>2203</v>
      </c>
    </row>
    <row r="175" spans="4:6" x14ac:dyDescent="0.25">
      <c r="D175" s="374" t="s">
        <v>1605</v>
      </c>
      <c r="E175" s="374" t="s">
        <v>2109</v>
      </c>
      <c r="F175" s="374" t="s">
        <v>2204</v>
      </c>
    </row>
    <row r="176" spans="4:6" x14ac:dyDescent="0.25">
      <c r="D176" s="374" t="s">
        <v>1909</v>
      </c>
      <c r="E176" s="374" t="s">
        <v>2110</v>
      </c>
      <c r="F176" s="376" t="s">
        <v>2225</v>
      </c>
    </row>
    <row r="177" spans="4:6" x14ac:dyDescent="0.25">
      <c r="D177" s="374" t="s">
        <v>1322</v>
      </c>
      <c r="E177" s="374" t="s">
        <v>2111</v>
      </c>
      <c r="F177" s="374" t="s">
        <v>2205</v>
      </c>
    </row>
    <row r="178" spans="4:6" x14ac:dyDescent="0.25">
      <c r="D178" s="374" t="s">
        <v>1392</v>
      </c>
      <c r="E178" s="374" t="s">
        <v>2044</v>
      </c>
      <c r="F178" s="374" t="s">
        <v>2206</v>
      </c>
    </row>
    <row r="179" spans="4:6" x14ac:dyDescent="0.25">
      <c r="D179" s="374" t="s">
        <v>1325</v>
      </c>
      <c r="E179" s="374" t="s">
        <v>2045</v>
      </c>
      <c r="F179" s="374" t="s">
        <v>2207</v>
      </c>
    </row>
    <row r="180" spans="4:6" x14ac:dyDescent="0.25">
      <c r="D180" s="374" t="s">
        <v>1400</v>
      </c>
      <c r="E180" s="374" t="s">
        <v>2106</v>
      </c>
      <c r="F180" s="375" t="s">
        <v>2224</v>
      </c>
    </row>
    <row r="181" spans="4:6" x14ac:dyDescent="0.25">
      <c r="D181" s="374" t="s">
        <v>1464</v>
      </c>
      <c r="E181" s="374" t="s">
        <v>2107</v>
      </c>
      <c r="F181" s="374" t="s">
        <v>2208</v>
      </c>
    </row>
    <row r="182" spans="4:6" x14ac:dyDescent="0.25">
      <c r="D182" s="374" t="s">
        <v>1329</v>
      </c>
      <c r="E182" s="374" t="s">
        <v>2046</v>
      </c>
      <c r="F182" s="374" t="s">
        <v>2209</v>
      </c>
    </row>
    <row r="183" spans="4:6" x14ac:dyDescent="0.25">
      <c r="D183" s="374" t="s">
        <v>1611</v>
      </c>
      <c r="E183" s="374" t="s">
        <v>2108</v>
      </c>
      <c r="F183" s="374" t="s">
        <v>2210</v>
      </c>
    </row>
  </sheetData>
  <sortState ref="B9:J85">
    <sortCondition ref="B9:B85"/>
  </sortState>
  <mergeCells count="1">
    <mergeCell ref="F163:F165"/>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S699"/>
  <sheetViews>
    <sheetView topLeftCell="A7" zoomScale="85" zoomScaleNormal="85" workbookViewId="0">
      <selection activeCell="A3" sqref="A3"/>
    </sheetView>
  </sheetViews>
  <sheetFormatPr defaultRowHeight="15" x14ac:dyDescent="0.25"/>
  <cols>
    <col min="2" max="2" width="44.28515625" style="181" customWidth="1"/>
    <col min="3" max="3" width="13.7109375" style="181" customWidth="1"/>
    <col min="4" max="4" width="13.5703125" style="181" customWidth="1"/>
    <col min="5" max="5" width="12.85546875" style="181" customWidth="1"/>
    <col min="6" max="6" width="51" style="181" customWidth="1"/>
    <col min="7" max="10" width="17.5703125" style="181" customWidth="1"/>
    <col min="11" max="11" width="17.5703125" style="199" customWidth="1"/>
    <col min="12" max="12" width="48.7109375" style="181" customWidth="1"/>
    <col min="13" max="13" width="8.140625" style="180" customWidth="1"/>
    <col min="14" max="14" width="12" bestFit="1" customWidth="1"/>
    <col min="15" max="15" width="12" customWidth="1"/>
    <col min="16" max="16" width="21.5703125" customWidth="1"/>
    <col min="17" max="17" width="6.7109375" customWidth="1"/>
    <col min="18" max="19" width="3.28515625" customWidth="1"/>
    <col min="20" max="20" width="2.85546875" customWidth="1"/>
    <col min="21" max="21" width="3.7109375" customWidth="1"/>
    <col min="22" max="22" width="10.28515625" customWidth="1"/>
    <col min="23" max="23" width="3.140625" customWidth="1"/>
    <col min="24" max="28" width="2.7109375" customWidth="1"/>
    <col min="29" max="29" width="4.7109375" customWidth="1"/>
    <col min="30" max="30" width="10.28515625" customWidth="1"/>
    <col min="31" max="31" width="11.7109375" customWidth="1"/>
    <col min="32" max="32" width="12.7109375" customWidth="1"/>
    <col min="33" max="33" width="12.85546875" customWidth="1"/>
    <col min="34" max="34" width="4.42578125" customWidth="1"/>
    <col min="35" max="35" width="2.85546875" customWidth="1"/>
    <col min="37" max="37" width="2" customWidth="1"/>
    <col min="38" max="38" width="8.5703125" bestFit="1" customWidth="1"/>
    <col min="39" max="39" width="6.7109375" bestFit="1" customWidth="1"/>
    <col min="41" max="41" width="30" customWidth="1"/>
    <col min="42" max="42" width="10.42578125" customWidth="1"/>
    <col min="43" max="43" width="13.7109375" customWidth="1"/>
    <col min="44" max="44" width="14" customWidth="1"/>
    <col min="45" max="45" width="14.28515625" customWidth="1"/>
    <col min="261" max="261" width="25.85546875" customWidth="1"/>
    <col min="262" max="263" width="11" customWidth="1"/>
    <col min="264" max="264" width="22.85546875" customWidth="1"/>
    <col min="265" max="266" width="11" customWidth="1"/>
    <col min="267" max="268" width="9.140625" customWidth="1"/>
    <col min="269" max="269" width="19" customWidth="1"/>
    <col min="517" max="517" width="25.85546875" customWidth="1"/>
    <col min="518" max="519" width="11" customWidth="1"/>
    <col min="520" max="520" width="22.85546875" customWidth="1"/>
    <col min="521" max="522" width="11" customWidth="1"/>
    <col min="523" max="524" width="9.140625" customWidth="1"/>
    <col min="525" max="525" width="19" customWidth="1"/>
    <col min="773" max="773" width="25.85546875" customWidth="1"/>
    <col min="774" max="775" width="11" customWidth="1"/>
    <col min="776" max="776" width="22.85546875" customWidth="1"/>
    <col min="777" max="778" width="11" customWidth="1"/>
    <col min="779" max="780" width="9.140625" customWidth="1"/>
    <col min="781" max="781" width="19" customWidth="1"/>
    <col min="1029" max="1029" width="25.85546875" customWidth="1"/>
    <col min="1030" max="1031" width="11" customWidth="1"/>
    <col min="1032" max="1032" width="22.85546875" customWidth="1"/>
    <col min="1033" max="1034" width="11" customWidth="1"/>
    <col min="1035" max="1036" width="9.140625" customWidth="1"/>
    <col min="1037" max="1037" width="19" customWidth="1"/>
    <col min="1285" max="1285" width="25.85546875" customWidth="1"/>
    <col min="1286" max="1287" width="11" customWidth="1"/>
    <col min="1288" max="1288" width="22.85546875" customWidth="1"/>
    <col min="1289" max="1290" width="11" customWidth="1"/>
    <col min="1291" max="1292" width="9.140625" customWidth="1"/>
    <col min="1293" max="1293" width="19" customWidth="1"/>
    <col min="1541" max="1541" width="25.85546875" customWidth="1"/>
    <col min="1542" max="1543" width="11" customWidth="1"/>
    <col min="1544" max="1544" width="22.85546875" customWidth="1"/>
    <col min="1545" max="1546" width="11" customWidth="1"/>
    <col min="1547" max="1548" width="9.140625" customWidth="1"/>
    <col min="1549" max="1549" width="19" customWidth="1"/>
    <col min="1797" max="1797" width="25.85546875" customWidth="1"/>
    <col min="1798" max="1799" width="11" customWidth="1"/>
    <col min="1800" max="1800" width="22.85546875" customWidth="1"/>
    <col min="1801" max="1802" width="11" customWidth="1"/>
    <col min="1803" max="1804" width="9.140625" customWidth="1"/>
    <col min="1805" max="1805" width="19" customWidth="1"/>
    <col min="2053" max="2053" width="25.85546875" customWidth="1"/>
    <col min="2054" max="2055" width="11" customWidth="1"/>
    <col min="2056" max="2056" width="22.85546875" customWidth="1"/>
    <col min="2057" max="2058" width="11" customWidth="1"/>
    <col min="2059" max="2060" width="9.140625" customWidth="1"/>
    <col min="2061" max="2061" width="19" customWidth="1"/>
    <col min="2309" max="2309" width="25.85546875" customWidth="1"/>
    <col min="2310" max="2311" width="11" customWidth="1"/>
    <col min="2312" max="2312" width="22.85546875" customWidth="1"/>
    <col min="2313" max="2314" width="11" customWidth="1"/>
    <col min="2315" max="2316" width="9.140625" customWidth="1"/>
    <col min="2317" max="2317" width="19" customWidth="1"/>
    <col min="2565" max="2565" width="25.85546875" customWidth="1"/>
    <col min="2566" max="2567" width="11" customWidth="1"/>
    <col min="2568" max="2568" width="22.85546875" customWidth="1"/>
    <col min="2569" max="2570" width="11" customWidth="1"/>
    <col min="2571" max="2572" width="9.140625" customWidth="1"/>
    <col min="2573" max="2573" width="19" customWidth="1"/>
    <col min="2821" max="2821" width="25.85546875" customWidth="1"/>
    <col min="2822" max="2823" width="11" customWidth="1"/>
    <col min="2824" max="2824" width="22.85546875" customWidth="1"/>
    <col min="2825" max="2826" width="11" customWidth="1"/>
    <col min="2827" max="2828" width="9.140625" customWidth="1"/>
    <col min="2829" max="2829" width="19" customWidth="1"/>
    <col min="3077" max="3077" width="25.85546875" customWidth="1"/>
    <col min="3078" max="3079" width="11" customWidth="1"/>
    <col min="3080" max="3080" width="22.85546875" customWidth="1"/>
    <col min="3081" max="3082" width="11" customWidth="1"/>
    <col min="3083" max="3084" width="9.140625" customWidth="1"/>
    <col min="3085" max="3085" width="19" customWidth="1"/>
    <col min="3333" max="3333" width="25.85546875" customWidth="1"/>
    <col min="3334" max="3335" width="11" customWidth="1"/>
    <col min="3336" max="3336" width="22.85546875" customWidth="1"/>
    <col min="3337" max="3338" width="11" customWidth="1"/>
    <col min="3339" max="3340" width="9.140625" customWidth="1"/>
    <col min="3341" max="3341" width="19" customWidth="1"/>
    <col min="3589" max="3589" width="25.85546875" customWidth="1"/>
    <col min="3590" max="3591" width="11" customWidth="1"/>
    <col min="3592" max="3592" width="22.85546875" customWidth="1"/>
    <col min="3593" max="3594" width="11" customWidth="1"/>
    <col min="3595" max="3596" width="9.140625" customWidth="1"/>
    <col min="3597" max="3597" width="19" customWidth="1"/>
    <col min="3845" max="3845" width="25.85546875" customWidth="1"/>
    <col min="3846" max="3847" width="11" customWidth="1"/>
    <col min="3848" max="3848" width="22.85546875" customWidth="1"/>
    <col min="3849" max="3850" width="11" customWidth="1"/>
    <col min="3851" max="3852" width="9.140625" customWidth="1"/>
    <col min="3853" max="3853" width="19" customWidth="1"/>
    <col min="4101" max="4101" width="25.85546875" customWidth="1"/>
    <col min="4102" max="4103" width="11" customWidth="1"/>
    <col min="4104" max="4104" width="22.85546875" customWidth="1"/>
    <col min="4105" max="4106" width="11" customWidth="1"/>
    <col min="4107" max="4108" width="9.140625" customWidth="1"/>
    <col min="4109" max="4109" width="19" customWidth="1"/>
    <col min="4357" max="4357" width="25.85546875" customWidth="1"/>
    <col min="4358" max="4359" width="11" customWidth="1"/>
    <col min="4360" max="4360" width="22.85546875" customWidth="1"/>
    <col min="4361" max="4362" width="11" customWidth="1"/>
    <col min="4363" max="4364" width="9.140625" customWidth="1"/>
    <col min="4365" max="4365" width="19" customWidth="1"/>
    <col min="4613" max="4613" width="25.85546875" customWidth="1"/>
    <col min="4614" max="4615" width="11" customWidth="1"/>
    <col min="4616" max="4616" width="22.85546875" customWidth="1"/>
    <col min="4617" max="4618" width="11" customWidth="1"/>
    <col min="4619" max="4620" width="9.140625" customWidth="1"/>
    <col min="4621" max="4621" width="19" customWidth="1"/>
    <col min="4869" max="4869" width="25.85546875" customWidth="1"/>
    <col min="4870" max="4871" width="11" customWidth="1"/>
    <col min="4872" max="4872" width="22.85546875" customWidth="1"/>
    <col min="4873" max="4874" width="11" customWidth="1"/>
    <col min="4875" max="4876" width="9.140625" customWidth="1"/>
    <col min="4877" max="4877" width="19" customWidth="1"/>
    <col min="5125" max="5125" width="25.85546875" customWidth="1"/>
    <col min="5126" max="5127" width="11" customWidth="1"/>
    <col min="5128" max="5128" width="22.85546875" customWidth="1"/>
    <col min="5129" max="5130" width="11" customWidth="1"/>
    <col min="5131" max="5132" width="9.140625" customWidth="1"/>
    <col min="5133" max="5133" width="19" customWidth="1"/>
    <col min="5381" max="5381" width="25.85546875" customWidth="1"/>
    <col min="5382" max="5383" width="11" customWidth="1"/>
    <col min="5384" max="5384" width="22.85546875" customWidth="1"/>
    <col min="5385" max="5386" width="11" customWidth="1"/>
    <col min="5387" max="5388" width="9.140625" customWidth="1"/>
    <col min="5389" max="5389" width="19" customWidth="1"/>
    <col min="5637" max="5637" width="25.85546875" customWidth="1"/>
    <col min="5638" max="5639" width="11" customWidth="1"/>
    <col min="5640" max="5640" width="22.85546875" customWidth="1"/>
    <col min="5641" max="5642" width="11" customWidth="1"/>
    <col min="5643" max="5644" width="9.140625" customWidth="1"/>
    <col min="5645" max="5645" width="19" customWidth="1"/>
    <col min="5893" max="5893" width="25.85546875" customWidth="1"/>
    <col min="5894" max="5895" width="11" customWidth="1"/>
    <col min="5896" max="5896" width="22.85546875" customWidth="1"/>
    <col min="5897" max="5898" width="11" customWidth="1"/>
    <col min="5899" max="5900" width="9.140625" customWidth="1"/>
    <col min="5901" max="5901" width="19" customWidth="1"/>
    <col min="6149" max="6149" width="25.85546875" customWidth="1"/>
    <col min="6150" max="6151" width="11" customWidth="1"/>
    <col min="6152" max="6152" width="22.85546875" customWidth="1"/>
    <col min="6153" max="6154" width="11" customWidth="1"/>
    <col min="6155" max="6156" width="9.140625" customWidth="1"/>
    <col min="6157" max="6157" width="19" customWidth="1"/>
    <col min="6405" max="6405" width="25.85546875" customWidth="1"/>
    <col min="6406" max="6407" width="11" customWidth="1"/>
    <col min="6408" max="6408" width="22.85546875" customWidth="1"/>
    <col min="6409" max="6410" width="11" customWidth="1"/>
    <col min="6411" max="6412" width="9.140625" customWidth="1"/>
    <col min="6413" max="6413" width="19" customWidth="1"/>
    <col min="6661" max="6661" width="25.85546875" customWidth="1"/>
    <col min="6662" max="6663" width="11" customWidth="1"/>
    <col min="6664" max="6664" width="22.85546875" customWidth="1"/>
    <col min="6665" max="6666" width="11" customWidth="1"/>
    <col min="6667" max="6668" width="9.140625" customWidth="1"/>
    <col min="6669" max="6669" width="19" customWidth="1"/>
    <col min="6917" max="6917" width="25.85546875" customWidth="1"/>
    <col min="6918" max="6919" width="11" customWidth="1"/>
    <col min="6920" max="6920" width="22.85546875" customWidth="1"/>
    <col min="6921" max="6922" width="11" customWidth="1"/>
    <col min="6923" max="6924" width="9.140625" customWidth="1"/>
    <col min="6925" max="6925" width="19" customWidth="1"/>
    <col min="7173" max="7173" width="25.85546875" customWidth="1"/>
    <col min="7174" max="7175" width="11" customWidth="1"/>
    <col min="7176" max="7176" width="22.85546875" customWidth="1"/>
    <col min="7177" max="7178" width="11" customWidth="1"/>
    <col min="7179" max="7180" width="9.140625" customWidth="1"/>
    <col min="7181" max="7181" width="19" customWidth="1"/>
    <col min="7429" max="7429" width="25.85546875" customWidth="1"/>
    <col min="7430" max="7431" width="11" customWidth="1"/>
    <col min="7432" max="7432" width="22.85546875" customWidth="1"/>
    <col min="7433" max="7434" width="11" customWidth="1"/>
    <col min="7435" max="7436" width="9.140625" customWidth="1"/>
    <col min="7437" max="7437" width="19" customWidth="1"/>
    <col min="7685" max="7685" width="25.85546875" customWidth="1"/>
    <col min="7686" max="7687" width="11" customWidth="1"/>
    <col min="7688" max="7688" width="22.85546875" customWidth="1"/>
    <col min="7689" max="7690" width="11" customWidth="1"/>
    <col min="7691" max="7692" width="9.140625" customWidth="1"/>
    <col min="7693" max="7693" width="19" customWidth="1"/>
    <col min="7941" max="7941" width="25.85546875" customWidth="1"/>
    <col min="7942" max="7943" width="11" customWidth="1"/>
    <col min="7944" max="7944" width="22.85546875" customWidth="1"/>
    <col min="7945" max="7946" width="11" customWidth="1"/>
    <col min="7947" max="7948" width="9.140625" customWidth="1"/>
    <col min="7949" max="7949" width="19" customWidth="1"/>
    <col min="8197" max="8197" width="25.85546875" customWidth="1"/>
    <col min="8198" max="8199" width="11" customWidth="1"/>
    <col min="8200" max="8200" width="22.85546875" customWidth="1"/>
    <col min="8201" max="8202" width="11" customWidth="1"/>
    <col min="8203" max="8204" width="9.140625" customWidth="1"/>
    <col min="8205" max="8205" width="19" customWidth="1"/>
    <col min="8453" max="8453" width="25.85546875" customWidth="1"/>
    <col min="8454" max="8455" width="11" customWidth="1"/>
    <col min="8456" max="8456" width="22.85546875" customWidth="1"/>
    <col min="8457" max="8458" width="11" customWidth="1"/>
    <col min="8459" max="8460" width="9.140625" customWidth="1"/>
    <col min="8461" max="8461" width="19" customWidth="1"/>
    <col min="8709" max="8709" width="25.85546875" customWidth="1"/>
    <col min="8710" max="8711" width="11" customWidth="1"/>
    <col min="8712" max="8712" width="22.85546875" customWidth="1"/>
    <col min="8713" max="8714" width="11" customWidth="1"/>
    <col min="8715" max="8716" width="9.140625" customWidth="1"/>
    <col min="8717" max="8717" width="19" customWidth="1"/>
    <col min="8965" max="8965" width="25.85546875" customWidth="1"/>
    <col min="8966" max="8967" width="11" customWidth="1"/>
    <col min="8968" max="8968" width="22.85546875" customWidth="1"/>
    <col min="8969" max="8970" width="11" customWidth="1"/>
    <col min="8971" max="8972" width="9.140625" customWidth="1"/>
    <col min="8973" max="8973" width="19" customWidth="1"/>
    <col min="9221" max="9221" width="25.85546875" customWidth="1"/>
    <col min="9222" max="9223" width="11" customWidth="1"/>
    <col min="9224" max="9224" width="22.85546875" customWidth="1"/>
    <col min="9225" max="9226" width="11" customWidth="1"/>
    <col min="9227" max="9228" width="9.140625" customWidth="1"/>
    <col min="9229" max="9229" width="19" customWidth="1"/>
    <col min="9477" max="9477" width="25.85546875" customWidth="1"/>
    <col min="9478" max="9479" width="11" customWidth="1"/>
    <col min="9480" max="9480" width="22.85546875" customWidth="1"/>
    <col min="9481" max="9482" width="11" customWidth="1"/>
    <col min="9483" max="9484" width="9.140625" customWidth="1"/>
    <col min="9485" max="9485" width="19" customWidth="1"/>
    <col min="9733" max="9733" width="25.85546875" customWidth="1"/>
    <col min="9734" max="9735" width="11" customWidth="1"/>
    <col min="9736" max="9736" width="22.85546875" customWidth="1"/>
    <col min="9737" max="9738" width="11" customWidth="1"/>
    <col min="9739" max="9740" width="9.140625" customWidth="1"/>
    <col min="9741" max="9741" width="19" customWidth="1"/>
    <col min="9989" max="9989" width="25.85546875" customWidth="1"/>
    <col min="9990" max="9991" width="11" customWidth="1"/>
    <col min="9992" max="9992" width="22.85546875" customWidth="1"/>
    <col min="9993" max="9994" width="11" customWidth="1"/>
    <col min="9995" max="9996" width="9.140625" customWidth="1"/>
    <col min="9997" max="9997" width="19" customWidth="1"/>
    <col min="10245" max="10245" width="25.85546875" customWidth="1"/>
    <col min="10246" max="10247" width="11" customWidth="1"/>
    <col min="10248" max="10248" width="22.85546875" customWidth="1"/>
    <col min="10249" max="10250" width="11" customWidth="1"/>
    <col min="10251" max="10252" width="9.140625" customWidth="1"/>
    <col min="10253" max="10253" width="19" customWidth="1"/>
    <col min="10501" max="10501" width="25.85546875" customWidth="1"/>
    <col min="10502" max="10503" width="11" customWidth="1"/>
    <col min="10504" max="10504" width="22.85546875" customWidth="1"/>
    <col min="10505" max="10506" width="11" customWidth="1"/>
    <col min="10507" max="10508" width="9.140625" customWidth="1"/>
    <col min="10509" max="10509" width="19" customWidth="1"/>
    <col min="10757" max="10757" width="25.85546875" customWidth="1"/>
    <col min="10758" max="10759" width="11" customWidth="1"/>
    <col min="10760" max="10760" width="22.85546875" customWidth="1"/>
    <col min="10761" max="10762" width="11" customWidth="1"/>
    <col min="10763" max="10764" width="9.140625" customWidth="1"/>
    <col min="10765" max="10765" width="19" customWidth="1"/>
    <col min="11013" max="11013" width="25.85546875" customWidth="1"/>
    <col min="11014" max="11015" width="11" customWidth="1"/>
    <col min="11016" max="11016" width="22.85546875" customWidth="1"/>
    <col min="11017" max="11018" width="11" customWidth="1"/>
    <col min="11019" max="11020" width="9.140625" customWidth="1"/>
    <col min="11021" max="11021" width="19" customWidth="1"/>
    <col min="11269" max="11269" width="25.85546875" customWidth="1"/>
    <col min="11270" max="11271" width="11" customWidth="1"/>
    <col min="11272" max="11272" width="22.85546875" customWidth="1"/>
    <col min="11273" max="11274" width="11" customWidth="1"/>
    <col min="11275" max="11276" width="9.140625" customWidth="1"/>
    <col min="11277" max="11277" width="19" customWidth="1"/>
    <col min="11525" max="11525" width="25.85546875" customWidth="1"/>
    <col min="11526" max="11527" width="11" customWidth="1"/>
    <col min="11528" max="11528" width="22.85546875" customWidth="1"/>
    <col min="11529" max="11530" width="11" customWidth="1"/>
    <col min="11531" max="11532" width="9.140625" customWidth="1"/>
    <col min="11533" max="11533" width="19" customWidth="1"/>
    <col min="11781" max="11781" width="25.85546875" customWidth="1"/>
    <col min="11782" max="11783" width="11" customWidth="1"/>
    <col min="11784" max="11784" width="22.85546875" customWidth="1"/>
    <col min="11785" max="11786" width="11" customWidth="1"/>
    <col min="11787" max="11788" width="9.140625" customWidth="1"/>
    <col min="11789" max="11789" width="19" customWidth="1"/>
    <col min="12037" max="12037" width="25.85546875" customWidth="1"/>
    <col min="12038" max="12039" width="11" customWidth="1"/>
    <col min="12040" max="12040" width="22.85546875" customWidth="1"/>
    <col min="12041" max="12042" width="11" customWidth="1"/>
    <col min="12043" max="12044" width="9.140625" customWidth="1"/>
    <col min="12045" max="12045" width="19" customWidth="1"/>
    <col min="12293" max="12293" width="25.85546875" customWidth="1"/>
    <col min="12294" max="12295" width="11" customWidth="1"/>
    <col min="12296" max="12296" width="22.85546875" customWidth="1"/>
    <col min="12297" max="12298" width="11" customWidth="1"/>
    <col min="12299" max="12300" width="9.140625" customWidth="1"/>
    <col min="12301" max="12301" width="19" customWidth="1"/>
    <col min="12549" max="12549" width="25.85546875" customWidth="1"/>
    <col min="12550" max="12551" width="11" customWidth="1"/>
    <col min="12552" max="12552" width="22.85546875" customWidth="1"/>
    <col min="12553" max="12554" width="11" customWidth="1"/>
    <col min="12555" max="12556" width="9.140625" customWidth="1"/>
    <col min="12557" max="12557" width="19" customWidth="1"/>
    <col min="12805" max="12805" width="25.85546875" customWidth="1"/>
    <col min="12806" max="12807" width="11" customWidth="1"/>
    <col min="12808" max="12808" width="22.85546875" customWidth="1"/>
    <col min="12809" max="12810" width="11" customWidth="1"/>
    <col min="12811" max="12812" width="9.140625" customWidth="1"/>
    <col min="12813" max="12813" width="19" customWidth="1"/>
    <col min="13061" max="13061" width="25.85546875" customWidth="1"/>
    <col min="13062" max="13063" width="11" customWidth="1"/>
    <col min="13064" max="13064" width="22.85546875" customWidth="1"/>
    <col min="13065" max="13066" width="11" customWidth="1"/>
    <col min="13067" max="13068" width="9.140625" customWidth="1"/>
    <col min="13069" max="13069" width="19" customWidth="1"/>
    <col min="13317" max="13317" width="25.85546875" customWidth="1"/>
    <col min="13318" max="13319" width="11" customWidth="1"/>
    <col min="13320" max="13320" width="22.85546875" customWidth="1"/>
    <col min="13321" max="13322" width="11" customWidth="1"/>
    <col min="13323" max="13324" width="9.140625" customWidth="1"/>
    <col min="13325" max="13325" width="19" customWidth="1"/>
    <col min="13573" max="13573" width="25.85546875" customWidth="1"/>
    <col min="13574" max="13575" width="11" customWidth="1"/>
    <col min="13576" max="13576" width="22.85546875" customWidth="1"/>
    <col min="13577" max="13578" width="11" customWidth="1"/>
    <col min="13579" max="13580" width="9.140625" customWidth="1"/>
    <col min="13581" max="13581" width="19" customWidth="1"/>
    <col min="13829" max="13829" width="25.85546875" customWidth="1"/>
    <col min="13830" max="13831" width="11" customWidth="1"/>
    <col min="13832" max="13832" width="22.85546875" customWidth="1"/>
    <col min="13833" max="13834" width="11" customWidth="1"/>
    <col min="13835" max="13836" width="9.140625" customWidth="1"/>
    <col min="13837" max="13837" width="19" customWidth="1"/>
    <col min="14085" max="14085" width="25.85546875" customWidth="1"/>
    <col min="14086" max="14087" width="11" customWidth="1"/>
    <col min="14088" max="14088" width="22.85546875" customWidth="1"/>
    <col min="14089" max="14090" width="11" customWidth="1"/>
    <col min="14091" max="14092" width="9.140625" customWidth="1"/>
    <col min="14093" max="14093" width="19" customWidth="1"/>
    <col min="14341" max="14341" width="25.85546875" customWidth="1"/>
    <col min="14342" max="14343" width="11" customWidth="1"/>
    <col min="14344" max="14344" width="22.85546875" customWidth="1"/>
    <col min="14345" max="14346" width="11" customWidth="1"/>
    <col min="14347" max="14348" width="9.140625" customWidth="1"/>
    <col min="14349" max="14349" width="19" customWidth="1"/>
    <col min="14597" max="14597" width="25.85546875" customWidth="1"/>
    <col min="14598" max="14599" width="11" customWidth="1"/>
    <col min="14600" max="14600" width="22.85546875" customWidth="1"/>
    <col min="14601" max="14602" width="11" customWidth="1"/>
    <col min="14603" max="14604" width="9.140625" customWidth="1"/>
    <col min="14605" max="14605" width="19" customWidth="1"/>
    <col min="14853" max="14853" width="25.85546875" customWidth="1"/>
    <col min="14854" max="14855" width="11" customWidth="1"/>
    <col min="14856" max="14856" width="22.85546875" customWidth="1"/>
    <col min="14857" max="14858" width="11" customWidth="1"/>
    <col min="14859" max="14860" width="9.140625" customWidth="1"/>
    <col min="14861" max="14861" width="19" customWidth="1"/>
    <col min="15109" max="15109" width="25.85546875" customWidth="1"/>
    <col min="15110" max="15111" width="11" customWidth="1"/>
    <col min="15112" max="15112" width="22.85546875" customWidth="1"/>
    <col min="15113" max="15114" width="11" customWidth="1"/>
    <col min="15115" max="15116" width="9.140625" customWidth="1"/>
    <col min="15117" max="15117" width="19" customWidth="1"/>
    <col min="15365" max="15365" width="25.85546875" customWidth="1"/>
    <col min="15366" max="15367" width="11" customWidth="1"/>
    <col min="15368" max="15368" width="22.85546875" customWidth="1"/>
    <col min="15369" max="15370" width="11" customWidth="1"/>
    <col min="15371" max="15372" width="9.140625" customWidth="1"/>
    <col min="15373" max="15373" width="19" customWidth="1"/>
    <col min="15621" max="15621" width="25.85546875" customWidth="1"/>
    <col min="15622" max="15623" width="11" customWidth="1"/>
    <col min="15624" max="15624" width="22.85546875" customWidth="1"/>
    <col min="15625" max="15626" width="11" customWidth="1"/>
    <col min="15627" max="15628" width="9.140625" customWidth="1"/>
    <col min="15629" max="15629" width="19" customWidth="1"/>
    <col min="15877" max="15877" width="25.85546875" customWidth="1"/>
    <col min="15878" max="15879" width="11" customWidth="1"/>
    <col min="15880" max="15880" width="22.85546875" customWidth="1"/>
    <col min="15881" max="15882" width="11" customWidth="1"/>
    <col min="15883" max="15884" width="9.140625" customWidth="1"/>
    <col min="15885" max="15885" width="19" customWidth="1"/>
    <col min="16133" max="16133" width="25.85546875" customWidth="1"/>
    <col min="16134" max="16135" width="11" customWidth="1"/>
    <col min="16136" max="16136" width="22.85546875" customWidth="1"/>
    <col min="16137" max="16138" width="11" customWidth="1"/>
    <col min="16139" max="16140" width="9.140625" customWidth="1"/>
    <col min="16141" max="16141" width="19" customWidth="1"/>
  </cols>
  <sheetData>
    <row r="1" spans="1:45" s="11" customFormat="1" ht="20.25" x14ac:dyDescent="0.3">
      <c r="A1" s="309" t="s">
        <v>18</v>
      </c>
      <c r="F1" s="174" t="s">
        <v>217</v>
      </c>
      <c r="J1" s="182"/>
      <c r="K1" s="226"/>
      <c r="M1" s="172"/>
    </row>
    <row r="2" spans="1:45" s="177" customFormat="1" ht="18" customHeight="1" x14ac:dyDescent="0.3">
      <c r="A2" s="326" t="s">
        <v>1061</v>
      </c>
      <c r="C2" s="175"/>
      <c r="D2" s="176"/>
      <c r="E2" s="176"/>
      <c r="F2" s="176"/>
      <c r="G2" s="176"/>
      <c r="H2" s="176"/>
      <c r="I2" s="176"/>
      <c r="J2" s="207"/>
      <c r="K2" s="176"/>
      <c r="L2" s="176"/>
    </row>
    <row r="3" spans="1:45" s="177" customFormat="1" x14ac:dyDescent="0.25">
      <c r="A3" s="325" t="s">
        <v>1060</v>
      </c>
      <c r="C3" s="179"/>
      <c r="K3" s="211"/>
      <c r="M3" s="207"/>
    </row>
    <row r="4" spans="1:45" s="177" customFormat="1" ht="12.75" x14ac:dyDescent="0.2">
      <c r="B4" s="175"/>
      <c r="C4" s="175"/>
      <c r="D4" s="175"/>
      <c r="E4" s="307"/>
      <c r="F4" s="207"/>
      <c r="G4" s="207"/>
      <c r="H4" s="207"/>
      <c r="I4" s="207"/>
      <c r="J4" s="207"/>
      <c r="K4" s="176"/>
      <c r="L4" s="207"/>
      <c r="M4" s="207"/>
      <c r="N4" s="207"/>
    </row>
    <row r="5" spans="1:45" x14ac:dyDescent="0.25">
      <c r="B5" s="206"/>
      <c r="C5" s="206"/>
      <c r="D5" s="206"/>
      <c r="E5" s="206"/>
      <c r="F5" s="206"/>
      <c r="G5" s="206"/>
      <c r="H5" s="206"/>
      <c r="I5" s="206"/>
      <c r="J5" s="324"/>
      <c r="K5" s="320"/>
      <c r="L5" s="206"/>
      <c r="M5" s="205"/>
      <c r="N5" s="206"/>
    </row>
    <row r="6" spans="1:45" x14ac:dyDescent="0.25">
      <c r="B6" s="205"/>
      <c r="C6" s="205"/>
      <c r="D6" s="205"/>
      <c r="E6" s="205"/>
      <c r="F6" s="205"/>
      <c r="G6" s="205"/>
      <c r="H6" s="205"/>
      <c r="I6" s="205"/>
      <c r="J6" s="205"/>
      <c r="K6" s="308"/>
      <c r="L6" s="205"/>
      <c r="M6" s="205"/>
      <c r="N6" s="206"/>
    </row>
    <row r="7" spans="1:45" x14ac:dyDescent="0.25">
      <c r="M7" s="205"/>
    </row>
    <row r="8" spans="1:45" ht="15.75" thickBot="1" x14ac:dyDescent="0.3">
      <c r="H8" s="224"/>
      <c r="I8" s="224"/>
      <c r="J8" s="224"/>
      <c r="K8" s="227"/>
      <c r="L8"/>
      <c r="M8"/>
    </row>
    <row r="9" spans="1:45" ht="15.75" thickBot="1" x14ac:dyDescent="0.3">
      <c r="A9" s="225"/>
      <c r="B9" s="316" t="s">
        <v>1002</v>
      </c>
      <c r="D9" s="232" t="s">
        <v>72</v>
      </c>
      <c r="E9" s="233">
        <f ca="1">SUM(E10:E500)</f>
        <v>100.00000000000001</v>
      </c>
      <c r="F9" s="233" t="s">
        <v>584</v>
      </c>
      <c r="G9" s="265">
        <f ca="1">SUMPRODUCT(K10:K450,G10:G450)/100</f>
        <v>96.981179938155762</v>
      </c>
      <c r="H9" s="233" t="s">
        <v>72</v>
      </c>
      <c r="I9" s="233">
        <f ca="1">SUM(I12:I500)</f>
        <v>100</v>
      </c>
      <c r="J9" s="233">
        <f ca="1">SUM(J10:J500)</f>
        <v>57.499999999999972</v>
      </c>
      <c r="K9" s="234">
        <f ca="1">SUM(K10:K500)</f>
        <v>100.00000000000004</v>
      </c>
      <c r="L9" s="225"/>
      <c r="M9" s="225"/>
      <c r="N9" s="225"/>
      <c r="O9" s="225"/>
      <c r="P9" s="225"/>
      <c r="Q9" s="225"/>
      <c r="R9" s="225"/>
      <c r="S9" s="225"/>
      <c r="T9" s="225"/>
      <c r="U9" s="225"/>
      <c r="V9" s="225"/>
      <c r="W9" s="225"/>
      <c r="X9" s="225"/>
      <c r="Y9" s="225"/>
      <c r="Z9" s="225"/>
      <c r="AA9" s="225"/>
      <c r="AB9" s="225"/>
      <c r="AC9" s="225"/>
      <c r="AD9" s="225"/>
      <c r="AE9" s="225"/>
      <c r="AF9" s="225"/>
      <c r="AG9" s="225"/>
      <c r="AH9" s="225"/>
      <c r="AI9" s="225"/>
      <c r="AJ9" s="225"/>
      <c r="AK9" s="225"/>
      <c r="AL9" s="225"/>
      <c r="AM9" s="225"/>
      <c r="AN9" s="225"/>
      <c r="AO9" s="225"/>
      <c r="AP9" s="225"/>
      <c r="AQ9" s="225"/>
      <c r="AR9" s="225"/>
      <c r="AS9" s="225"/>
    </row>
    <row r="10" spans="1:45" ht="15.75" thickBot="1" x14ac:dyDescent="0.3">
      <c r="A10" s="235" t="s">
        <v>582</v>
      </c>
      <c r="B10" s="236">
        <f>COUNTIF(L:L,$B$9)</f>
        <v>50</v>
      </c>
      <c r="C10" s="181" t="s">
        <v>506</v>
      </c>
      <c r="D10" s="237">
        <v>2283</v>
      </c>
      <c r="E10" s="238"/>
      <c r="F10" s="238" t="s">
        <v>349</v>
      </c>
      <c r="G10" s="267">
        <f ca="1">(SUMPRODUCT(--(J12:J500="X"),I12:I500,G12:G500)+SUMPRODUCT(--(F12:F500=$F$10),J12:J500,G12:G500))/$J$10</f>
        <v>156.30826000000002</v>
      </c>
      <c r="H10" s="238"/>
      <c r="I10" s="238"/>
      <c r="J10" s="238">
        <f ca="1">IFERROR(VLOOKUP($F$10,F12:J500,5,FALSE),0)+SUMIF(J12:J500,"X",I12:I500)</f>
        <v>0.30999999999999994</v>
      </c>
      <c r="K10" s="239">
        <f ca="1">IF(J10="","",J10/$J$9*100)</f>
        <v>0.53913043478260891</v>
      </c>
      <c r="L10" s="225"/>
      <c r="M10" s="225"/>
      <c r="N10" s="225"/>
      <c r="O10" s="225"/>
      <c r="P10" s="225"/>
      <c r="Q10" s="225"/>
      <c r="R10" s="225"/>
      <c r="S10" s="225"/>
      <c r="T10" s="225"/>
      <c r="U10" s="225"/>
      <c r="V10" s="225"/>
      <c r="W10" s="225"/>
      <c r="X10" s="225"/>
      <c r="Y10" s="225"/>
      <c r="Z10" s="225"/>
      <c r="AA10" s="225"/>
      <c r="AB10" s="225"/>
      <c r="AC10" s="225"/>
      <c r="AD10" s="225"/>
      <c r="AE10" s="225"/>
      <c r="AF10" s="225"/>
      <c r="AG10" s="225"/>
      <c r="AH10" s="225"/>
      <c r="AI10" s="225"/>
      <c r="AJ10" s="225"/>
      <c r="AK10" s="225"/>
      <c r="AL10" s="225"/>
      <c r="AM10" s="225"/>
      <c r="AN10" s="225"/>
      <c r="AO10" s="225"/>
      <c r="AP10" s="225"/>
      <c r="AQ10" s="225"/>
      <c r="AR10" s="225"/>
      <c r="AS10" s="225"/>
    </row>
    <row r="11" spans="1:45" s="200" customFormat="1" ht="13.5" customHeight="1" thickBot="1" x14ac:dyDescent="0.3">
      <c r="A11" s="240" t="s">
        <v>566</v>
      </c>
      <c r="B11" s="321" t="s">
        <v>224</v>
      </c>
      <c r="C11" s="323" t="s">
        <v>581</v>
      </c>
      <c r="D11" s="322" t="s">
        <v>243</v>
      </c>
      <c r="E11" s="241" t="s">
        <v>244</v>
      </c>
      <c r="F11" s="241" t="s">
        <v>253</v>
      </c>
      <c r="G11" s="241" t="s">
        <v>255</v>
      </c>
      <c r="H11" s="241" t="s">
        <v>583</v>
      </c>
      <c r="I11" s="241" t="s">
        <v>567</v>
      </c>
      <c r="J11" s="241" t="s">
        <v>568</v>
      </c>
      <c r="K11" s="242" t="s">
        <v>569</v>
      </c>
      <c r="L11" s="315" t="s">
        <v>224</v>
      </c>
      <c r="M11" s="315" t="s">
        <v>225</v>
      </c>
      <c r="N11" s="315" t="s">
        <v>226</v>
      </c>
      <c r="O11" s="315" t="s">
        <v>227</v>
      </c>
      <c r="P11" s="315" t="s">
        <v>228</v>
      </c>
      <c r="Q11" s="315" t="s">
        <v>229</v>
      </c>
      <c r="R11" s="315" t="s">
        <v>230</v>
      </c>
      <c r="S11" s="315" t="s">
        <v>231</v>
      </c>
      <c r="T11" s="315" t="s">
        <v>232</v>
      </c>
      <c r="U11" s="315" t="s">
        <v>233</v>
      </c>
      <c r="V11" s="315" t="s">
        <v>234</v>
      </c>
      <c r="W11" s="315" t="s">
        <v>235</v>
      </c>
      <c r="X11" s="315" t="s">
        <v>236</v>
      </c>
      <c r="Y11" s="315" t="s">
        <v>237</v>
      </c>
      <c r="Z11" s="315" t="s">
        <v>238</v>
      </c>
      <c r="AA11" s="315" t="s">
        <v>239</v>
      </c>
      <c r="AB11" s="315" t="s">
        <v>240</v>
      </c>
      <c r="AC11" s="315" t="s">
        <v>241</v>
      </c>
      <c r="AD11" s="315" t="s">
        <v>242</v>
      </c>
      <c r="AE11" s="315" t="s">
        <v>243</v>
      </c>
      <c r="AF11" s="315" t="s">
        <v>244</v>
      </c>
      <c r="AG11" s="315" t="s">
        <v>245</v>
      </c>
      <c r="AH11" s="315" t="s">
        <v>246</v>
      </c>
      <c r="AI11" s="315" t="s">
        <v>247</v>
      </c>
      <c r="AJ11" s="315" t="s">
        <v>248</v>
      </c>
      <c r="AK11" s="315" t="s">
        <v>249</v>
      </c>
      <c r="AL11" s="315" t="s">
        <v>250</v>
      </c>
      <c r="AM11" s="315" t="s">
        <v>251</v>
      </c>
      <c r="AN11" s="315" t="s">
        <v>252</v>
      </c>
      <c r="AO11" s="315" t="s">
        <v>253</v>
      </c>
      <c r="AP11" s="315" t="s">
        <v>254</v>
      </c>
      <c r="AQ11" s="315" t="s">
        <v>255</v>
      </c>
      <c r="AR11" s="315" t="s">
        <v>256</v>
      </c>
      <c r="AS11" s="315" t="s">
        <v>257</v>
      </c>
    </row>
    <row r="12" spans="1:45" x14ac:dyDescent="0.25">
      <c r="A12" s="245">
        <f>MATCH($B$9,L:L,0)</f>
        <v>12</v>
      </c>
      <c r="B12" s="246" t="str">
        <f t="shared" ref="B12:B43" si="0">IF(ROW(A12)-(ROW($A$12))&lt;$B$10,$B$9,"")</f>
        <v>Refinery - Chevron FCC - August 6-17, 1996</v>
      </c>
      <c r="C12" s="251" t="str">
        <f ca="1">IF(B12="","",VLOOKUP(D12,'Species Data'!B:E,4,FALSE))</f>
        <v>trimetben124</v>
      </c>
      <c r="D12" s="246">
        <f t="shared" ref="D12:D75" ca="1" si="1">IF(B12="","",INDIRECT("AE"&amp;$A12))</f>
        <v>30</v>
      </c>
      <c r="E12" s="246">
        <f t="shared" ref="E12:E75" ca="1" si="2">IF(D12="","",INDIRECT("AF"&amp;$A12))</f>
        <v>0.31</v>
      </c>
      <c r="F12" s="246" t="str">
        <f t="shared" ref="F12:F75" ca="1" si="3">IF(E12="","",INDIRECT("AO"&amp;$A12))</f>
        <v>1,2,4-trimethylbenzene  (1,3,4-trimethylbenzene)</v>
      </c>
      <c r="G12" s="246">
        <f t="shared" ref="G12:G75" ca="1" si="4">IF(F12="","",INDIRECT("AQ"&amp;$A12))</f>
        <v>120.19158</v>
      </c>
      <c r="H12" s="247">
        <f ca="1">IF(G12="","",IF(VLOOKUP(VOC!D12,'Species Data'!B:F,5,FALSE)=0,"X",IF(G12&lt;44.1,2,1)))</f>
        <v>1</v>
      </c>
      <c r="I12" s="247">
        <f t="shared" ref="I12:I75" ca="1" si="5">IF(H12="","",SUMIF(D:D,D12,E:E)/($E$9/100))</f>
        <v>0.30999999999999994</v>
      </c>
      <c r="J12" s="248">
        <f ca="1">IF(I12="","",IF(COUNTIF($D$12:D12,D12)=1,IF(H12=1,I12*H12,IF(H12="X","X",0)),0))</f>
        <v>0.30999999999999994</v>
      </c>
      <c r="K12" s="249">
        <f t="shared" ref="K12:K75" ca="1" si="6">IF(J12="","",IF(J12="X",0,J12/$J$9*100))</f>
        <v>0.53913043478260891</v>
      </c>
      <c r="L12" s="316" t="s">
        <v>1002</v>
      </c>
      <c r="M12" s="316" t="s">
        <v>222</v>
      </c>
      <c r="N12" s="316" t="s">
        <v>258</v>
      </c>
      <c r="O12" s="317">
        <v>36342</v>
      </c>
      <c r="P12" s="316" t="s">
        <v>1003</v>
      </c>
      <c r="Q12" s="318">
        <v>100</v>
      </c>
      <c r="R12" s="316" t="s">
        <v>490</v>
      </c>
      <c r="S12" s="316" t="s">
        <v>490</v>
      </c>
      <c r="T12" s="316" t="s">
        <v>490</v>
      </c>
      <c r="U12" s="316" t="s">
        <v>490</v>
      </c>
      <c r="V12" s="318" t="b">
        <v>1</v>
      </c>
      <c r="W12" s="319"/>
      <c r="X12" s="319"/>
      <c r="Y12" s="319"/>
      <c r="Z12" s="319"/>
      <c r="AA12" s="316" t="s">
        <v>490</v>
      </c>
      <c r="AB12" s="316" t="s">
        <v>490</v>
      </c>
      <c r="AC12" s="316" t="s">
        <v>550</v>
      </c>
      <c r="AD12" s="318">
        <v>1.2396180000000001</v>
      </c>
      <c r="AE12" s="318">
        <v>30</v>
      </c>
      <c r="AF12" s="318">
        <v>0.31</v>
      </c>
      <c r="AG12" s="318">
        <v>-99</v>
      </c>
      <c r="AH12" s="316" t="s">
        <v>222</v>
      </c>
      <c r="AI12" s="316" t="s">
        <v>258</v>
      </c>
      <c r="AJ12" s="316" t="s">
        <v>350</v>
      </c>
      <c r="AK12" s="316" t="s">
        <v>490</v>
      </c>
      <c r="AL12" s="316" t="s">
        <v>490</v>
      </c>
      <c r="AM12" s="318" t="b">
        <v>1</v>
      </c>
      <c r="AN12" s="318" t="b">
        <v>0</v>
      </c>
      <c r="AO12" s="316" t="s">
        <v>351</v>
      </c>
      <c r="AP12" s="316" t="s">
        <v>352</v>
      </c>
      <c r="AQ12" s="318">
        <v>120.19158</v>
      </c>
      <c r="AR12" s="318" t="b">
        <v>0</v>
      </c>
      <c r="AS12" s="316" t="s">
        <v>1004</v>
      </c>
    </row>
    <row r="13" spans="1:45" x14ac:dyDescent="0.25">
      <c r="A13" s="250">
        <f t="shared" ref="A13:A44" si="7">IF(B13="","",A12+1)</f>
        <v>13</v>
      </c>
      <c r="B13" s="251" t="str">
        <f t="shared" si="0"/>
        <v>Refinery - Chevron FCC - August 6-17, 1996</v>
      </c>
      <c r="C13" s="251" t="str">
        <f ca="1">IF(B13="","",VLOOKUP(D13,'Species Data'!B:E,4,FALSE))</f>
        <v>trimethben135</v>
      </c>
      <c r="D13" s="251">
        <f t="shared" ca="1" si="1"/>
        <v>44</v>
      </c>
      <c r="E13" s="251">
        <f t="shared" ca="1" si="2"/>
        <v>0.16999999999999998</v>
      </c>
      <c r="F13" s="251" t="str">
        <f t="shared" ca="1" si="3"/>
        <v>1,3,5-trimethylbenzene</v>
      </c>
      <c r="G13" s="251">
        <f t="shared" ca="1" si="4"/>
        <v>120.19158</v>
      </c>
      <c r="H13" s="208">
        <f ca="1">IF(G13="","",IF(VLOOKUP(VOC!D13,'Species Data'!B:F,5,FALSE)=0,"X",IF(G13&lt;44.1,2,1)))</f>
        <v>1</v>
      </c>
      <c r="I13" s="208">
        <f t="shared" ca="1" si="5"/>
        <v>0.16999999999999996</v>
      </c>
      <c r="J13" s="252">
        <f ca="1">IF(I13="","",IF(COUNTIF($D$12:D13,D13)=1,IF(H13=1,I13*H13,IF(H13="X","X",0)),0))</f>
        <v>0.16999999999999996</v>
      </c>
      <c r="K13" s="253">
        <f t="shared" ca="1" si="6"/>
        <v>0.29565217391304355</v>
      </c>
      <c r="L13" s="316" t="s">
        <v>1002</v>
      </c>
      <c r="M13" s="316" t="s">
        <v>222</v>
      </c>
      <c r="N13" s="316" t="s">
        <v>258</v>
      </c>
      <c r="O13" s="317">
        <v>36342</v>
      </c>
      <c r="P13" s="316" t="s">
        <v>1003</v>
      </c>
      <c r="Q13" s="318">
        <v>100</v>
      </c>
      <c r="R13" s="316" t="s">
        <v>490</v>
      </c>
      <c r="S13" s="316" t="s">
        <v>490</v>
      </c>
      <c r="T13" s="316" t="s">
        <v>490</v>
      </c>
      <c r="U13" s="316" t="s">
        <v>490</v>
      </c>
      <c r="V13" s="318" t="b">
        <v>1</v>
      </c>
      <c r="W13" s="319"/>
      <c r="X13" s="319"/>
      <c r="Y13" s="319"/>
      <c r="Z13" s="319"/>
      <c r="AA13" s="316" t="s">
        <v>490</v>
      </c>
      <c r="AB13" s="316" t="s">
        <v>490</v>
      </c>
      <c r="AC13" s="316" t="s">
        <v>550</v>
      </c>
      <c r="AD13" s="318">
        <v>1.2396180000000001</v>
      </c>
      <c r="AE13" s="318">
        <v>44</v>
      </c>
      <c r="AF13" s="318">
        <v>0.16999999999999998</v>
      </c>
      <c r="AG13" s="318">
        <v>-99</v>
      </c>
      <c r="AH13" s="316" t="s">
        <v>222</v>
      </c>
      <c r="AI13" s="316" t="s">
        <v>258</v>
      </c>
      <c r="AJ13" s="316" t="s">
        <v>390</v>
      </c>
      <c r="AK13" s="316" t="s">
        <v>490</v>
      </c>
      <c r="AL13" s="316" t="s">
        <v>391</v>
      </c>
      <c r="AM13" s="318" t="b">
        <v>1</v>
      </c>
      <c r="AN13" s="318" t="b">
        <v>0</v>
      </c>
      <c r="AO13" s="316" t="s">
        <v>392</v>
      </c>
      <c r="AP13" s="316" t="s">
        <v>393</v>
      </c>
      <c r="AQ13" s="318">
        <v>120.19158</v>
      </c>
      <c r="AR13" s="318" t="b">
        <v>0</v>
      </c>
      <c r="AS13" s="316" t="s">
        <v>1004</v>
      </c>
    </row>
    <row r="14" spans="1:45" x14ac:dyDescent="0.25">
      <c r="A14" s="250">
        <f t="shared" si="7"/>
        <v>14</v>
      </c>
      <c r="B14" s="251" t="str">
        <f t="shared" si="0"/>
        <v>Refinery - Chevron FCC - August 6-17, 1996</v>
      </c>
      <c r="C14" s="251" t="str">
        <f ca="1">IF(B14="","",VLOOKUP(D14,'Species Data'!B:E,4,FALSE))</f>
        <v>1_butene</v>
      </c>
      <c r="D14" s="251">
        <f t="shared" ca="1" si="1"/>
        <v>64</v>
      </c>
      <c r="E14" s="251">
        <f t="shared" ca="1" si="2"/>
        <v>0.8899999999999999</v>
      </c>
      <c r="F14" s="251" t="str">
        <f t="shared" ca="1" si="3"/>
        <v>1-butene</v>
      </c>
      <c r="G14" s="251">
        <f t="shared" ca="1" si="4"/>
        <v>56.106319999999997</v>
      </c>
      <c r="H14" s="208">
        <f ca="1">IF(G14="","",IF(VLOOKUP(VOC!D14,'Species Data'!B:F,5,FALSE)=0,"X",IF(G14&lt;44.1,2,1)))</f>
        <v>1</v>
      </c>
      <c r="I14" s="208">
        <f t="shared" ca="1" si="5"/>
        <v>0.88999999999999968</v>
      </c>
      <c r="J14" s="252">
        <f ca="1">IF(I14="","",IF(COUNTIF($D$12:D14,D14)=1,IF(H14=1,I14*H14,IF(H14="X","X",0)),0))</f>
        <v>0.88999999999999968</v>
      </c>
      <c r="K14" s="253">
        <f t="shared" ca="1" si="6"/>
        <v>1.5478260869565219</v>
      </c>
      <c r="L14" s="316" t="s">
        <v>1002</v>
      </c>
      <c r="M14" s="316" t="s">
        <v>222</v>
      </c>
      <c r="N14" s="316" t="s">
        <v>258</v>
      </c>
      <c r="O14" s="317">
        <v>36342</v>
      </c>
      <c r="P14" s="316" t="s">
        <v>1003</v>
      </c>
      <c r="Q14" s="318">
        <v>100</v>
      </c>
      <c r="R14" s="316" t="s">
        <v>490</v>
      </c>
      <c r="S14" s="316" t="s">
        <v>490</v>
      </c>
      <c r="T14" s="316" t="s">
        <v>490</v>
      </c>
      <c r="U14" s="316" t="s">
        <v>490</v>
      </c>
      <c r="V14" s="318" t="b">
        <v>1</v>
      </c>
      <c r="W14" s="319"/>
      <c r="X14" s="319"/>
      <c r="Y14" s="319"/>
      <c r="Z14" s="319"/>
      <c r="AA14" s="316" t="s">
        <v>490</v>
      </c>
      <c r="AB14" s="316" t="s">
        <v>490</v>
      </c>
      <c r="AC14" s="316" t="s">
        <v>550</v>
      </c>
      <c r="AD14" s="318">
        <v>1.2396180000000001</v>
      </c>
      <c r="AE14" s="318">
        <v>64</v>
      </c>
      <c r="AF14" s="318">
        <v>0.8899999999999999</v>
      </c>
      <c r="AG14" s="318">
        <v>-99</v>
      </c>
      <c r="AH14" s="316" t="s">
        <v>222</v>
      </c>
      <c r="AI14" s="316" t="s">
        <v>258</v>
      </c>
      <c r="AJ14" s="316" t="s">
        <v>1005</v>
      </c>
      <c r="AK14" s="316" t="s">
        <v>490</v>
      </c>
      <c r="AL14" s="316" t="s">
        <v>1006</v>
      </c>
      <c r="AM14" s="318" t="b">
        <v>1</v>
      </c>
      <c r="AN14" s="318" t="b">
        <v>0</v>
      </c>
      <c r="AO14" s="316" t="s">
        <v>1007</v>
      </c>
      <c r="AP14" s="316" t="s">
        <v>1008</v>
      </c>
      <c r="AQ14" s="318">
        <v>56.106319999999997</v>
      </c>
      <c r="AR14" s="318" t="b">
        <v>0</v>
      </c>
      <c r="AS14" s="316" t="s">
        <v>1004</v>
      </c>
    </row>
    <row r="15" spans="1:45" x14ac:dyDescent="0.25">
      <c r="A15" s="250">
        <f t="shared" si="7"/>
        <v>15</v>
      </c>
      <c r="B15" s="251" t="str">
        <f t="shared" si="0"/>
        <v>Refinery - Chevron FCC - August 6-17, 1996</v>
      </c>
      <c r="C15" s="251" t="str">
        <f ca="1">IF(B15="","",VLOOKUP(D15,'Species Data'!B:E,4,FALSE))</f>
        <v>ethben12</v>
      </c>
      <c r="D15" s="251">
        <f t="shared" ca="1" si="1"/>
        <v>80</v>
      </c>
      <c r="E15" s="251">
        <f t="shared" ca="1" si="2"/>
        <v>9.9999999999999992E-2</v>
      </c>
      <c r="F15" s="251" t="str">
        <f t="shared" ca="1" si="3"/>
        <v>1-Methyl-2-ethylbenzene</v>
      </c>
      <c r="G15" s="251">
        <f t="shared" ca="1" si="4"/>
        <v>120.19158</v>
      </c>
      <c r="H15" s="208">
        <f ca="1">IF(G15="","",IF(VLOOKUP(VOC!D15,'Species Data'!B:F,5,FALSE)=0,"X",IF(G15&lt;44.1,2,1)))</f>
        <v>1</v>
      </c>
      <c r="I15" s="208">
        <f t="shared" ca="1" si="5"/>
        <v>9.9999999999999964E-2</v>
      </c>
      <c r="J15" s="252">
        <f ca="1">IF(I15="","",IF(COUNTIF($D$12:D15,D15)=1,IF(H15=1,I15*H15,IF(H15="X","X",0)),0))</f>
        <v>9.9999999999999964E-2</v>
      </c>
      <c r="K15" s="253">
        <f t="shared" ca="1" si="6"/>
        <v>0.17391304347826089</v>
      </c>
      <c r="L15" s="316" t="s">
        <v>1002</v>
      </c>
      <c r="M15" s="316" t="s">
        <v>222</v>
      </c>
      <c r="N15" s="316" t="s">
        <v>258</v>
      </c>
      <c r="O15" s="317">
        <v>36342</v>
      </c>
      <c r="P15" s="316" t="s">
        <v>1003</v>
      </c>
      <c r="Q15" s="318">
        <v>100</v>
      </c>
      <c r="R15" s="316" t="s">
        <v>490</v>
      </c>
      <c r="S15" s="316" t="s">
        <v>490</v>
      </c>
      <c r="T15" s="316" t="s">
        <v>490</v>
      </c>
      <c r="U15" s="316" t="s">
        <v>490</v>
      </c>
      <c r="V15" s="318" t="b">
        <v>1</v>
      </c>
      <c r="W15" s="319"/>
      <c r="X15" s="319"/>
      <c r="Y15" s="319"/>
      <c r="Z15" s="319"/>
      <c r="AA15" s="316" t="s">
        <v>490</v>
      </c>
      <c r="AB15" s="316" t="s">
        <v>490</v>
      </c>
      <c r="AC15" s="316" t="s">
        <v>550</v>
      </c>
      <c r="AD15" s="318">
        <v>1.2396180000000001</v>
      </c>
      <c r="AE15" s="318">
        <v>80</v>
      </c>
      <c r="AF15" s="318">
        <v>9.9999999999999992E-2</v>
      </c>
      <c r="AG15" s="318">
        <v>-99</v>
      </c>
      <c r="AH15" s="316" t="s">
        <v>222</v>
      </c>
      <c r="AI15" s="316" t="s">
        <v>258</v>
      </c>
      <c r="AJ15" s="316" t="s">
        <v>398</v>
      </c>
      <c r="AK15" s="316" t="s">
        <v>490</v>
      </c>
      <c r="AL15" s="316" t="s">
        <v>425</v>
      </c>
      <c r="AM15" s="318" t="b">
        <v>1</v>
      </c>
      <c r="AN15" s="318" t="b">
        <v>0</v>
      </c>
      <c r="AO15" s="316" t="s">
        <v>399</v>
      </c>
      <c r="AP15" s="316" t="s">
        <v>400</v>
      </c>
      <c r="AQ15" s="318">
        <v>120.19158</v>
      </c>
      <c r="AR15" s="318" t="b">
        <v>0</v>
      </c>
      <c r="AS15" s="316" t="s">
        <v>1004</v>
      </c>
    </row>
    <row r="16" spans="1:45" ht="15" customHeight="1" x14ac:dyDescent="0.25">
      <c r="A16" s="250">
        <f t="shared" si="7"/>
        <v>16</v>
      </c>
      <c r="B16" s="251" t="str">
        <f t="shared" si="0"/>
        <v>Refinery - Chevron FCC - August 6-17, 1996</v>
      </c>
      <c r="C16" s="251" t="str">
        <f ca="1">IF(B16="","",VLOOKUP(D16,'Species Data'!B:E,4,FALSE))</f>
        <v>ethben13</v>
      </c>
      <c r="D16" s="251">
        <f t="shared" ca="1" si="1"/>
        <v>89</v>
      </c>
      <c r="E16" s="251">
        <f t="shared" ca="1" si="2"/>
        <v>0.21999999999999997</v>
      </c>
      <c r="F16" s="251" t="str">
        <f t="shared" ca="1" si="3"/>
        <v>1-Methyl-3-ethylbenzene (3-Ethyltoluene)</v>
      </c>
      <c r="G16" s="251">
        <f t="shared" ca="1" si="4"/>
        <v>120.19158</v>
      </c>
      <c r="H16" s="208">
        <f ca="1">IF(G16="","",IF(VLOOKUP(VOC!D16,'Species Data'!B:F,5,FALSE)=0,"X",IF(G16&lt;44.1,2,1)))</f>
        <v>1</v>
      </c>
      <c r="I16" s="208">
        <f t="shared" ca="1" si="5"/>
        <v>0.21999999999999992</v>
      </c>
      <c r="J16" s="252">
        <f ca="1">IF(I16="","",IF(COUNTIF($D$12:D16,D16)=1,IF(H16=1,I16*H16,IF(H16="X","X",0)),0))</f>
        <v>0.21999999999999992</v>
      </c>
      <c r="K16" s="253">
        <f t="shared" ca="1" si="6"/>
        <v>0.38260869565217398</v>
      </c>
      <c r="L16" s="316" t="s">
        <v>1002</v>
      </c>
      <c r="M16" s="316" t="s">
        <v>222</v>
      </c>
      <c r="N16" s="316" t="s">
        <v>258</v>
      </c>
      <c r="O16" s="317">
        <v>36342</v>
      </c>
      <c r="P16" s="316" t="s">
        <v>1003</v>
      </c>
      <c r="Q16" s="318">
        <v>100</v>
      </c>
      <c r="R16" s="316" t="s">
        <v>490</v>
      </c>
      <c r="S16" s="316" t="s">
        <v>490</v>
      </c>
      <c r="T16" s="316" t="s">
        <v>490</v>
      </c>
      <c r="U16" s="316" t="s">
        <v>490</v>
      </c>
      <c r="V16" s="318" t="b">
        <v>1</v>
      </c>
      <c r="W16" s="319"/>
      <c r="X16" s="319"/>
      <c r="Y16" s="319"/>
      <c r="Z16" s="319"/>
      <c r="AA16" s="316" t="s">
        <v>490</v>
      </c>
      <c r="AB16" s="316" t="s">
        <v>490</v>
      </c>
      <c r="AC16" s="316" t="s">
        <v>550</v>
      </c>
      <c r="AD16" s="318">
        <v>1.2396180000000001</v>
      </c>
      <c r="AE16" s="318">
        <v>89</v>
      </c>
      <c r="AF16" s="318">
        <v>0.21999999999999997</v>
      </c>
      <c r="AG16" s="318">
        <v>-99</v>
      </c>
      <c r="AH16" s="316" t="s">
        <v>222</v>
      </c>
      <c r="AI16" s="316" t="s">
        <v>258</v>
      </c>
      <c r="AJ16" s="316" t="s">
        <v>401</v>
      </c>
      <c r="AK16" s="316" t="s">
        <v>490</v>
      </c>
      <c r="AL16" s="316" t="s">
        <v>426</v>
      </c>
      <c r="AM16" s="318" t="b">
        <v>1</v>
      </c>
      <c r="AN16" s="318" t="b">
        <v>0</v>
      </c>
      <c r="AO16" s="316" t="s">
        <v>402</v>
      </c>
      <c r="AP16" s="316" t="s">
        <v>403</v>
      </c>
      <c r="AQ16" s="318">
        <v>120.19158</v>
      </c>
      <c r="AR16" s="318" t="b">
        <v>0</v>
      </c>
      <c r="AS16" s="316" t="s">
        <v>1004</v>
      </c>
    </row>
    <row r="17" spans="1:45" x14ac:dyDescent="0.25">
      <c r="A17" s="250">
        <f t="shared" si="7"/>
        <v>17</v>
      </c>
      <c r="B17" s="251" t="str">
        <f t="shared" si="0"/>
        <v>Refinery - Chevron FCC - August 6-17, 1996</v>
      </c>
      <c r="C17" s="251" t="str">
        <f ca="1">IF(B17="","",VLOOKUP(D17,'Species Data'!B:E,4,FALSE))</f>
        <v>1_pentene</v>
      </c>
      <c r="D17" s="251">
        <f t="shared" ca="1" si="1"/>
        <v>108</v>
      </c>
      <c r="E17" s="251">
        <f t="shared" ca="1" si="2"/>
        <v>0.36</v>
      </c>
      <c r="F17" s="251" t="str">
        <f t="shared" ca="1" si="3"/>
        <v>1-pentene</v>
      </c>
      <c r="G17" s="251">
        <f t="shared" ca="1" si="4"/>
        <v>70.132900000000006</v>
      </c>
      <c r="H17" s="208">
        <f ca="1">IF(G17="","",IF(VLOOKUP(VOC!D17,'Species Data'!B:F,5,FALSE)=0,"X",IF(G17&lt;44.1,2,1)))</f>
        <v>1</v>
      </c>
      <c r="I17" s="208">
        <f t="shared" ca="1" si="5"/>
        <v>0.35999999999999993</v>
      </c>
      <c r="J17" s="252">
        <f ca="1">IF(I17="","",IF(COUNTIF($D$12:D17,D17)=1,IF(H17=1,I17*H17,IF(H17="X","X",0)),0))</f>
        <v>0.35999999999999993</v>
      </c>
      <c r="K17" s="253">
        <f t="shared" ca="1" si="6"/>
        <v>0.62608695652173929</v>
      </c>
      <c r="L17" s="316" t="s">
        <v>1002</v>
      </c>
      <c r="M17" s="316" t="s">
        <v>222</v>
      </c>
      <c r="N17" s="316" t="s">
        <v>258</v>
      </c>
      <c r="O17" s="317">
        <v>36342</v>
      </c>
      <c r="P17" s="316" t="s">
        <v>1003</v>
      </c>
      <c r="Q17" s="318">
        <v>100</v>
      </c>
      <c r="R17" s="316" t="s">
        <v>490</v>
      </c>
      <c r="S17" s="316" t="s">
        <v>490</v>
      </c>
      <c r="T17" s="316" t="s">
        <v>490</v>
      </c>
      <c r="U17" s="316" t="s">
        <v>490</v>
      </c>
      <c r="V17" s="318" t="b">
        <v>1</v>
      </c>
      <c r="W17" s="319"/>
      <c r="X17" s="319"/>
      <c r="Y17" s="319"/>
      <c r="Z17" s="319"/>
      <c r="AA17" s="316" t="s">
        <v>490</v>
      </c>
      <c r="AB17" s="316" t="s">
        <v>490</v>
      </c>
      <c r="AC17" s="316" t="s">
        <v>550</v>
      </c>
      <c r="AD17" s="318">
        <v>1.2396180000000001</v>
      </c>
      <c r="AE17" s="318">
        <v>108</v>
      </c>
      <c r="AF17" s="318">
        <v>0.36</v>
      </c>
      <c r="AG17" s="318">
        <v>-99</v>
      </c>
      <c r="AH17" s="316" t="s">
        <v>222</v>
      </c>
      <c r="AI17" s="316" t="s">
        <v>258</v>
      </c>
      <c r="AJ17" s="316" t="s">
        <v>1009</v>
      </c>
      <c r="AK17" s="316" t="s">
        <v>490</v>
      </c>
      <c r="AL17" s="316" t="s">
        <v>1010</v>
      </c>
      <c r="AM17" s="318" t="b">
        <v>1</v>
      </c>
      <c r="AN17" s="318" t="b">
        <v>0</v>
      </c>
      <c r="AO17" s="316" t="s">
        <v>1011</v>
      </c>
      <c r="AP17" s="316" t="s">
        <v>1012</v>
      </c>
      <c r="AQ17" s="318">
        <v>70.132900000000006</v>
      </c>
      <c r="AR17" s="318" t="b">
        <v>0</v>
      </c>
      <c r="AS17" s="316" t="s">
        <v>1004</v>
      </c>
    </row>
    <row r="18" spans="1:45" x14ac:dyDescent="0.25">
      <c r="A18" s="250">
        <f t="shared" si="7"/>
        <v>18</v>
      </c>
      <c r="B18" s="251" t="str">
        <f t="shared" si="0"/>
        <v>Refinery - Chevron FCC - August 6-17, 1996</v>
      </c>
      <c r="C18" s="251" t="str">
        <f ca="1">IF(B18="","",VLOOKUP(D18,'Species Data'!B:E,4,FALSE))</f>
        <v>dimetbut22</v>
      </c>
      <c r="D18" s="251">
        <f t="shared" ca="1" si="1"/>
        <v>122</v>
      </c>
      <c r="E18" s="251">
        <f t="shared" ca="1" si="2"/>
        <v>6.9999999999999993E-2</v>
      </c>
      <c r="F18" s="251" t="str">
        <f t="shared" ca="1" si="3"/>
        <v>2,2-dimethylbutane</v>
      </c>
      <c r="G18" s="251">
        <f t="shared" ca="1" si="4"/>
        <v>86.175359999999998</v>
      </c>
      <c r="H18" s="208">
        <f ca="1">IF(G18="","",IF(VLOOKUP(VOC!D18,'Species Data'!B:F,5,FALSE)=0,"X",IF(G18&lt;44.1,2,1)))</f>
        <v>1</v>
      </c>
      <c r="I18" s="208">
        <f t="shared" ca="1" si="5"/>
        <v>6.9999999999999979E-2</v>
      </c>
      <c r="J18" s="252">
        <f ca="1">IF(I18="","",IF(COUNTIF($D$12:D18,D18)=1,IF(H18=1,I18*H18,IF(H18="X","X",0)),0))</f>
        <v>6.9999999999999979E-2</v>
      </c>
      <c r="K18" s="253">
        <f t="shared" ca="1" si="6"/>
        <v>0.12173913043478264</v>
      </c>
      <c r="L18" s="316" t="s">
        <v>1002</v>
      </c>
      <c r="M18" s="316" t="s">
        <v>222</v>
      </c>
      <c r="N18" s="316" t="s">
        <v>258</v>
      </c>
      <c r="O18" s="317">
        <v>36342</v>
      </c>
      <c r="P18" s="316" t="s">
        <v>1003</v>
      </c>
      <c r="Q18" s="318">
        <v>100</v>
      </c>
      <c r="R18" s="316" t="s">
        <v>490</v>
      </c>
      <c r="S18" s="316" t="s">
        <v>490</v>
      </c>
      <c r="T18" s="316" t="s">
        <v>490</v>
      </c>
      <c r="U18" s="316" t="s">
        <v>490</v>
      </c>
      <c r="V18" s="318" t="b">
        <v>1</v>
      </c>
      <c r="W18" s="319"/>
      <c r="X18" s="319"/>
      <c r="Y18" s="319"/>
      <c r="Z18" s="319"/>
      <c r="AA18" s="316" t="s">
        <v>490</v>
      </c>
      <c r="AB18" s="316" t="s">
        <v>490</v>
      </c>
      <c r="AC18" s="316" t="s">
        <v>550</v>
      </c>
      <c r="AD18" s="318">
        <v>1.2396180000000001</v>
      </c>
      <c r="AE18" s="318">
        <v>122</v>
      </c>
      <c r="AF18" s="318">
        <v>6.9999999999999993E-2</v>
      </c>
      <c r="AG18" s="318">
        <v>-99</v>
      </c>
      <c r="AH18" s="316" t="s">
        <v>222</v>
      </c>
      <c r="AI18" s="316" t="s">
        <v>258</v>
      </c>
      <c r="AJ18" s="316" t="s">
        <v>294</v>
      </c>
      <c r="AK18" s="316" t="s">
        <v>490</v>
      </c>
      <c r="AL18" s="316" t="s">
        <v>374</v>
      </c>
      <c r="AM18" s="318" t="b">
        <v>1</v>
      </c>
      <c r="AN18" s="318" t="b">
        <v>0</v>
      </c>
      <c r="AO18" s="316" t="s">
        <v>295</v>
      </c>
      <c r="AP18" s="316" t="s">
        <v>296</v>
      </c>
      <c r="AQ18" s="318">
        <v>86.175359999999998</v>
      </c>
      <c r="AR18" s="318" t="b">
        <v>0</v>
      </c>
      <c r="AS18" s="316" t="s">
        <v>1004</v>
      </c>
    </row>
    <row r="19" spans="1:45" x14ac:dyDescent="0.25">
      <c r="A19" s="250">
        <f t="shared" si="7"/>
        <v>19</v>
      </c>
      <c r="B19" s="251" t="str">
        <f t="shared" si="0"/>
        <v>Refinery - Chevron FCC - August 6-17, 1996</v>
      </c>
      <c r="C19" s="251" t="str">
        <f ca="1">IF(B19="","",VLOOKUP(D19,'Species Data'!B:E,4,FALSE))</f>
        <v>trimentpen3</v>
      </c>
      <c r="D19" s="251">
        <f t="shared" ca="1" si="1"/>
        <v>130</v>
      </c>
      <c r="E19" s="251">
        <f t="shared" ca="1" si="2"/>
        <v>0.6</v>
      </c>
      <c r="F19" s="251" t="str">
        <f t="shared" ca="1" si="3"/>
        <v>2,3,4-trimethylpentane</v>
      </c>
      <c r="G19" s="251">
        <f t="shared" ca="1" si="4"/>
        <v>114.22852</v>
      </c>
      <c r="H19" s="208">
        <f ca="1">IF(G19="","",IF(VLOOKUP(VOC!D19,'Species Data'!B:F,5,FALSE)=0,"X",IF(G19&lt;44.1,2,1)))</f>
        <v>1</v>
      </c>
      <c r="I19" s="208">
        <f t="shared" ca="1" si="5"/>
        <v>0.59999999999999987</v>
      </c>
      <c r="J19" s="252">
        <f ca="1">IF(I19="","",IF(COUNTIF($D$12:D19,D19)=1,IF(H19=1,I19*H19,IF(H19="X","X",0)),0))</f>
        <v>0.59999999999999987</v>
      </c>
      <c r="K19" s="253">
        <f t="shared" ca="1" si="6"/>
        <v>1.0434782608695654</v>
      </c>
      <c r="L19" s="316" t="s">
        <v>1002</v>
      </c>
      <c r="M19" s="316" t="s">
        <v>222</v>
      </c>
      <c r="N19" s="316" t="s">
        <v>258</v>
      </c>
      <c r="O19" s="317">
        <v>36342</v>
      </c>
      <c r="P19" s="316" t="s">
        <v>1003</v>
      </c>
      <c r="Q19" s="318">
        <v>100</v>
      </c>
      <c r="R19" s="316" t="s">
        <v>490</v>
      </c>
      <c r="S19" s="316" t="s">
        <v>490</v>
      </c>
      <c r="T19" s="316" t="s">
        <v>490</v>
      </c>
      <c r="U19" s="316" t="s">
        <v>490</v>
      </c>
      <c r="V19" s="318" t="b">
        <v>1</v>
      </c>
      <c r="W19" s="319"/>
      <c r="X19" s="319"/>
      <c r="Y19" s="319"/>
      <c r="Z19" s="319"/>
      <c r="AA19" s="316" t="s">
        <v>490</v>
      </c>
      <c r="AB19" s="316" t="s">
        <v>490</v>
      </c>
      <c r="AC19" s="316" t="s">
        <v>550</v>
      </c>
      <c r="AD19" s="318">
        <v>1.2396180000000001</v>
      </c>
      <c r="AE19" s="318">
        <v>130</v>
      </c>
      <c r="AF19" s="318">
        <v>0.6</v>
      </c>
      <c r="AG19" s="318">
        <v>-99</v>
      </c>
      <c r="AH19" s="316" t="s">
        <v>222</v>
      </c>
      <c r="AI19" s="316" t="s">
        <v>258</v>
      </c>
      <c r="AJ19" s="316" t="s">
        <v>394</v>
      </c>
      <c r="AK19" s="316" t="s">
        <v>490</v>
      </c>
      <c r="AL19" s="316" t="s">
        <v>395</v>
      </c>
      <c r="AM19" s="318" t="b">
        <v>1</v>
      </c>
      <c r="AN19" s="318" t="b">
        <v>0</v>
      </c>
      <c r="AO19" s="316" t="s">
        <v>396</v>
      </c>
      <c r="AP19" s="316" t="s">
        <v>397</v>
      </c>
      <c r="AQ19" s="318">
        <v>114.22852</v>
      </c>
      <c r="AR19" s="318" t="b">
        <v>0</v>
      </c>
      <c r="AS19" s="316" t="s">
        <v>1004</v>
      </c>
    </row>
    <row r="20" spans="1:45" x14ac:dyDescent="0.25">
      <c r="A20" s="250">
        <f t="shared" si="7"/>
        <v>20</v>
      </c>
      <c r="B20" s="251" t="str">
        <f t="shared" si="0"/>
        <v>Refinery - Chevron FCC - August 6-17, 1996</v>
      </c>
      <c r="C20" s="251" t="str">
        <f ca="1">IF(B20="","",VLOOKUP(D20,'Species Data'!B:E,4,FALSE))</f>
        <v>dimetbut</v>
      </c>
      <c r="D20" s="251">
        <f t="shared" ca="1" si="1"/>
        <v>136</v>
      </c>
      <c r="E20" s="251">
        <f t="shared" ca="1" si="2"/>
        <v>0.31</v>
      </c>
      <c r="F20" s="251" t="str">
        <f t="shared" ca="1" si="3"/>
        <v>2,3-dimethylbutane</v>
      </c>
      <c r="G20" s="251">
        <f t="shared" ca="1" si="4"/>
        <v>86.175359999999998</v>
      </c>
      <c r="H20" s="208">
        <f ca="1">IF(G20="","",IF(VLOOKUP(VOC!D20,'Species Data'!B:F,5,FALSE)=0,"X",IF(G20&lt;44.1,2,1)))</f>
        <v>1</v>
      </c>
      <c r="I20" s="208">
        <f t="shared" ca="1" si="5"/>
        <v>0.30999999999999994</v>
      </c>
      <c r="J20" s="252">
        <f ca="1">IF(I20="","",IF(COUNTIF($D$12:D20,D20)=1,IF(H20=1,I20*H20,IF(H20="X","X",0)),0))</f>
        <v>0.30999999999999994</v>
      </c>
      <c r="K20" s="253">
        <f t="shared" ca="1" si="6"/>
        <v>0.53913043478260891</v>
      </c>
      <c r="L20" s="316" t="s">
        <v>1002</v>
      </c>
      <c r="M20" s="316" t="s">
        <v>222</v>
      </c>
      <c r="N20" s="316" t="s">
        <v>258</v>
      </c>
      <c r="O20" s="317">
        <v>36342</v>
      </c>
      <c r="P20" s="316" t="s">
        <v>1003</v>
      </c>
      <c r="Q20" s="318">
        <v>100</v>
      </c>
      <c r="R20" s="316" t="s">
        <v>490</v>
      </c>
      <c r="S20" s="316" t="s">
        <v>490</v>
      </c>
      <c r="T20" s="316" t="s">
        <v>490</v>
      </c>
      <c r="U20" s="316" t="s">
        <v>490</v>
      </c>
      <c r="V20" s="318" t="b">
        <v>1</v>
      </c>
      <c r="W20" s="319"/>
      <c r="X20" s="319"/>
      <c r="Y20" s="319"/>
      <c r="Z20" s="319"/>
      <c r="AA20" s="316" t="s">
        <v>490</v>
      </c>
      <c r="AB20" s="316" t="s">
        <v>490</v>
      </c>
      <c r="AC20" s="316" t="s">
        <v>550</v>
      </c>
      <c r="AD20" s="318">
        <v>1.2396180000000001</v>
      </c>
      <c r="AE20" s="318">
        <v>136</v>
      </c>
      <c r="AF20" s="318">
        <v>0.31</v>
      </c>
      <c r="AG20" s="318">
        <v>-99</v>
      </c>
      <c r="AH20" s="316" t="s">
        <v>222</v>
      </c>
      <c r="AI20" s="316" t="s">
        <v>258</v>
      </c>
      <c r="AJ20" s="316" t="s">
        <v>297</v>
      </c>
      <c r="AK20" s="316" t="s">
        <v>490</v>
      </c>
      <c r="AL20" s="316" t="s">
        <v>551</v>
      </c>
      <c r="AM20" s="318" t="b">
        <v>1</v>
      </c>
      <c r="AN20" s="318" t="b">
        <v>0</v>
      </c>
      <c r="AO20" s="316" t="s">
        <v>298</v>
      </c>
      <c r="AP20" s="316" t="s">
        <v>299</v>
      </c>
      <c r="AQ20" s="318">
        <v>86.175359999999998</v>
      </c>
      <c r="AR20" s="318" t="b">
        <v>0</v>
      </c>
      <c r="AS20" s="316" t="s">
        <v>1004</v>
      </c>
    </row>
    <row r="21" spans="1:45" x14ac:dyDescent="0.25">
      <c r="A21" s="250">
        <f t="shared" si="7"/>
        <v>21</v>
      </c>
      <c r="B21" s="251" t="str">
        <f t="shared" si="0"/>
        <v>Refinery - Chevron FCC - August 6-17, 1996</v>
      </c>
      <c r="C21" s="251" t="str">
        <f ca="1">IF(B21="","",VLOOKUP(D21,'Species Data'!B:E,4,FALSE))</f>
        <v>dimetpen3</v>
      </c>
      <c r="D21" s="251">
        <f t="shared" ca="1" si="1"/>
        <v>140</v>
      </c>
      <c r="E21" s="251">
        <f t="shared" ca="1" si="2"/>
        <v>0.97</v>
      </c>
      <c r="F21" s="251" t="str">
        <f t="shared" ca="1" si="3"/>
        <v>2,3-dimethylpentane</v>
      </c>
      <c r="G21" s="251">
        <f t="shared" ca="1" si="4"/>
        <v>100.20194000000001</v>
      </c>
      <c r="H21" s="208">
        <f ca="1">IF(G21="","",IF(VLOOKUP(VOC!D21,'Species Data'!B:F,5,FALSE)=0,"X",IF(G21&lt;44.1,2,1)))</f>
        <v>1</v>
      </c>
      <c r="I21" s="208">
        <f t="shared" ca="1" si="5"/>
        <v>0.96999999999999975</v>
      </c>
      <c r="J21" s="252">
        <f ca="1">IF(I21="","",IF(COUNTIF($D$12:D21,D21)=1,IF(H21=1,I21*H21,IF(H21="X","X",0)),0))</f>
        <v>0.96999999999999975</v>
      </c>
      <c r="K21" s="253">
        <f t="shared" ca="1" si="6"/>
        <v>1.6869565217391309</v>
      </c>
      <c r="L21" s="316" t="s">
        <v>1002</v>
      </c>
      <c r="M21" s="316" t="s">
        <v>222</v>
      </c>
      <c r="N21" s="316" t="s">
        <v>258</v>
      </c>
      <c r="O21" s="317">
        <v>36342</v>
      </c>
      <c r="P21" s="316" t="s">
        <v>1003</v>
      </c>
      <c r="Q21" s="318">
        <v>100</v>
      </c>
      <c r="R21" s="316" t="s">
        <v>490</v>
      </c>
      <c r="S21" s="316" t="s">
        <v>490</v>
      </c>
      <c r="T21" s="316" t="s">
        <v>490</v>
      </c>
      <c r="U21" s="316" t="s">
        <v>490</v>
      </c>
      <c r="V21" s="318" t="b">
        <v>1</v>
      </c>
      <c r="W21" s="319"/>
      <c r="X21" s="319"/>
      <c r="Y21" s="319"/>
      <c r="Z21" s="319"/>
      <c r="AA21" s="316" t="s">
        <v>490</v>
      </c>
      <c r="AB21" s="316" t="s">
        <v>490</v>
      </c>
      <c r="AC21" s="316" t="s">
        <v>550</v>
      </c>
      <c r="AD21" s="318">
        <v>1.2396180000000001</v>
      </c>
      <c r="AE21" s="318">
        <v>140</v>
      </c>
      <c r="AF21" s="318">
        <v>0.97</v>
      </c>
      <c r="AG21" s="318">
        <v>-99</v>
      </c>
      <c r="AH21" s="316" t="s">
        <v>222</v>
      </c>
      <c r="AI21" s="316" t="s">
        <v>258</v>
      </c>
      <c r="AJ21" s="316" t="s">
        <v>300</v>
      </c>
      <c r="AK21" s="316" t="s">
        <v>490</v>
      </c>
      <c r="AL21" s="316" t="s">
        <v>375</v>
      </c>
      <c r="AM21" s="318" t="b">
        <v>1</v>
      </c>
      <c r="AN21" s="318" t="b">
        <v>0</v>
      </c>
      <c r="AO21" s="316" t="s">
        <v>301</v>
      </c>
      <c r="AP21" s="316" t="s">
        <v>302</v>
      </c>
      <c r="AQ21" s="318">
        <v>100.20194000000001</v>
      </c>
      <c r="AR21" s="318" t="b">
        <v>0</v>
      </c>
      <c r="AS21" s="316" t="s">
        <v>1004</v>
      </c>
    </row>
    <row r="22" spans="1:45" x14ac:dyDescent="0.25">
      <c r="A22" s="250">
        <f t="shared" si="7"/>
        <v>22</v>
      </c>
      <c r="B22" s="251" t="str">
        <f t="shared" si="0"/>
        <v>Refinery - Chevron FCC - August 6-17, 1996</v>
      </c>
      <c r="C22" s="251" t="str">
        <f ca="1">IF(B22="","",VLOOKUP(D22,'Species Data'!B:E,4,FALSE))</f>
        <v>dimetpen4</v>
      </c>
      <c r="D22" s="251">
        <f t="shared" ca="1" si="1"/>
        <v>152</v>
      </c>
      <c r="E22" s="251">
        <f t="shared" ca="1" si="2"/>
        <v>0.53999999999999992</v>
      </c>
      <c r="F22" s="251" t="str">
        <f t="shared" ca="1" si="3"/>
        <v>2,4-dimethylpentane</v>
      </c>
      <c r="G22" s="251">
        <f t="shared" ca="1" si="4"/>
        <v>100.20194000000001</v>
      </c>
      <c r="H22" s="208">
        <f ca="1">IF(G22="","",IF(VLOOKUP(VOC!D22,'Species Data'!B:F,5,FALSE)=0,"X",IF(G22&lt;44.1,2,1)))</f>
        <v>1</v>
      </c>
      <c r="I22" s="208">
        <f t="shared" ca="1" si="5"/>
        <v>0.53999999999999981</v>
      </c>
      <c r="J22" s="252">
        <f ca="1">IF(I22="","",IF(COUNTIF($D$12:D22,D22)=1,IF(H22=1,I22*H22,IF(H22="X","X",0)),0))</f>
        <v>0.53999999999999981</v>
      </c>
      <c r="K22" s="253">
        <f t="shared" ca="1" si="6"/>
        <v>0.93913043478260883</v>
      </c>
      <c r="L22" s="316" t="s">
        <v>1002</v>
      </c>
      <c r="M22" s="316" t="s">
        <v>222</v>
      </c>
      <c r="N22" s="316" t="s">
        <v>258</v>
      </c>
      <c r="O22" s="317">
        <v>36342</v>
      </c>
      <c r="P22" s="316" t="s">
        <v>1003</v>
      </c>
      <c r="Q22" s="318">
        <v>100</v>
      </c>
      <c r="R22" s="316" t="s">
        <v>490</v>
      </c>
      <c r="S22" s="316" t="s">
        <v>490</v>
      </c>
      <c r="T22" s="316" t="s">
        <v>490</v>
      </c>
      <c r="U22" s="316" t="s">
        <v>490</v>
      </c>
      <c r="V22" s="318" t="b">
        <v>1</v>
      </c>
      <c r="W22" s="319"/>
      <c r="X22" s="319"/>
      <c r="Y22" s="319"/>
      <c r="Z22" s="319"/>
      <c r="AA22" s="316" t="s">
        <v>490</v>
      </c>
      <c r="AB22" s="316" t="s">
        <v>490</v>
      </c>
      <c r="AC22" s="316" t="s">
        <v>550</v>
      </c>
      <c r="AD22" s="318">
        <v>1.2396180000000001</v>
      </c>
      <c r="AE22" s="318">
        <v>152</v>
      </c>
      <c r="AF22" s="318">
        <v>0.53999999999999992</v>
      </c>
      <c r="AG22" s="318">
        <v>-99</v>
      </c>
      <c r="AH22" s="316" t="s">
        <v>222</v>
      </c>
      <c r="AI22" s="316" t="s">
        <v>258</v>
      </c>
      <c r="AJ22" s="316" t="s">
        <v>303</v>
      </c>
      <c r="AK22" s="316" t="s">
        <v>490</v>
      </c>
      <c r="AL22" s="316" t="s">
        <v>376</v>
      </c>
      <c r="AM22" s="318" t="b">
        <v>1</v>
      </c>
      <c r="AN22" s="318" t="b">
        <v>0</v>
      </c>
      <c r="AO22" s="316" t="s">
        <v>304</v>
      </c>
      <c r="AP22" s="316" t="s">
        <v>305</v>
      </c>
      <c r="AQ22" s="318">
        <v>100.20194000000001</v>
      </c>
      <c r="AR22" s="318" t="b">
        <v>0</v>
      </c>
      <c r="AS22" s="316" t="s">
        <v>1004</v>
      </c>
    </row>
    <row r="23" spans="1:45" x14ac:dyDescent="0.25">
      <c r="A23" s="250">
        <f t="shared" si="7"/>
        <v>23</v>
      </c>
      <c r="B23" s="251" t="str">
        <f t="shared" si="0"/>
        <v>Refinery - Chevron FCC - August 6-17, 1996</v>
      </c>
      <c r="C23" s="251" t="str">
        <f ca="1">IF(B23="","",VLOOKUP(D23,'Species Data'!B:E,4,FALSE))</f>
        <v>methep2</v>
      </c>
      <c r="D23" s="251">
        <f t="shared" ca="1" si="1"/>
        <v>193</v>
      </c>
      <c r="E23" s="251">
        <f t="shared" ca="1" si="2"/>
        <v>0.31999999999999995</v>
      </c>
      <c r="F23" s="251" t="str">
        <f t="shared" ca="1" si="3"/>
        <v>2-methylheptane</v>
      </c>
      <c r="G23" s="251">
        <f t="shared" ca="1" si="4"/>
        <v>114.22852</v>
      </c>
      <c r="H23" s="208">
        <f ca="1">IF(G23="","",IF(VLOOKUP(VOC!D23,'Species Data'!B:F,5,FALSE)=0,"X",IF(G23&lt;44.1,2,1)))</f>
        <v>1</v>
      </c>
      <c r="I23" s="208">
        <f t="shared" ca="1" si="5"/>
        <v>0.3199999999999999</v>
      </c>
      <c r="J23" s="252">
        <f ca="1">IF(I23="","",IF(COUNTIF($D$12:D23,D23)=1,IF(H23=1,I23*H23,IF(H23="X","X",0)),0))</f>
        <v>0.3199999999999999</v>
      </c>
      <c r="K23" s="253">
        <f t="shared" ca="1" si="6"/>
        <v>0.5565217391304349</v>
      </c>
      <c r="L23" s="316" t="s">
        <v>1002</v>
      </c>
      <c r="M23" s="316" t="s">
        <v>222</v>
      </c>
      <c r="N23" s="316" t="s">
        <v>258</v>
      </c>
      <c r="O23" s="317">
        <v>36342</v>
      </c>
      <c r="P23" s="316" t="s">
        <v>1003</v>
      </c>
      <c r="Q23" s="318">
        <v>100</v>
      </c>
      <c r="R23" s="316" t="s">
        <v>490</v>
      </c>
      <c r="S23" s="316" t="s">
        <v>490</v>
      </c>
      <c r="T23" s="316" t="s">
        <v>490</v>
      </c>
      <c r="U23" s="316" t="s">
        <v>490</v>
      </c>
      <c r="V23" s="318" t="b">
        <v>1</v>
      </c>
      <c r="W23" s="319"/>
      <c r="X23" s="319"/>
      <c r="Y23" s="319"/>
      <c r="Z23" s="319"/>
      <c r="AA23" s="316" t="s">
        <v>490</v>
      </c>
      <c r="AB23" s="316" t="s">
        <v>490</v>
      </c>
      <c r="AC23" s="316" t="s">
        <v>550</v>
      </c>
      <c r="AD23" s="318">
        <v>1.2396180000000001</v>
      </c>
      <c r="AE23" s="318">
        <v>193</v>
      </c>
      <c r="AF23" s="318">
        <v>0.31999999999999995</v>
      </c>
      <c r="AG23" s="318">
        <v>-99</v>
      </c>
      <c r="AH23" s="316" t="s">
        <v>222</v>
      </c>
      <c r="AI23" s="316" t="s">
        <v>258</v>
      </c>
      <c r="AJ23" s="316" t="s">
        <v>306</v>
      </c>
      <c r="AK23" s="316" t="s">
        <v>490</v>
      </c>
      <c r="AL23" s="316" t="s">
        <v>377</v>
      </c>
      <c r="AM23" s="318" t="b">
        <v>1</v>
      </c>
      <c r="AN23" s="318" t="b">
        <v>0</v>
      </c>
      <c r="AO23" s="316" t="s">
        <v>307</v>
      </c>
      <c r="AP23" s="316" t="s">
        <v>308</v>
      </c>
      <c r="AQ23" s="318">
        <v>114.22852</v>
      </c>
      <c r="AR23" s="318" t="b">
        <v>0</v>
      </c>
      <c r="AS23" s="316" t="s">
        <v>1004</v>
      </c>
    </row>
    <row r="24" spans="1:45" x14ac:dyDescent="0.25">
      <c r="A24" s="250">
        <f t="shared" si="7"/>
        <v>24</v>
      </c>
      <c r="B24" s="251" t="str">
        <f t="shared" si="0"/>
        <v>Refinery - Chevron FCC - August 6-17, 1996</v>
      </c>
      <c r="C24" s="251" t="str">
        <f ca="1">IF(B24="","",VLOOKUP(D24,'Species Data'!B:E,4,FALSE))</f>
        <v>twomethex</v>
      </c>
      <c r="D24" s="251">
        <f t="shared" ca="1" si="1"/>
        <v>194</v>
      </c>
      <c r="E24" s="251">
        <f t="shared" ca="1" si="2"/>
        <v>0.43999999999999995</v>
      </c>
      <c r="F24" s="251" t="str">
        <f t="shared" ca="1" si="3"/>
        <v>2-methylhexane</v>
      </c>
      <c r="G24" s="251">
        <f t="shared" ca="1" si="4"/>
        <v>100.20194000000001</v>
      </c>
      <c r="H24" s="208">
        <f ca="1">IF(G24="","",IF(VLOOKUP(VOC!D24,'Species Data'!B:F,5,FALSE)=0,"X",IF(G24&lt;44.1,2,1)))</f>
        <v>1</v>
      </c>
      <c r="I24" s="208">
        <f t="shared" ca="1" si="5"/>
        <v>0.43999999999999984</v>
      </c>
      <c r="J24" s="252">
        <f ca="1">IF(I24="","",IF(COUNTIF($D$12:D24,D24)=1,IF(H24=1,I24*H24,IF(H24="X","X",0)),0))</f>
        <v>0.43999999999999984</v>
      </c>
      <c r="K24" s="253">
        <f t="shared" ca="1" si="6"/>
        <v>0.76521739130434796</v>
      </c>
      <c r="L24" s="316" t="s">
        <v>1002</v>
      </c>
      <c r="M24" s="316" t="s">
        <v>222</v>
      </c>
      <c r="N24" s="316" t="s">
        <v>258</v>
      </c>
      <c r="O24" s="317">
        <v>36342</v>
      </c>
      <c r="P24" s="316" t="s">
        <v>1003</v>
      </c>
      <c r="Q24" s="318">
        <v>100</v>
      </c>
      <c r="R24" s="316" t="s">
        <v>490</v>
      </c>
      <c r="S24" s="316" t="s">
        <v>490</v>
      </c>
      <c r="T24" s="316" t="s">
        <v>490</v>
      </c>
      <c r="U24" s="316" t="s">
        <v>490</v>
      </c>
      <c r="V24" s="318" t="b">
        <v>1</v>
      </c>
      <c r="W24" s="319"/>
      <c r="X24" s="319"/>
      <c r="Y24" s="319"/>
      <c r="Z24" s="319"/>
      <c r="AA24" s="316" t="s">
        <v>490</v>
      </c>
      <c r="AB24" s="316" t="s">
        <v>490</v>
      </c>
      <c r="AC24" s="316" t="s">
        <v>550</v>
      </c>
      <c r="AD24" s="318">
        <v>1.2396180000000001</v>
      </c>
      <c r="AE24" s="318">
        <v>194</v>
      </c>
      <c r="AF24" s="318">
        <v>0.43999999999999995</v>
      </c>
      <c r="AG24" s="318">
        <v>-99</v>
      </c>
      <c r="AH24" s="316" t="s">
        <v>222</v>
      </c>
      <c r="AI24" s="316" t="s">
        <v>258</v>
      </c>
      <c r="AJ24" s="316" t="s">
        <v>309</v>
      </c>
      <c r="AK24" s="316" t="s">
        <v>490</v>
      </c>
      <c r="AL24" s="316" t="s">
        <v>378</v>
      </c>
      <c r="AM24" s="318" t="b">
        <v>1</v>
      </c>
      <c r="AN24" s="318" t="b">
        <v>0</v>
      </c>
      <c r="AO24" s="316" t="s">
        <v>310</v>
      </c>
      <c r="AP24" s="316" t="s">
        <v>311</v>
      </c>
      <c r="AQ24" s="318">
        <v>100.20194000000001</v>
      </c>
      <c r="AR24" s="318" t="b">
        <v>0</v>
      </c>
      <c r="AS24" s="316" t="s">
        <v>1004</v>
      </c>
    </row>
    <row r="25" spans="1:45" ht="15" customHeight="1" x14ac:dyDescent="0.25">
      <c r="A25" s="250">
        <f t="shared" si="7"/>
        <v>25</v>
      </c>
      <c r="B25" s="251" t="str">
        <f t="shared" si="0"/>
        <v>Refinery - Chevron FCC - August 6-17, 1996</v>
      </c>
      <c r="C25" s="251" t="str">
        <f ca="1">IF(B25="","",VLOOKUP(D25,'Species Data'!B:E,4,FALSE))</f>
        <v>twometpen</v>
      </c>
      <c r="D25" s="251">
        <f t="shared" ca="1" si="1"/>
        <v>199</v>
      </c>
      <c r="E25" s="251">
        <f t="shared" ca="1" si="2"/>
        <v>1.17</v>
      </c>
      <c r="F25" s="251" t="str">
        <f t="shared" ca="1" si="3"/>
        <v>2-methylpentane (isohexane)</v>
      </c>
      <c r="G25" s="251">
        <f t="shared" ca="1" si="4"/>
        <v>86.175359999999998</v>
      </c>
      <c r="H25" s="208">
        <f ca="1">IF(G25="","",IF(VLOOKUP(VOC!D25,'Species Data'!B:F,5,FALSE)=0,"X",IF(G25&lt;44.1,2,1)))</f>
        <v>1</v>
      </c>
      <c r="I25" s="208">
        <f t="shared" ca="1" si="5"/>
        <v>1.1699999999999997</v>
      </c>
      <c r="J25" s="252">
        <f ca="1">IF(I25="","",IF(COUNTIF($D$12:D25,D25)=1,IF(H25=1,I25*H25,IF(H25="X","X",0)),0))</f>
        <v>1.1699999999999997</v>
      </c>
      <c r="K25" s="253">
        <f t="shared" ca="1" si="6"/>
        <v>2.0347826086956529</v>
      </c>
      <c r="L25" s="316" t="s">
        <v>1002</v>
      </c>
      <c r="M25" s="316" t="s">
        <v>222</v>
      </c>
      <c r="N25" s="316" t="s">
        <v>258</v>
      </c>
      <c r="O25" s="317">
        <v>36342</v>
      </c>
      <c r="P25" s="316" t="s">
        <v>1003</v>
      </c>
      <c r="Q25" s="318">
        <v>100</v>
      </c>
      <c r="R25" s="316" t="s">
        <v>490</v>
      </c>
      <c r="S25" s="316" t="s">
        <v>490</v>
      </c>
      <c r="T25" s="316" t="s">
        <v>490</v>
      </c>
      <c r="U25" s="316" t="s">
        <v>490</v>
      </c>
      <c r="V25" s="318" t="b">
        <v>1</v>
      </c>
      <c r="W25" s="319"/>
      <c r="X25" s="319"/>
      <c r="Y25" s="319"/>
      <c r="Z25" s="319"/>
      <c r="AA25" s="316" t="s">
        <v>490</v>
      </c>
      <c r="AB25" s="316" t="s">
        <v>490</v>
      </c>
      <c r="AC25" s="316" t="s">
        <v>550</v>
      </c>
      <c r="AD25" s="318">
        <v>1.2396180000000001</v>
      </c>
      <c r="AE25" s="318">
        <v>199</v>
      </c>
      <c r="AF25" s="318">
        <v>1.17</v>
      </c>
      <c r="AG25" s="318">
        <v>-99</v>
      </c>
      <c r="AH25" s="316" t="s">
        <v>222</v>
      </c>
      <c r="AI25" s="316" t="s">
        <v>258</v>
      </c>
      <c r="AJ25" s="316" t="s">
        <v>312</v>
      </c>
      <c r="AK25" s="316" t="s">
        <v>490</v>
      </c>
      <c r="AL25" s="316" t="s">
        <v>379</v>
      </c>
      <c r="AM25" s="318" t="b">
        <v>1</v>
      </c>
      <c r="AN25" s="318" t="b">
        <v>0</v>
      </c>
      <c r="AO25" s="316" t="s">
        <v>313</v>
      </c>
      <c r="AP25" s="316" t="s">
        <v>314</v>
      </c>
      <c r="AQ25" s="318">
        <v>86.175359999999998</v>
      </c>
      <c r="AR25" s="318" t="b">
        <v>0</v>
      </c>
      <c r="AS25" s="316" t="s">
        <v>1004</v>
      </c>
    </row>
    <row r="26" spans="1:45" x14ac:dyDescent="0.25">
      <c r="A26" s="250">
        <f t="shared" si="7"/>
        <v>26</v>
      </c>
      <c r="B26" s="251" t="str">
        <f t="shared" si="0"/>
        <v>Refinery - Chevron FCC - August 6-17, 1996</v>
      </c>
      <c r="C26" s="251" t="str">
        <f ca="1">IF(B26="","",VLOOKUP(D26,'Species Data'!B:E,4,FALSE))</f>
        <v>methep3</v>
      </c>
      <c r="D26" s="251">
        <f t="shared" ca="1" si="1"/>
        <v>244</v>
      </c>
      <c r="E26" s="251">
        <f t="shared" ca="1" si="2"/>
        <v>0.18999999999999997</v>
      </c>
      <c r="F26" s="251" t="str">
        <f t="shared" ca="1" si="3"/>
        <v>3-methylheptane</v>
      </c>
      <c r="G26" s="251">
        <f t="shared" ca="1" si="4"/>
        <v>114.22852</v>
      </c>
      <c r="H26" s="208">
        <f ca="1">IF(G26="","",IF(VLOOKUP(VOC!D26,'Species Data'!B:F,5,FALSE)=0,"X",IF(G26&lt;44.1,2,1)))</f>
        <v>1</v>
      </c>
      <c r="I26" s="208">
        <f t="shared" ca="1" si="5"/>
        <v>0.18999999999999992</v>
      </c>
      <c r="J26" s="252">
        <f ca="1">IF(I26="","",IF(COUNTIF($D$12:D26,D26)=1,IF(H26=1,I26*H26,IF(H26="X","X",0)),0))</f>
        <v>0.18999999999999992</v>
      </c>
      <c r="K26" s="253">
        <f t="shared" ca="1" si="6"/>
        <v>0.33043478260869569</v>
      </c>
      <c r="L26" s="316" t="s">
        <v>1002</v>
      </c>
      <c r="M26" s="316" t="s">
        <v>222</v>
      </c>
      <c r="N26" s="316" t="s">
        <v>258</v>
      </c>
      <c r="O26" s="317">
        <v>36342</v>
      </c>
      <c r="P26" s="316" t="s">
        <v>1003</v>
      </c>
      <c r="Q26" s="318">
        <v>100</v>
      </c>
      <c r="R26" s="316" t="s">
        <v>490</v>
      </c>
      <c r="S26" s="316" t="s">
        <v>490</v>
      </c>
      <c r="T26" s="316" t="s">
        <v>490</v>
      </c>
      <c r="U26" s="316" t="s">
        <v>490</v>
      </c>
      <c r="V26" s="318" t="b">
        <v>1</v>
      </c>
      <c r="W26" s="319"/>
      <c r="X26" s="319"/>
      <c r="Y26" s="319"/>
      <c r="Z26" s="319"/>
      <c r="AA26" s="316" t="s">
        <v>490</v>
      </c>
      <c r="AB26" s="316" t="s">
        <v>490</v>
      </c>
      <c r="AC26" s="316" t="s">
        <v>550</v>
      </c>
      <c r="AD26" s="318">
        <v>1.2396180000000001</v>
      </c>
      <c r="AE26" s="318">
        <v>244</v>
      </c>
      <c r="AF26" s="318">
        <v>0.18999999999999997</v>
      </c>
      <c r="AG26" s="318">
        <v>-99</v>
      </c>
      <c r="AH26" s="316" t="s">
        <v>222</v>
      </c>
      <c r="AI26" s="316" t="s">
        <v>258</v>
      </c>
      <c r="AJ26" s="316" t="s">
        <v>315</v>
      </c>
      <c r="AK26" s="316" t="s">
        <v>490</v>
      </c>
      <c r="AL26" s="316" t="s">
        <v>490</v>
      </c>
      <c r="AM26" s="318" t="b">
        <v>1</v>
      </c>
      <c r="AN26" s="318" t="b">
        <v>0</v>
      </c>
      <c r="AO26" s="316" t="s">
        <v>316</v>
      </c>
      <c r="AP26" s="316" t="s">
        <v>317</v>
      </c>
      <c r="AQ26" s="318">
        <v>114.22852</v>
      </c>
      <c r="AR26" s="318" t="b">
        <v>0</v>
      </c>
      <c r="AS26" s="316" t="s">
        <v>1004</v>
      </c>
    </row>
    <row r="27" spans="1:45" x14ac:dyDescent="0.25">
      <c r="A27" s="250">
        <f t="shared" si="7"/>
        <v>27</v>
      </c>
      <c r="B27" s="251" t="str">
        <f t="shared" si="0"/>
        <v>Refinery - Chevron FCC - August 6-17, 1996</v>
      </c>
      <c r="C27" s="251" t="str">
        <f ca="1">IF(B27="","",VLOOKUP(D27,'Species Data'!B:E,4,FALSE))</f>
        <v>threemethex</v>
      </c>
      <c r="D27" s="251">
        <f t="shared" ca="1" si="1"/>
        <v>245</v>
      </c>
      <c r="E27" s="251">
        <f t="shared" ca="1" si="2"/>
        <v>0.47</v>
      </c>
      <c r="F27" s="251" t="str">
        <f t="shared" ca="1" si="3"/>
        <v>3-methylhexane</v>
      </c>
      <c r="G27" s="251">
        <f t="shared" ca="1" si="4"/>
        <v>100.20194000000001</v>
      </c>
      <c r="H27" s="208">
        <f ca="1">IF(G27="","",IF(VLOOKUP(VOC!D27,'Species Data'!B:F,5,FALSE)=0,"X",IF(G27&lt;44.1,2,1)))</f>
        <v>1</v>
      </c>
      <c r="I27" s="208">
        <f t="shared" ca="1" si="5"/>
        <v>0.46999999999999986</v>
      </c>
      <c r="J27" s="252">
        <f ca="1">IF(I27="","",IF(COUNTIF($D$12:D27,D27)=1,IF(H27=1,I27*H27,IF(H27="X","X",0)),0))</f>
        <v>0.46999999999999986</v>
      </c>
      <c r="K27" s="253">
        <f t="shared" ca="1" si="6"/>
        <v>0.81739130434782625</v>
      </c>
      <c r="L27" s="316" t="s">
        <v>1002</v>
      </c>
      <c r="M27" s="316" t="s">
        <v>222</v>
      </c>
      <c r="N27" s="316" t="s">
        <v>258</v>
      </c>
      <c r="O27" s="317">
        <v>36342</v>
      </c>
      <c r="P27" s="316" t="s">
        <v>1003</v>
      </c>
      <c r="Q27" s="318">
        <v>100</v>
      </c>
      <c r="R27" s="316" t="s">
        <v>490</v>
      </c>
      <c r="S27" s="316" t="s">
        <v>490</v>
      </c>
      <c r="T27" s="316" t="s">
        <v>490</v>
      </c>
      <c r="U27" s="316" t="s">
        <v>490</v>
      </c>
      <c r="V27" s="318" t="b">
        <v>1</v>
      </c>
      <c r="W27" s="319"/>
      <c r="X27" s="319"/>
      <c r="Y27" s="319"/>
      <c r="Z27" s="319"/>
      <c r="AA27" s="316" t="s">
        <v>490</v>
      </c>
      <c r="AB27" s="316" t="s">
        <v>490</v>
      </c>
      <c r="AC27" s="316" t="s">
        <v>550</v>
      </c>
      <c r="AD27" s="318">
        <v>1.2396180000000001</v>
      </c>
      <c r="AE27" s="318">
        <v>245</v>
      </c>
      <c r="AF27" s="318">
        <v>0.47</v>
      </c>
      <c r="AG27" s="318">
        <v>-99</v>
      </c>
      <c r="AH27" s="316" t="s">
        <v>222</v>
      </c>
      <c r="AI27" s="316" t="s">
        <v>258</v>
      </c>
      <c r="AJ27" s="316" t="s">
        <v>318</v>
      </c>
      <c r="AK27" s="316" t="s">
        <v>490</v>
      </c>
      <c r="AL27" s="316" t="s">
        <v>380</v>
      </c>
      <c r="AM27" s="318" t="b">
        <v>1</v>
      </c>
      <c r="AN27" s="318" t="b">
        <v>0</v>
      </c>
      <c r="AO27" s="316" t="s">
        <v>319</v>
      </c>
      <c r="AP27" s="316" t="s">
        <v>320</v>
      </c>
      <c r="AQ27" s="318">
        <v>100.20194000000001</v>
      </c>
      <c r="AR27" s="318" t="b">
        <v>0</v>
      </c>
      <c r="AS27" s="316" t="s">
        <v>1004</v>
      </c>
    </row>
    <row r="28" spans="1:45" x14ac:dyDescent="0.25">
      <c r="A28" s="250">
        <f t="shared" si="7"/>
        <v>28</v>
      </c>
      <c r="B28" s="251" t="str">
        <f t="shared" si="0"/>
        <v>Refinery - Chevron FCC - August 6-17, 1996</v>
      </c>
      <c r="C28" s="251" t="str">
        <f ca="1">IF(B28="","",VLOOKUP(D28,'Species Data'!B:E,4,FALSE))</f>
        <v>threemetpen</v>
      </c>
      <c r="D28" s="251">
        <f t="shared" ca="1" si="1"/>
        <v>248</v>
      </c>
      <c r="E28" s="251">
        <f t="shared" ca="1" si="2"/>
        <v>0.67999999999999994</v>
      </c>
      <c r="F28" s="251" t="str">
        <f t="shared" ca="1" si="3"/>
        <v>3-methylpentane</v>
      </c>
      <c r="G28" s="251">
        <f t="shared" ca="1" si="4"/>
        <v>86.175359999999998</v>
      </c>
      <c r="H28" s="208">
        <f ca="1">IF(G28="","",IF(VLOOKUP(VOC!D28,'Species Data'!B:F,5,FALSE)=0,"X",IF(G28&lt;44.1,2,1)))</f>
        <v>1</v>
      </c>
      <c r="I28" s="208">
        <f t="shared" ca="1" si="5"/>
        <v>0.67999999999999983</v>
      </c>
      <c r="J28" s="252">
        <f ca="1">IF(I28="","",IF(COUNTIF($D$12:D28,D28)=1,IF(H28=1,I28*H28,IF(H28="X","X",0)),0))</f>
        <v>0.67999999999999983</v>
      </c>
      <c r="K28" s="253">
        <f t="shared" ca="1" si="6"/>
        <v>1.1826086956521742</v>
      </c>
      <c r="L28" s="316" t="s">
        <v>1002</v>
      </c>
      <c r="M28" s="316" t="s">
        <v>222</v>
      </c>
      <c r="N28" s="316" t="s">
        <v>258</v>
      </c>
      <c r="O28" s="317">
        <v>36342</v>
      </c>
      <c r="P28" s="316" t="s">
        <v>1003</v>
      </c>
      <c r="Q28" s="318">
        <v>100</v>
      </c>
      <c r="R28" s="316" t="s">
        <v>490</v>
      </c>
      <c r="S28" s="316" t="s">
        <v>490</v>
      </c>
      <c r="T28" s="316" t="s">
        <v>490</v>
      </c>
      <c r="U28" s="316" t="s">
        <v>490</v>
      </c>
      <c r="V28" s="318" t="b">
        <v>1</v>
      </c>
      <c r="W28" s="319"/>
      <c r="X28" s="319"/>
      <c r="Y28" s="319"/>
      <c r="Z28" s="319"/>
      <c r="AA28" s="316" t="s">
        <v>490</v>
      </c>
      <c r="AB28" s="316" t="s">
        <v>490</v>
      </c>
      <c r="AC28" s="316" t="s">
        <v>550</v>
      </c>
      <c r="AD28" s="318">
        <v>1.2396180000000001</v>
      </c>
      <c r="AE28" s="318">
        <v>248</v>
      </c>
      <c r="AF28" s="318">
        <v>0.67999999999999994</v>
      </c>
      <c r="AG28" s="318">
        <v>-99</v>
      </c>
      <c r="AH28" s="316" t="s">
        <v>222</v>
      </c>
      <c r="AI28" s="316" t="s">
        <v>258</v>
      </c>
      <c r="AJ28" s="316" t="s">
        <v>321</v>
      </c>
      <c r="AK28" s="316" t="s">
        <v>490</v>
      </c>
      <c r="AL28" s="316" t="s">
        <v>381</v>
      </c>
      <c r="AM28" s="318" t="b">
        <v>1</v>
      </c>
      <c r="AN28" s="318" t="b">
        <v>0</v>
      </c>
      <c r="AO28" s="316" t="s">
        <v>322</v>
      </c>
      <c r="AP28" s="316" t="s">
        <v>323</v>
      </c>
      <c r="AQ28" s="318">
        <v>86.175359999999998</v>
      </c>
      <c r="AR28" s="318" t="b">
        <v>0</v>
      </c>
      <c r="AS28" s="316" t="s">
        <v>1004</v>
      </c>
    </row>
    <row r="29" spans="1:45" ht="15" customHeight="1" x14ac:dyDescent="0.25">
      <c r="A29" s="250">
        <f t="shared" si="7"/>
        <v>29</v>
      </c>
      <c r="B29" s="251" t="str">
        <f t="shared" si="0"/>
        <v>Refinery - Chevron FCC - August 6-17, 1996</v>
      </c>
      <c r="C29" s="251" t="str">
        <f ca="1">IF(B29="","",VLOOKUP(D29,'Species Data'!B:E,4,FALSE))</f>
        <v>Acetylene</v>
      </c>
      <c r="D29" s="251">
        <f t="shared" ca="1" si="1"/>
        <v>282</v>
      </c>
      <c r="E29" s="251">
        <f t="shared" ca="1" si="2"/>
        <v>0.35</v>
      </c>
      <c r="F29" s="251" t="str">
        <f t="shared" ca="1" si="3"/>
        <v>Acetylene</v>
      </c>
      <c r="G29" s="251">
        <f t="shared" ca="1" si="4"/>
        <v>26.037279999999999</v>
      </c>
      <c r="H29" s="208">
        <f ca="1">IF(G29="","",IF(VLOOKUP(VOC!D29,'Species Data'!B:F,5,FALSE)=0,"X",IF(G29&lt;44.1,2,1)))</f>
        <v>2</v>
      </c>
      <c r="I29" s="208">
        <f t="shared" ca="1" si="5"/>
        <v>0.34999999999999992</v>
      </c>
      <c r="J29" s="252">
        <f ca="1">IF(I29="","",IF(COUNTIF($D$12:D29,D29)=1,IF(H29=1,I29*H29,IF(H29="X","X",0)),0))</f>
        <v>0</v>
      </c>
      <c r="K29" s="253">
        <f t="shared" ca="1" si="6"/>
        <v>0</v>
      </c>
      <c r="L29" s="316" t="s">
        <v>1002</v>
      </c>
      <c r="M29" s="316" t="s">
        <v>222</v>
      </c>
      <c r="N29" s="316" t="s">
        <v>258</v>
      </c>
      <c r="O29" s="317">
        <v>36342</v>
      </c>
      <c r="P29" s="316" t="s">
        <v>1003</v>
      </c>
      <c r="Q29" s="318">
        <v>100</v>
      </c>
      <c r="R29" s="316" t="s">
        <v>490</v>
      </c>
      <c r="S29" s="316" t="s">
        <v>490</v>
      </c>
      <c r="T29" s="316" t="s">
        <v>490</v>
      </c>
      <c r="U29" s="316" t="s">
        <v>490</v>
      </c>
      <c r="V29" s="318" t="b">
        <v>1</v>
      </c>
      <c r="W29" s="319"/>
      <c r="X29" s="319"/>
      <c r="Y29" s="319"/>
      <c r="Z29" s="319"/>
      <c r="AA29" s="316" t="s">
        <v>490</v>
      </c>
      <c r="AB29" s="316" t="s">
        <v>490</v>
      </c>
      <c r="AC29" s="316" t="s">
        <v>550</v>
      </c>
      <c r="AD29" s="318">
        <v>1.2396180000000001</v>
      </c>
      <c r="AE29" s="318">
        <v>282</v>
      </c>
      <c r="AF29" s="318">
        <v>0.35</v>
      </c>
      <c r="AG29" s="318">
        <v>-99</v>
      </c>
      <c r="AH29" s="316" t="s">
        <v>222</v>
      </c>
      <c r="AI29" s="316" t="s">
        <v>258</v>
      </c>
      <c r="AJ29" s="316" t="s">
        <v>1013</v>
      </c>
      <c r="AK29" s="316" t="s">
        <v>490</v>
      </c>
      <c r="AL29" s="316" t="s">
        <v>1014</v>
      </c>
      <c r="AM29" s="318" t="b">
        <v>1</v>
      </c>
      <c r="AN29" s="318" t="b">
        <v>0</v>
      </c>
      <c r="AO29" s="316" t="s">
        <v>1015</v>
      </c>
      <c r="AP29" s="316" t="s">
        <v>1016</v>
      </c>
      <c r="AQ29" s="318">
        <v>26.037279999999999</v>
      </c>
      <c r="AR29" s="318" t="b">
        <v>0</v>
      </c>
      <c r="AS29" s="316" t="s">
        <v>1004</v>
      </c>
    </row>
    <row r="30" spans="1:45" ht="15" customHeight="1" x14ac:dyDescent="0.25">
      <c r="A30" s="250">
        <f t="shared" si="7"/>
        <v>30</v>
      </c>
      <c r="B30" s="251" t="str">
        <f t="shared" si="0"/>
        <v>Refinery - Chevron FCC - August 6-17, 1996</v>
      </c>
      <c r="C30" s="251" t="str">
        <f ca="1">IF(B30="","",VLOOKUP(D30,'Species Data'!B:E,4,FALSE))</f>
        <v>benzene</v>
      </c>
      <c r="D30" s="251">
        <f t="shared" ca="1" si="1"/>
        <v>302</v>
      </c>
      <c r="E30" s="251">
        <f t="shared" ca="1" si="2"/>
        <v>1.0299999999999998</v>
      </c>
      <c r="F30" s="251" t="str">
        <f t="shared" ca="1" si="3"/>
        <v>Benzene</v>
      </c>
      <c r="G30" s="251">
        <f t="shared" ca="1" si="4"/>
        <v>78.111840000000001</v>
      </c>
      <c r="H30" s="208">
        <f ca="1">IF(G30="","",IF(VLOOKUP(VOC!D30,'Species Data'!B:F,5,FALSE)=0,"X",IF(G30&lt;44.1,2,1)))</f>
        <v>1</v>
      </c>
      <c r="I30" s="208">
        <f t="shared" ca="1" si="5"/>
        <v>1.0299999999999996</v>
      </c>
      <c r="J30" s="252">
        <f ca="1">IF(I30="","",IF(COUNTIF($D$12:D30,D30)=1,IF(H30=1,I30*H30,IF(H30="X","X",0)),0))</f>
        <v>1.0299999999999996</v>
      </c>
      <c r="K30" s="253">
        <f t="shared" ca="1" si="6"/>
        <v>1.7913043478260873</v>
      </c>
      <c r="L30" s="316" t="s">
        <v>1002</v>
      </c>
      <c r="M30" s="316" t="s">
        <v>222</v>
      </c>
      <c r="N30" s="316" t="s">
        <v>258</v>
      </c>
      <c r="O30" s="317">
        <v>36342</v>
      </c>
      <c r="P30" s="316" t="s">
        <v>1003</v>
      </c>
      <c r="Q30" s="318">
        <v>100</v>
      </c>
      <c r="R30" s="316" t="s">
        <v>490</v>
      </c>
      <c r="S30" s="316" t="s">
        <v>490</v>
      </c>
      <c r="T30" s="316" t="s">
        <v>490</v>
      </c>
      <c r="U30" s="316" t="s">
        <v>490</v>
      </c>
      <c r="V30" s="318" t="b">
        <v>1</v>
      </c>
      <c r="W30" s="319"/>
      <c r="X30" s="319"/>
      <c r="Y30" s="319"/>
      <c r="Z30" s="319"/>
      <c r="AA30" s="316" t="s">
        <v>490</v>
      </c>
      <c r="AB30" s="316" t="s">
        <v>490</v>
      </c>
      <c r="AC30" s="316" t="s">
        <v>550</v>
      </c>
      <c r="AD30" s="318">
        <v>1.2396180000000001</v>
      </c>
      <c r="AE30" s="318">
        <v>302</v>
      </c>
      <c r="AF30" s="318">
        <v>1.0299999999999998</v>
      </c>
      <c r="AG30" s="318">
        <v>-99</v>
      </c>
      <c r="AH30" s="316" t="s">
        <v>222</v>
      </c>
      <c r="AI30" s="316" t="s">
        <v>258</v>
      </c>
      <c r="AJ30" s="316" t="s">
        <v>259</v>
      </c>
      <c r="AK30" s="316" t="s">
        <v>490</v>
      </c>
      <c r="AL30" s="316" t="s">
        <v>364</v>
      </c>
      <c r="AM30" s="318" t="b">
        <v>1</v>
      </c>
      <c r="AN30" s="318" t="b">
        <v>1</v>
      </c>
      <c r="AO30" s="316" t="s">
        <v>260</v>
      </c>
      <c r="AP30" s="316" t="s">
        <v>261</v>
      </c>
      <c r="AQ30" s="318">
        <v>78.111840000000001</v>
      </c>
      <c r="AR30" s="318" t="b">
        <v>0</v>
      </c>
      <c r="AS30" s="316" t="s">
        <v>1004</v>
      </c>
    </row>
    <row r="31" spans="1:45" ht="15" customHeight="1" x14ac:dyDescent="0.25">
      <c r="A31" s="250">
        <f t="shared" si="7"/>
        <v>31</v>
      </c>
      <c r="B31" s="251" t="str">
        <f t="shared" si="0"/>
        <v>Refinery - Chevron FCC - August 6-17, 1996</v>
      </c>
      <c r="C31" s="251" t="str">
        <f ca="1">IF(B31="","",VLOOKUP(D31,'Species Data'!B:E,4,FALSE))</f>
        <v>C_2_butene</v>
      </c>
      <c r="D31" s="251">
        <f t="shared" ca="1" si="1"/>
        <v>367</v>
      </c>
      <c r="E31" s="251">
        <f t="shared" ca="1" si="2"/>
        <v>0.24</v>
      </c>
      <c r="F31" s="251" t="str">
        <f t="shared" ca="1" si="3"/>
        <v>Cis-2-butene</v>
      </c>
      <c r="G31" s="251">
        <f t="shared" ca="1" si="4"/>
        <v>56.106319999999997</v>
      </c>
      <c r="H31" s="208">
        <f ca="1">IF(G31="","",IF(VLOOKUP(VOC!D31,'Species Data'!B:F,5,FALSE)=0,"X",IF(G31&lt;44.1,2,1)))</f>
        <v>1</v>
      </c>
      <c r="I31" s="208">
        <f t="shared" ca="1" si="5"/>
        <v>0.23999999999999994</v>
      </c>
      <c r="J31" s="252">
        <f ca="1">IF(I31="","",IF(COUNTIF($D$12:D31,D31)=1,IF(H31=1,I31*H31,IF(H31="X","X",0)),0))</f>
        <v>0.23999999999999994</v>
      </c>
      <c r="K31" s="253">
        <f t="shared" ca="1" si="6"/>
        <v>0.41739130434782623</v>
      </c>
      <c r="L31" s="316" t="s">
        <v>1002</v>
      </c>
      <c r="M31" s="316" t="s">
        <v>222</v>
      </c>
      <c r="N31" s="316" t="s">
        <v>258</v>
      </c>
      <c r="O31" s="317">
        <v>36342</v>
      </c>
      <c r="P31" s="316" t="s">
        <v>1003</v>
      </c>
      <c r="Q31" s="318">
        <v>100</v>
      </c>
      <c r="R31" s="316" t="s">
        <v>490</v>
      </c>
      <c r="S31" s="316" t="s">
        <v>490</v>
      </c>
      <c r="T31" s="316" t="s">
        <v>490</v>
      </c>
      <c r="U31" s="316" t="s">
        <v>490</v>
      </c>
      <c r="V31" s="318" t="b">
        <v>1</v>
      </c>
      <c r="W31" s="319"/>
      <c r="X31" s="319"/>
      <c r="Y31" s="319"/>
      <c r="Z31" s="319"/>
      <c r="AA31" s="316" t="s">
        <v>490</v>
      </c>
      <c r="AB31" s="316" t="s">
        <v>490</v>
      </c>
      <c r="AC31" s="316" t="s">
        <v>550</v>
      </c>
      <c r="AD31" s="318">
        <v>1.2396180000000001</v>
      </c>
      <c r="AE31" s="318">
        <v>367</v>
      </c>
      <c r="AF31" s="318">
        <v>0.24</v>
      </c>
      <c r="AG31" s="318">
        <v>-99</v>
      </c>
      <c r="AH31" s="316" t="s">
        <v>222</v>
      </c>
      <c r="AI31" s="316" t="s">
        <v>258</v>
      </c>
      <c r="AJ31" s="316" t="s">
        <v>1017</v>
      </c>
      <c r="AK31" s="316" t="s">
        <v>490</v>
      </c>
      <c r="AL31" s="316" t="s">
        <v>1018</v>
      </c>
      <c r="AM31" s="318" t="b">
        <v>1</v>
      </c>
      <c r="AN31" s="318" t="b">
        <v>0</v>
      </c>
      <c r="AO31" s="316" t="s">
        <v>1019</v>
      </c>
      <c r="AP31" s="316" t="s">
        <v>1020</v>
      </c>
      <c r="AQ31" s="318">
        <v>56.106319999999997</v>
      </c>
      <c r="AR31" s="318" t="b">
        <v>0</v>
      </c>
      <c r="AS31" s="316" t="s">
        <v>1004</v>
      </c>
    </row>
    <row r="32" spans="1:45" ht="15" customHeight="1" x14ac:dyDescent="0.25">
      <c r="A32" s="250">
        <f t="shared" si="7"/>
        <v>32</v>
      </c>
      <c r="B32" s="251" t="str">
        <f t="shared" si="0"/>
        <v>Refinery - Chevron FCC - August 6-17, 1996</v>
      </c>
      <c r="C32" s="251" t="str">
        <f ca="1">IF(B32="","",VLOOKUP(D32,'Species Data'!B:E,4,FALSE))</f>
        <v>C_2_pentene</v>
      </c>
      <c r="D32" s="251">
        <f t="shared" ca="1" si="1"/>
        <v>371</v>
      </c>
      <c r="E32" s="251">
        <f t="shared" ca="1" si="2"/>
        <v>0.12</v>
      </c>
      <c r="F32" s="251" t="str">
        <f t="shared" ca="1" si="3"/>
        <v>Cis-2-pentene</v>
      </c>
      <c r="G32" s="251">
        <f t="shared" ca="1" si="4"/>
        <v>70.132900000000006</v>
      </c>
      <c r="H32" s="208">
        <f ca="1">IF(G32="","",IF(VLOOKUP(VOC!D32,'Species Data'!B:F,5,FALSE)=0,"X",IF(G32&lt;44.1,2,1)))</f>
        <v>1</v>
      </c>
      <c r="I32" s="208">
        <f t="shared" ca="1" si="5"/>
        <v>0.11999999999999997</v>
      </c>
      <c r="J32" s="252">
        <f ca="1">IF(I32="","",IF(COUNTIF($D$12:D32,D32)=1,IF(H32=1,I32*H32,IF(H32="X","X",0)),0))</f>
        <v>0.11999999999999997</v>
      </c>
      <c r="K32" s="253">
        <f t="shared" ca="1" si="6"/>
        <v>0.20869565217391312</v>
      </c>
      <c r="L32" s="316" t="s">
        <v>1002</v>
      </c>
      <c r="M32" s="316" t="s">
        <v>222</v>
      </c>
      <c r="N32" s="316" t="s">
        <v>258</v>
      </c>
      <c r="O32" s="317">
        <v>36342</v>
      </c>
      <c r="P32" s="316" t="s">
        <v>1003</v>
      </c>
      <c r="Q32" s="318">
        <v>100</v>
      </c>
      <c r="R32" s="316" t="s">
        <v>490</v>
      </c>
      <c r="S32" s="316" t="s">
        <v>490</v>
      </c>
      <c r="T32" s="316" t="s">
        <v>490</v>
      </c>
      <c r="U32" s="316" t="s">
        <v>490</v>
      </c>
      <c r="V32" s="318" t="b">
        <v>1</v>
      </c>
      <c r="W32" s="319"/>
      <c r="X32" s="319"/>
      <c r="Y32" s="319"/>
      <c r="Z32" s="319"/>
      <c r="AA32" s="316" t="s">
        <v>490</v>
      </c>
      <c r="AB32" s="316" t="s">
        <v>490</v>
      </c>
      <c r="AC32" s="316" t="s">
        <v>550</v>
      </c>
      <c r="AD32" s="318">
        <v>1.2396180000000001</v>
      </c>
      <c r="AE32" s="318">
        <v>371</v>
      </c>
      <c r="AF32" s="318">
        <v>0.12</v>
      </c>
      <c r="AG32" s="318">
        <v>-99</v>
      </c>
      <c r="AH32" s="316" t="s">
        <v>222</v>
      </c>
      <c r="AI32" s="316" t="s">
        <v>258</v>
      </c>
      <c r="AJ32" s="316" t="s">
        <v>1021</v>
      </c>
      <c r="AK32" s="316" t="s">
        <v>490</v>
      </c>
      <c r="AL32" s="316" t="s">
        <v>1022</v>
      </c>
      <c r="AM32" s="318" t="b">
        <v>1</v>
      </c>
      <c r="AN32" s="318" t="b">
        <v>0</v>
      </c>
      <c r="AO32" s="316" t="s">
        <v>1023</v>
      </c>
      <c r="AP32" s="316" t="s">
        <v>1024</v>
      </c>
      <c r="AQ32" s="318">
        <v>70.132900000000006</v>
      </c>
      <c r="AR32" s="318" t="b">
        <v>0</v>
      </c>
      <c r="AS32" s="316" t="s">
        <v>1004</v>
      </c>
    </row>
    <row r="33" spans="1:45" x14ac:dyDescent="0.25">
      <c r="A33" s="250">
        <f t="shared" si="7"/>
        <v>33</v>
      </c>
      <c r="B33" s="251" t="str">
        <f t="shared" si="0"/>
        <v>Refinery - Chevron FCC - August 6-17, 1996</v>
      </c>
      <c r="C33" s="251" t="str">
        <f ca="1">IF(B33="","",VLOOKUP(D33,'Species Data'!B:E,4,FALSE))</f>
        <v>cyclohexane</v>
      </c>
      <c r="D33" s="251">
        <f t="shared" ca="1" si="1"/>
        <v>385</v>
      </c>
      <c r="E33" s="251">
        <f t="shared" ca="1" si="2"/>
        <v>0.48</v>
      </c>
      <c r="F33" s="251" t="str">
        <f t="shared" ca="1" si="3"/>
        <v>Cyclohexane</v>
      </c>
      <c r="G33" s="251">
        <f t="shared" ca="1" si="4"/>
        <v>84.159480000000002</v>
      </c>
      <c r="H33" s="208">
        <f ca="1">IF(G33="","",IF(VLOOKUP(VOC!D33,'Species Data'!B:F,5,FALSE)=0,"X",IF(G33&lt;44.1,2,1)))</f>
        <v>1</v>
      </c>
      <c r="I33" s="208">
        <f t="shared" ca="1" si="5"/>
        <v>0.47999999999999987</v>
      </c>
      <c r="J33" s="252">
        <f ca="1">IF(I33="","",IF(COUNTIF($D$12:D33,D33)=1,IF(H33=1,I33*H33,IF(H33="X","X",0)),0))</f>
        <v>0.47999999999999987</v>
      </c>
      <c r="K33" s="253">
        <f t="shared" ca="1" si="6"/>
        <v>0.83478260869565246</v>
      </c>
      <c r="L33" s="316" t="s">
        <v>1002</v>
      </c>
      <c r="M33" s="316" t="s">
        <v>222</v>
      </c>
      <c r="N33" s="316" t="s">
        <v>258</v>
      </c>
      <c r="O33" s="317">
        <v>36342</v>
      </c>
      <c r="P33" s="316" t="s">
        <v>1003</v>
      </c>
      <c r="Q33" s="318">
        <v>100</v>
      </c>
      <c r="R33" s="316" t="s">
        <v>490</v>
      </c>
      <c r="S33" s="316" t="s">
        <v>490</v>
      </c>
      <c r="T33" s="316" t="s">
        <v>490</v>
      </c>
      <c r="U33" s="316" t="s">
        <v>490</v>
      </c>
      <c r="V33" s="318" t="b">
        <v>1</v>
      </c>
      <c r="W33" s="319"/>
      <c r="X33" s="319"/>
      <c r="Y33" s="319"/>
      <c r="Z33" s="319"/>
      <c r="AA33" s="316" t="s">
        <v>490</v>
      </c>
      <c r="AB33" s="316" t="s">
        <v>490</v>
      </c>
      <c r="AC33" s="316" t="s">
        <v>550</v>
      </c>
      <c r="AD33" s="318">
        <v>1.2396180000000001</v>
      </c>
      <c r="AE33" s="318">
        <v>385</v>
      </c>
      <c r="AF33" s="318">
        <v>0.48</v>
      </c>
      <c r="AG33" s="318">
        <v>-99</v>
      </c>
      <c r="AH33" s="316" t="s">
        <v>222</v>
      </c>
      <c r="AI33" s="316" t="s">
        <v>258</v>
      </c>
      <c r="AJ33" s="316" t="s">
        <v>324</v>
      </c>
      <c r="AK33" s="316" t="s">
        <v>490</v>
      </c>
      <c r="AL33" s="316" t="s">
        <v>382</v>
      </c>
      <c r="AM33" s="318" t="b">
        <v>1</v>
      </c>
      <c r="AN33" s="318" t="b">
        <v>0</v>
      </c>
      <c r="AO33" s="316" t="s">
        <v>325</v>
      </c>
      <c r="AP33" s="316" t="s">
        <v>326</v>
      </c>
      <c r="AQ33" s="318">
        <v>84.159480000000002</v>
      </c>
      <c r="AR33" s="318" t="b">
        <v>0</v>
      </c>
      <c r="AS33" s="316" t="s">
        <v>1004</v>
      </c>
    </row>
    <row r="34" spans="1:45" ht="15" customHeight="1" x14ac:dyDescent="0.25">
      <c r="A34" s="250">
        <f t="shared" si="7"/>
        <v>34</v>
      </c>
      <c r="B34" s="251" t="str">
        <f t="shared" si="0"/>
        <v>Refinery - Chevron FCC - August 6-17, 1996</v>
      </c>
      <c r="C34" s="251" t="str">
        <f ca="1">IF(B34="","",VLOOKUP(D34,'Species Data'!B:E,4,FALSE))</f>
        <v>cyclopentane</v>
      </c>
      <c r="D34" s="251">
        <f t="shared" ca="1" si="1"/>
        <v>390</v>
      </c>
      <c r="E34" s="251">
        <f t="shared" ca="1" si="2"/>
        <v>0.37999999999999995</v>
      </c>
      <c r="F34" s="251" t="str">
        <f t="shared" ca="1" si="3"/>
        <v>Cyclopentane</v>
      </c>
      <c r="G34" s="251">
        <f t="shared" ca="1" si="4"/>
        <v>70.132900000000006</v>
      </c>
      <c r="H34" s="208">
        <f ca="1">IF(G34="","",IF(VLOOKUP(VOC!D34,'Species Data'!B:F,5,FALSE)=0,"X",IF(G34&lt;44.1,2,1)))</f>
        <v>1</v>
      </c>
      <c r="I34" s="208">
        <f t="shared" ca="1" si="5"/>
        <v>0.37999999999999984</v>
      </c>
      <c r="J34" s="252">
        <f ca="1">IF(I34="","",IF(COUNTIF($D$12:D34,D34)=1,IF(H34=1,I34*H34,IF(H34="X","X",0)),0))</f>
        <v>0.37999999999999984</v>
      </c>
      <c r="K34" s="253">
        <f t="shared" ca="1" si="6"/>
        <v>0.66086956521739137</v>
      </c>
      <c r="L34" s="316" t="s">
        <v>1002</v>
      </c>
      <c r="M34" s="316" t="s">
        <v>222</v>
      </c>
      <c r="N34" s="316" t="s">
        <v>258</v>
      </c>
      <c r="O34" s="317">
        <v>36342</v>
      </c>
      <c r="P34" s="316" t="s">
        <v>1003</v>
      </c>
      <c r="Q34" s="318">
        <v>100</v>
      </c>
      <c r="R34" s="316" t="s">
        <v>490</v>
      </c>
      <c r="S34" s="316" t="s">
        <v>490</v>
      </c>
      <c r="T34" s="316" t="s">
        <v>490</v>
      </c>
      <c r="U34" s="316" t="s">
        <v>490</v>
      </c>
      <c r="V34" s="318" t="b">
        <v>1</v>
      </c>
      <c r="W34" s="319"/>
      <c r="X34" s="319"/>
      <c r="Y34" s="319"/>
      <c r="Z34" s="319"/>
      <c r="AA34" s="316" t="s">
        <v>490</v>
      </c>
      <c r="AB34" s="316" t="s">
        <v>490</v>
      </c>
      <c r="AC34" s="316" t="s">
        <v>550</v>
      </c>
      <c r="AD34" s="318">
        <v>1.2396180000000001</v>
      </c>
      <c r="AE34" s="318">
        <v>390</v>
      </c>
      <c r="AF34" s="318">
        <v>0.37999999999999995</v>
      </c>
      <c r="AG34" s="318">
        <v>-99</v>
      </c>
      <c r="AH34" s="316" t="s">
        <v>222</v>
      </c>
      <c r="AI34" s="316" t="s">
        <v>258</v>
      </c>
      <c r="AJ34" s="316" t="s">
        <v>327</v>
      </c>
      <c r="AK34" s="316" t="s">
        <v>490</v>
      </c>
      <c r="AL34" s="316" t="s">
        <v>383</v>
      </c>
      <c r="AM34" s="318" t="b">
        <v>1</v>
      </c>
      <c r="AN34" s="318" t="b">
        <v>0</v>
      </c>
      <c r="AO34" s="316" t="s">
        <v>328</v>
      </c>
      <c r="AP34" s="316" t="s">
        <v>329</v>
      </c>
      <c r="AQ34" s="318">
        <v>70.132900000000006</v>
      </c>
      <c r="AR34" s="318" t="b">
        <v>0</v>
      </c>
      <c r="AS34" s="316" t="s">
        <v>1004</v>
      </c>
    </row>
    <row r="35" spans="1:45" x14ac:dyDescent="0.25">
      <c r="A35" s="250">
        <f t="shared" si="7"/>
        <v>35</v>
      </c>
      <c r="B35" s="251" t="str">
        <f t="shared" si="0"/>
        <v>Refinery - Chevron FCC - August 6-17, 1996</v>
      </c>
      <c r="C35" s="251" t="str">
        <f ca="1">IF(B35="","",VLOOKUP(D35,'Species Data'!B:E,4,FALSE))</f>
        <v>ethane</v>
      </c>
      <c r="D35" s="251">
        <f t="shared" ca="1" si="1"/>
        <v>438</v>
      </c>
      <c r="E35" s="251">
        <f t="shared" ca="1" si="2"/>
        <v>19.329999999999998</v>
      </c>
      <c r="F35" s="251" t="str">
        <f t="shared" ca="1" si="3"/>
        <v>Ethane</v>
      </c>
      <c r="G35" s="251">
        <f t="shared" ca="1" si="4"/>
        <v>30.069040000000005</v>
      </c>
      <c r="H35" s="208">
        <f ca="1">IF(G35="","",IF(VLOOKUP(VOC!D35,'Species Data'!B:F,5,FALSE)=0,"X",IF(G35&lt;44.1,2,1)))</f>
        <v>2</v>
      </c>
      <c r="I35" s="208">
        <f t="shared" ca="1" si="5"/>
        <v>19.329999999999995</v>
      </c>
      <c r="J35" s="252">
        <f ca="1">IF(I35="","",IF(COUNTIF($D$12:D35,D35)=1,IF(H35=1,I35*H35,IF(H35="X","X",0)),0))</f>
        <v>0</v>
      </c>
      <c r="K35" s="253">
        <f t="shared" ca="1" si="6"/>
        <v>0</v>
      </c>
      <c r="L35" s="316" t="s">
        <v>1002</v>
      </c>
      <c r="M35" s="316" t="s">
        <v>222</v>
      </c>
      <c r="N35" s="316" t="s">
        <v>258</v>
      </c>
      <c r="O35" s="317">
        <v>36342</v>
      </c>
      <c r="P35" s="316" t="s">
        <v>1003</v>
      </c>
      <c r="Q35" s="318">
        <v>100</v>
      </c>
      <c r="R35" s="316" t="s">
        <v>490</v>
      </c>
      <c r="S35" s="316" t="s">
        <v>490</v>
      </c>
      <c r="T35" s="316" t="s">
        <v>490</v>
      </c>
      <c r="U35" s="316" t="s">
        <v>490</v>
      </c>
      <c r="V35" s="318" t="b">
        <v>1</v>
      </c>
      <c r="W35" s="319"/>
      <c r="X35" s="319"/>
      <c r="Y35" s="319"/>
      <c r="Z35" s="319"/>
      <c r="AA35" s="316" t="s">
        <v>490</v>
      </c>
      <c r="AB35" s="316" t="s">
        <v>490</v>
      </c>
      <c r="AC35" s="316" t="s">
        <v>550</v>
      </c>
      <c r="AD35" s="318">
        <v>1.2396180000000001</v>
      </c>
      <c r="AE35" s="318">
        <v>438</v>
      </c>
      <c r="AF35" s="318">
        <v>19.329999999999998</v>
      </c>
      <c r="AG35" s="318">
        <v>-99</v>
      </c>
      <c r="AH35" s="316" t="s">
        <v>222</v>
      </c>
      <c r="AI35" s="316" t="s">
        <v>258</v>
      </c>
      <c r="AJ35" s="316" t="s">
        <v>262</v>
      </c>
      <c r="AK35" s="316" t="s">
        <v>490</v>
      </c>
      <c r="AL35" s="316" t="s">
        <v>365</v>
      </c>
      <c r="AM35" s="318" t="b">
        <v>1</v>
      </c>
      <c r="AN35" s="318" t="b">
        <v>0</v>
      </c>
      <c r="AO35" s="316" t="s">
        <v>263</v>
      </c>
      <c r="AP35" s="316" t="s">
        <v>264</v>
      </c>
      <c r="AQ35" s="318">
        <v>30.069040000000005</v>
      </c>
      <c r="AR35" s="318" t="b">
        <v>1</v>
      </c>
      <c r="AS35" s="316" t="s">
        <v>1004</v>
      </c>
    </row>
    <row r="36" spans="1:45" x14ac:dyDescent="0.25">
      <c r="A36" s="250">
        <f t="shared" si="7"/>
        <v>36</v>
      </c>
      <c r="B36" s="251" t="str">
        <f t="shared" si="0"/>
        <v>Refinery - Chevron FCC - August 6-17, 1996</v>
      </c>
      <c r="C36" s="251" t="str">
        <f ca="1">IF(B36="","",VLOOKUP(D36,'Species Data'!B:E,4,FALSE))</f>
        <v>ethyl_benz</v>
      </c>
      <c r="D36" s="251">
        <f t="shared" ca="1" si="1"/>
        <v>449</v>
      </c>
      <c r="E36" s="251">
        <f t="shared" ca="1" si="2"/>
        <v>0.37</v>
      </c>
      <c r="F36" s="251" t="str">
        <f t="shared" ca="1" si="3"/>
        <v>Ethylbenzene</v>
      </c>
      <c r="G36" s="251">
        <f t="shared" ca="1" si="4"/>
        <v>106.16500000000001</v>
      </c>
      <c r="H36" s="208">
        <f ca="1">IF(G36="","",IF(VLOOKUP(VOC!D36,'Species Data'!B:F,5,FALSE)=0,"X",IF(G36&lt;44.1,2,1)))</f>
        <v>1</v>
      </c>
      <c r="I36" s="208">
        <f t="shared" ca="1" si="5"/>
        <v>0.36999999999999994</v>
      </c>
      <c r="J36" s="252">
        <f ca="1">IF(I36="","",IF(COUNTIF($D$12:D36,D36)=1,IF(H36=1,I36*H36,IF(H36="X","X",0)),0))</f>
        <v>0.36999999999999994</v>
      </c>
      <c r="K36" s="253">
        <f t="shared" ca="1" si="6"/>
        <v>0.6434782608695655</v>
      </c>
      <c r="L36" s="316" t="s">
        <v>1002</v>
      </c>
      <c r="M36" s="316" t="s">
        <v>222</v>
      </c>
      <c r="N36" s="316" t="s">
        <v>258</v>
      </c>
      <c r="O36" s="317">
        <v>36342</v>
      </c>
      <c r="P36" s="316" t="s">
        <v>1003</v>
      </c>
      <c r="Q36" s="318">
        <v>100</v>
      </c>
      <c r="R36" s="316" t="s">
        <v>490</v>
      </c>
      <c r="S36" s="316" t="s">
        <v>490</v>
      </c>
      <c r="T36" s="316" t="s">
        <v>490</v>
      </c>
      <c r="U36" s="316" t="s">
        <v>490</v>
      </c>
      <c r="V36" s="318" t="b">
        <v>1</v>
      </c>
      <c r="W36" s="319"/>
      <c r="X36" s="319"/>
      <c r="Y36" s="319"/>
      <c r="Z36" s="319"/>
      <c r="AA36" s="316" t="s">
        <v>490</v>
      </c>
      <c r="AB36" s="316" t="s">
        <v>490</v>
      </c>
      <c r="AC36" s="316" t="s">
        <v>550</v>
      </c>
      <c r="AD36" s="318">
        <v>1.2396180000000001</v>
      </c>
      <c r="AE36" s="318">
        <v>449</v>
      </c>
      <c r="AF36" s="318">
        <v>0.37</v>
      </c>
      <c r="AG36" s="318">
        <v>-99</v>
      </c>
      <c r="AH36" s="316" t="s">
        <v>222</v>
      </c>
      <c r="AI36" s="316" t="s">
        <v>258</v>
      </c>
      <c r="AJ36" s="316" t="s">
        <v>330</v>
      </c>
      <c r="AK36" s="316" t="s">
        <v>490</v>
      </c>
      <c r="AL36" s="316" t="s">
        <v>384</v>
      </c>
      <c r="AM36" s="318" t="b">
        <v>1</v>
      </c>
      <c r="AN36" s="318" t="b">
        <v>1</v>
      </c>
      <c r="AO36" s="316" t="s">
        <v>331</v>
      </c>
      <c r="AP36" s="316" t="s">
        <v>332</v>
      </c>
      <c r="AQ36" s="318">
        <v>106.16500000000001</v>
      </c>
      <c r="AR36" s="318" t="b">
        <v>0</v>
      </c>
      <c r="AS36" s="316" t="s">
        <v>1004</v>
      </c>
    </row>
    <row r="37" spans="1:45" x14ac:dyDescent="0.25">
      <c r="A37" s="250">
        <f t="shared" si="7"/>
        <v>37</v>
      </c>
      <c r="B37" s="251" t="str">
        <f t="shared" si="0"/>
        <v>Refinery - Chevron FCC - August 6-17, 1996</v>
      </c>
      <c r="C37" s="251" t="str">
        <f ca="1">IF(B37="","",VLOOKUP(D37,'Species Data'!B:E,4,FALSE))</f>
        <v>Ethylene</v>
      </c>
      <c r="D37" s="251">
        <f t="shared" ca="1" si="1"/>
        <v>452</v>
      </c>
      <c r="E37" s="251">
        <f t="shared" ca="1" si="2"/>
        <v>1.97</v>
      </c>
      <c r="F37" s="251" t="str">
        <f t="shared" ca="1" si="3"/>
        <v>Ethylene</v>
      </c>
      <c r="G37" s="251">
        <f t="shared" ca="1" si="4"/>
        <v>28.053159999999998</v>
      </c>
      <c r="H37" s="208">
        <f ca="1">IF(G37="","",IF(VLOOKUP(VOC!D37,'Species Data'!B:F,5,FALSE)=0,"X",IF(G37&lt;44.1,2,1)))</f>
        <v>2</v>
      </c>
      <c r="I37" s="208">
        <f t="shared" ca="1" si="5"/>
        <v>1.9699999999999995</v>
      </c>
      <c r="J37" s="252">
        <f ca="1">IF(I37="","",IF(COUNTIF($D$12:D37,D37)=1,IF(H37=1,I37*H37,IF(H37="X","X",0)),0))</f>
        <v>0</v>
      </c>
      <c r="K37" s="253">
        <f t="shared" ca="1" si="6"/>
        <v>0</v>
      </c>
      <c r="L37" s="316" t="s">
        <v>1002</v>
      </c>
      <c r="M37" s="316" t="s">
        <v>222</v>
      </c>
      <c r="N37" s="316" t="s">
        <v>258</v>
      </c>
      <c r="O37" s="317">
        <v>36342</v>
      </c>
      <c r="P37" s="316" t="s">
        <v>1003</v>
      </c>
      <c r="Q37" s="318">
        <v>100</v>
      </c>
      <c r="R37" s="316" t="s">
        <v>490</v>
      </c>
      <c r="S37" s="316" t="s">
        <v>490</v>
      </c>
      <c r="T37" s="316" t="s">
        <v>490</v>
      </c>
      <c r="U37" s="316" t="s">
        <v>490</v>
      </c>
      <c r="V37" s="318" t="b">
        <v>1</v>
      </c>
      <c r="W37" s="319"/>
      <c r="X37" s="319"/>
      <c r="Y37" s="319"/>
      <c r="Z37" s="319"/>
      <c r="AA37" s="316" t="s">
        <v>490</v>
      </c>
      <c r="AB37" s="316" t="s">
        <v>490</v>
      </c>
      <c r="AC37" s="316" t="s">
        <v>550</v>
      </c>
      <c r="AD37" s="318">
        <v>1.2396180000000001</v>
      </c>
      <c r="AE37" s="318">
        <v>452</v>
      </c>
      <c r="AF37" s="318">
        <v>1.97</v>
      </c>
      <c r="AG37" s="318">
        <v>-99</v>
      </c>
      <c r="AH37" s="316" t="s">
        <v>222</v>
      </c>
      <c r="AI37" s="316" t="s">
        <v>258</v>
      </c>
      <c r="AJ37" s="316" t="s">
        <v>1025</v>
      </c>
      <c r="AK37" s="316" t="s">
        <v>490</v>
      </c>
      <c r="AL37" s="316" t="s">
        <v>1026</v>
      </c>
      <c r="AM37" s="318" t="b">
        <v>1</v>
      </c>
      <c r="AN37" s="318" t="b">
        <v>0</v>
      </c>
      <c r="AO37" s="316" t="s">
        <v>1027</v>
      </c>
      <c r="AP37" s="316" t="s">
        <v>1028</v>
      </c>
      <c r="AQ37" s="318">
        <v>28.053159999999998</v>
      </c>
      <c r="AR37" s="318" t="b">
        <v>0</v>
      </c>
      <c r="AS37" s="316" t="s">
        <v>1004</v>
      </c>
    </row>
    <row r="38" spans="1:45" ht="15" customHeight="1" x14ac:dyDescent="0.25">
      <c r="A38" s="250">
        <f t="shared" si="7"/>
        <v>38</v>
      </c>
      <c r="B38" s="251" t="str">
        <f t="shared" si="0"/>
        <v>Refinery - Chevron FCC - August 6-17, 1996</v>
      </c>
      <c r="C38" s="251" t="str">
        <f ca="1">IF(B38="","",VLOOKUP(D38,'Species Data'!B:E,4,FALSE))</f>
        <v>isobut</v>
      </c>
      <c r="D38" s="251">
        <f t="shared" ca="1" si="1"/>
        <v>491</v>
      </c>
      <c r="E38" s="251">
        <f t="shared" ca="1" si="2"/>
        <v>3.5799999999999996</v>
      </c>
      <c r="F38" s="251" t="str">
        <f t="shared" ca="1" si="3"/>
        <v>Isobutane</v>
      </c>
      <c r="G38" s="251">
        <f t="shared" ca="1" si="4"/>
        <v>58.122199999999992</v>
      </c>
      <c r="H38" s="208">
        <f ca="1">IF(G38="","",IF(VLOOKUP(VOC!D38,'Species Data'!B:F,5,FALSE)=0,"X",IF(G38&lt;44.1,2,1)))</f>
        <v>1</v>
      </c>
      <c r="I38" s="208">
        <f t="shared" ca="1" si="5"/>
        <v>3.5799999999999987</v>
      </c>
      <c r="J38" s="252">
        <f ca="1">IF(I38="","",IF(COUNTIF($D$12:D38,D38)=1,IF(H38=1,I38*H38,IF(H38="X","X",0)),0))</f>
        <v>3.5799999999999987</v>
      </c>
      <c r="K38" s="253">
        <f t="shared" ca="1" si="6"/>
        <v>6.2260869565217396</v>
      </c>
      <c r="L38" s="316" t="s">
        <v>1002</v>
      </c>
      <c r="M38" s="316" t="s">
        <v>222</v>
      </c>
      <c r="N38" s="316" t="s">
        <v>258</v>
      </c>
      <c r="O38" s="317">
        <v>36342</v>
      </c>
      <c r="P38" s="316" t="s">
        <v>1003</v>
      </c>
      <c r="Q38" s="318">
        <v>100</v>
      </c>
      <c r="R38" s="316" t="s">
        <v>490</v>
      </c>
      <c r="S38" s="316" t="s">
        <v>490</v>
      </c>
      <c r="T38" s="316" t="s">
        <v>490</v>
      </c>
      <c r="U38" s="316" t="s">
        <v>490</v>
      </c>
      <c r="V38" s="318" t="b">
        <v>1</v>
      </c>
      <c r="W38" s="319"/>
      <c r="X38" s="319"/>
      <c r="Y38" s="319"/>
      <c r="Z38" s="319"/>
      <c r="AA38" s="316" t="s">
        <v>490</v>
      </c>
      <c r="AB38" s="316" t="s">
        <v>490</v>
      </c>
      <c r="AC38" s="316" t="s">
        <v>550</v>
      </c>
      <c r="AD38" s="318">
        <v>1.2396180000000001</v>
      </c>
      <c r="AE38" s="318">
        <v>491</v>
      </c>
      <c r="AF38" s="318">
        <v>3.5799999999999996</v>
      </c>
      <c r="AG38" s="318">
        <v>-99</v>
      </c>
      <c r="AH38" s="316" t="s">
        <v>222</v>
      </c>
      <c r="AI38" s="316" t="s">
        <v>258</v>
      </c>
      <c r="AJ38" s="316" t="s">
        <v>265</v>
      </c>
      <c r="AK38" s="316" t="s">
        <v>490</v>
      </c>
      <c r="AL38" s="316" t="s">
        <v>366</v>
      </c>
      <c r="AM38" s="318" t="b">
        <v>1</v>
      </c>
      <c r="AN38" s="318" t="b">
        <v>0</v>
      </c>
      <c r="AO38" s="316" t="s">
        <v>266</v>
      </c>
      <c r="AP38" s="316" t="s">
        <v>267</v>
      </c>
      <c r="AQ38" s="318">
        <v>58.122199999999992</v>
      </c>
      <c r="AR38" s="318" t="b">
        <v>0</v>
      </c>
      <c r="AS38" s="316" t="s">
        <v>1004</v>
      </c>
    </row>
    <row r="39" spans="1:45" x14ac:dyDescent="0.25">
      <c r="A39" s="250">
        <f t="shared" si="7"/>
        <v>39</v>
      </c>
      <c r="B39" s="251" t="str">
        <f t="shared" si="0"/>
        <v>Refinery - Chevron FCC - August 6-17, 1996</v>
      </c>
      <c r="C39" s="251" t="str">
        <f ca="1">IF(B39="","",VLOOKUP(D39,'Species Data'!B:E,4,FALSE))</f>
        <v>isopentane</v>
      </c>
      <c r="D39" s="251">
        <f t="shared" ca="1" si="1"/>
        <v>508</v>
      </c>
      <c r="E39" s="251">
        <f t="shared" ca="1" si="2"/>
        <v>2.96</v>
      </c>
      <c r="F39" s="251" t="str">
        <f t="shared" ca="1" si="3"/>
        <v>Isopentane (2-Methylbutane)</v>
      </c>
      <c r="G39" s="251">
        <f t="shared" ca="1" si="4"/>
        <v>72.148780000000002</v>
      </c>
      <c r="H39" s="208">
        <f ca="1">IF(G39="","",IF(VLOOKUP(VOC!D39,'Species Data'!B:F,5,FALSE)=0,"X",IF(G39&lt;44.1,2,1)))</f>
        <v>1</v>
      </c>
      <c r="I39" s="208">
        <f t="shared" ca="1" si="5"/>
        <v>2.9599999999999995</v>
      </c>
      <c r="J39" s="252">
        <f ca="1">IF(I39="","",IF(COUNTIF($D$12:D39,D39)=1,IF(H39=1,I39*H39,IF(H39="X","X",0)),0))</f>
        <v>2.9599999999999995</v>
      </c>
      <c r="K39" s="253">
        <f t="shared" ca="1" si="6"/>
        <v>5.147826086956524</v>
      </c>
      <c r="L39" s="316" t="s">
        <v>1002</v>
      </c>
      <c r="M39" s="316" t="s">
        <v>222</v>
      </c>
      <c r="N39" s="316" t="s">
        <v>258</v>
      </c>
      <c r="O39" s="317">
        <v>36342</v>
      </c>
      <c r="P39" s="316" t="s">
        <v>1003</v>
      </c>
      <c r="Q39" s="318">
        <v>100</v>
      </c>
      <c r="R39" s="316" t="s">
        <v>490</v>
      </c>
      <c r="S39" s="316" t="s">
        <v>490</v>
      </c>
      <c r="T39" s="316" t="s">
        <v>490</v>
      </c>
      <c r="U39" s="316" t="s">
        <v>490</v>
      </c>
      <c r="V39" s="318" t="b">
        <v>1</v>
      </c>
      <c r="W39" s="319"/>
      <c r="X39" s="319"/>
      <c r="Y39" s="319"/>
      <c r="Z39" s="319"/>
      <c r="AA39" s="316" t="s">
        <v>490</v>
      </c>
      <c r="AB39" s="316" t="s">
        <v>490</v>
      </c>
      <c r="AC39" s="316" t="s">
        <v>550</v>
      </c>
      <c r="AD39" s="318">
        <v>1.2396180000000001</v>
      </c>
      <c r="AE39" s="318">
        <v>508</v>
      </c>
      <c r="AF39" s="318">
        <v>2.96</v>
      </c>
      <c r="AG39" s="318">
        <v>-99</v>
      </c>
      <c r="AH39" s="316" t="s">
        <v>222</v>
      </c>
      <c r="AI39" s="316" t="s">
        <v>258</v>
      </c>
      <c r="AJ39" s="316" t="s">
        <v>334</v>
      </c>
      <c r="AK39" s="316" t="s">
        <v>490</v>
      </c>
      <c r="AL39" s="316" t="s">
        <v>385</v>
      </c>
      <c r="AM39" s="318" t="b">
        <v>1</v>
      </c>
      <c r="AN39" s="318" t="b">
        <v>0</v>
      </c>
      <c r="AO39" s="316" t="s">
        <v>335</v>
      </c>
      <c r="AP39" s="316" t="s">
        <v>336</v>
      </c>
      <c r="AQ39" s="318">
        <v>72.148780000000002</v>
      </c>
      <c r="AR39" s="318" t="b">
        <v>0</v>
      </c>
      <c r="AS39" s="316" t="s">
        <v>1004</v>
      </c>
    </row>
    <row r="40" spans="1:45" ht="15" customHeight="1" x14ac:dyDescent="0.25">
      <c r="A40" s="250">
        <f t="shared" si="7"/>
        <v>40</v>
      </c>
      <c r="B40" s="251" t="str">
        <f t="shared" si="0"/>
        <v>Refinery - Chevron FCC - August 6-17, 1996</v>
      </c>
      <c r="C40" s="251" t="str">
        <f ca="1">IF(B40="","",VLOOKUP(D40,'Species Data'!B:E,4,FALSE))</f>
        <v>Isoprene</v>
      </c>
      <c r="D40" s="251">
        <f t="shared" ca="1" si="1"/>
        <v>511</v>
      </c>
      <c r="E40" s="251">
        <f t="shared" ca="1" si="2"/>
        <v>1.9999999999999997E-2</v>
      </c>
      <c r="F40" s="251" t="str">
        <f t="shared" ca="1" si="3"/>
        <v>Isoprene (2-methyl-1,3-butadiene)</v>
      </c>
      <c r="G40" s="251">
        <f t="shared" ca="1" si="4"/>
        <v>68.117019999999997</v>
      </c>
      <c r="H40" s="208">
        <f ca="1">IF(G40="","",IF(VLOOKUP(VOC!D40,'Species Data'!B:F,5,FALSE)=0,"X",IF(G40&lt;44.1,2,1)))</f>
        <v>1</v>
      </c>
      <c r="I40" s="208">
        <f t="shared" ca="1" si="5"/>
        <v>1.9999999999999993E-2</v>
      </c>
      <c r="J40" s="252">
        <f ca="1">IF(I40="","",IF(COUNTIF($D$12:D40,D40)=1,IF(H40=1,I40*H40,IF(H40="X","X",0)),0))</f>
        <v>1.9999999999999993E-2</v>
      </c>
      <c r="K40" s="253">
        <f t="shared" ca="1" si="6"/>
        <v>3.4782608695652181E-2</v>
      </c>
      <c r="L40" s="316" t="s">
        <v>1002</v>
      </c>
      <c r="M40" s="316" t="s">
        <v>222</v>
      </c>
      <c r="N40" s="316" t="s">
        <v>258</v>
      </c>
      <c r="O40" s="317">
        <v>36342</v>
      </c>
      <c r="P40" s="316" t="s">
        <v>1003</v>
      </c>
      <c r="Q40" s="318">
        <v>100</v>
      </c>
      <c r="R40" s="316" t="s">
        <v>490</v>
      </c>
      <c r="S40" s="316" t="s">
        <v>490</v>
      </c>
      <c r="T40" s="316" t="s">
        <v>490</v>
      </c>
      <c r="U40" s="316" t="s">
        <v>490</v>
      </c>
      <c r="V40" s="318" t="b">
        <v>1</v>
      </c>
      <c r="W40" s="319"/>
      <c r="X40" s="319"/>
      <c r="Y40" s="319"/>
      <c r="Z40" s="319"/>
      <c r="AA40" s="316" t="s">
        <v>490</v>
      </c>
      <c r="AB40" s="316" t="s">
        <v>490</v>
      </c>
      <c r="AC40" s="316" t="s">
        <v>550</v>
      </c>
      <c r="AD40" s="318">
        <v>1.2396180000000001</v>
      </c>
      <c r="AE40" s="318">
        <v>511</v>
      </c>
      <c r="AF40" s="318">
        <v>1.9999999999999997E-2</v>
      </c>
      <c r="AG40" s="318">
        <v>-99</v>
      </c>
      <c r="AH40" s="316" t="s">
        <v>222</v>
      </c>
      <c r="AI40" s="316" t="s">
        <v>258</v>
      </c>
      <c r="AJ40" s="316" t="s">
        <v>1029</v>
      </c>
      <c r="AK40" s="316" t="s">
        <v>490</v>
      </c>
      <c r="AL40" s="316" t="s">
        <v>1030</v>
      </c>
      <c r="AM40" s="318" t="b">
        <v>1</v>
      </c>
      <c r="AN40" s="318" t="b">
        <v>0</v>
      </c>
      <c r="AO40" s="316" t="s">
        <v>1031</v>
      </c>
      <c r="AP40" s="316" t="s">
        <v>1032</v>
      </c>
      <c r="AQ40" s="318">
        <v>68.117019999999997</v>
      </c>
      <c r="AR40" s="318" t="b">
        <v>0</v>
      </c>
      <c r="AS40" s="316" t="s">
        <v>1004</v>
      </c>
    </row>
    <row r="41" spans="1:45" x14ac:dyDescent="0.25">
      <c r="A41" s="250">
        <f t="shared" si="7"/>
        <v>41</v>
      </c>
      <c r="B41" s="251" t="str">
        <f t="shared" si="0"/>
        <v>Refinery - Chevron FCC - August 6-17, 1996</v>
      </c>
      <c r="C41" s="251" t="str">
        <f ca="1">IF(B41="","",VLOOKUP(D41,'Species Data'!B:E,4,FALSE))</f>
        <v>isopben</v>
      </c>
      <c r="D41" s="251">
        <f t="shared" ca="1" si="1"/>
        <v>514</v>
      </c>
      <c r="E41" s="251">
        <f t="shared" ca="1" si="2"/>
        <v>0.13999999999999999</v>
      </c>
      <c r="F41" s="251" t="str">
        <f t="shared" ca="1" si="3"/>
        <v>Isopropylbenzene (cumene)</v>
      </c>
      <c r="G41" s="251">
        <f t="shared" ca="1" si="4"/>
        <v>120.19158</v>
      </c>
      <c r="H41" s="208">
        <f ca="1">IF(G41="","",IF(VLOOKUP(VOC!D41,'Species Data'!B:F,5,FALSE)=0,"X",IF(G41&lt;44.1,2,1)))</f>
        <v>1</v>
      </c>
      <c r="I41" s="208">
        <f t="shared" ca="1" si="5"/>
        <v>0.13999999999999996</v>
      </c>
      <c r="J41" s="252">
        <f ca="1">IF(I41="","",IF(COUNTIF($D$12:D41,D41)=1,IF(H41=1,I41*H41,IF(H41="X","X",0)),0))</f>
        <v>0.13999999999999996</v>
      </c>
      <c r="K41" s="253">
        <f t="shared" ca="1" si="6"/>
        <v>0.24347826086956528</v>
      </c>
      <c r="L41" s="316" t="s">
        <v>1002</v>
      </c>
      <c r="M41" s="316" t="s">
        <v>222</v>
      </c>
      <c r="N41" s="316" t="s">
        <v>258</v>
      </c>
      <c r="O41" s="317">
        <v>36342</v>
      </c>
      <c r="P41" s="316" t="s">
        <v>1003</v>
      </c>
      <c r="Q41" s="318">
        <v>100</v>
      </c>
      <c r="R41" s="316" t="s">
        <v>490</v>
      </c>
      <c r="S41" s="316" t="s">
        <v>490</v>
      </c>
      <c r="T41" s="316" t="s">
        <v>490</v>
      </c>
      <c r="U41" s="316" t="s">
        <v>490</v>
      </c>
      <c r="V41" s="318" t="b">
        <v>1</v>
      </c>
      <c r="W41" s="319"/>
      <c r="X41" s="319"/>
      <c r="Y41" s="319"/>
      <c r="Z41" s="319"/>
      <c r="AA41" s="316" t="s">
        <v>490</v>
      </c>
      <c r="AB41" s="316" t="s">
        <v>490</v>
      </c>
      <c r="AC41" s="316" t="s">
        <v>550</v>
      </c>
      <c r="AD41" s="318">
        <v>1.2396180000000001</v>
      </c>
      <c r="AE41" s="318">
        <v>514</v>
      </c>
      <c r="AF41" s="318">
        <v>0.13999999999999999</v>
      </c>
      <c r="AG41" s="318">
        <v>-99</v>
      </c>
      <c r="AH41" s="316" t="s">
        <v>222</v>
      </c>
      <c r="AI41" s="316" t="s">
        <v>258</v>
      </c>
      <c r="AJ41" s="316" t="s">
        <v>353</v>
      </c>
      <c r="AK41" s="316" t="s">
        <v>490</v>
      </c>
      <c r="AL41" s="316" t="s">
        <v>389</v>
      </c>
      <c r="AM41" s="318" t="b">
        <v>1</v>
      </c>
      <c r="AN41" s="318" t="b">
        <v>1</v>
      </c>
      <c r="AO41" s="316" t="s">
        <v>354</v>
      </c>
      <c r="AP41" s="316" t="s">
        <v>355</v>
      </c>
      <c r="AQ41" s="318">
        <v>120.19158</v>
      </c>
      <c r="AR41" s="318" t="b">
        <v>0</v>
      </c>
      <c r="AS41" s="316" t="s">
        <v>1004</v>
      </c>
    </row>
    <row r="42" spans="1:45" x14ac:dyDescent="0.25">
      <c r="A42" s="250">
        <f t="shared" si="7"/>
        <v>42</v>
      </c>
      <c r="B42" s="251" t="str">
        <f t="shared" si="0"/>
        <v>Refinery - Chevron FCC - August 6-17, 1996</v>
      </c>
      <c r="C42" s="251" t="str">
        <f ca="1">IF(B42="","",VLOOKUP(D42,'Species Data'!B:E,4,FALSE))</f>
        <v>xylene</v>
      </c>
      <c r="D42" s="251">
        <f t="shared" ca="1" si="1"/>
        <v>522</v>
      </c>
      <c r="E42" s="251">
        <f t="shared" ca="1" si="2"/>
        <v>0.74</v>
      </c>
      <c r="F42" s="251" t="str">
        <f t="shared" ca="1" si="3"/>
        <v>M &amp; p-xylene</v>
      </c>
      <c r="G42" s="251">
        <f t="shared" ca="1" si="4"/>
        <v>106.16500000000001</v>
      </c>
      <c r="H42" s="208">
        <f ca="1">IF(G42="","",IF(VLOOKUP(VOC!D42,'Species Data'!B:F,5,FALSE)=0,"X",IF(G42&lt;44.1,2,1)))</f>
        <v>1</v>
      </c>
      <c r="I42" s="208">
        <f t="shared" ca="1" si="5"/>
        <v>0.73999999999999988</v>
      </c>
      <c r="J42" s="252">
        <f ca="1">IF(I42="","",IF(COUNTIF($D$12:D42,D42)=1,IF(H42=1,I42*H42,IF(H42="X","X",0)),0))</f>
        <v>0.73999999999999988</v>
      </c>
      <c r="K42" s="253">
        <f t="shared" ca="1" si="6"/>
        <v>1.286956521739131</v>
      </c>
      <c r="L42" s="316" t="s">
        <v>1002</v>
      </c>
      <c r="M42" s="316" t="s">
        <v>222</v>
      </c>
      <c r="N42" s="316" t="s">
        <v>258</v>
      </c>
      <c r="O42" s="317">
        <v>36342</v>
      </c>
      <c r="P42" s="316" t="s">
        <v>1003</v>
      </c>
      <c r="Q42" s="318">
        <v>100</v>
      </c>
      <c r="R42" s="316" t="s">
        <v>490</v>
      </c>
      <c r="S42" s="316" t="s">
        <v>490</v>
      </c>
      <c r="T42" s="316" t="s">
        <v>490</v>
      </c>
      <c r="U42" s="316" t="s">
        <v>490</v>
      </c>
      <c r="V42" s="318" t="b">
        <v>1</v>
      </c>
      <c r="W42" s="319"/>
      <c r="X42" s="319"/>
      <c r="Y42" s="319"/>
      <c r="Z42" s="319"/>
      <c r="AA42" s="316" t="s">
        <v>490</v>
      </c>
      <c r="AB42" s="316" t="s">
        <v>490</v>
      </c>
      <c r="AC42" s="316" t="s">
        <v>550</v>
      </c>
      <c r="AD42" s="318">
        <v>1.2396180000000001</v>
      </c>
      <c r="AE42" s="318">
        <v>522</v>
      </c>
      <c r="AF42" s="318">
        <v>0.74</v>
      </c>
      <c r="AG42" s="318">
        <v>-99</v>
      </c>
      <c r="AH42" s="316" t="s">
        <v>222</v>
      </c>
      <c r="AI42" s="316" t="s">
        <v>258</v>
      </c>
      <c r="AJ42" s="316" t="s">
        <v>337</v>
      </c>
      <c r="AK42" s="316" t="s">
        <v>490</v>
      </c>
      <c r="AL42" s="316" t="s">
        <v>552</v>
      </c>
      <c r="AM42" s="318" t="b">
        <v>1</v>
      </c>
      <c r="AN42" s="318" t="b">
        <v>1</v>
      </c>
      <c r="AO42" s="316" t="s">
        <v>338</v>
      </c>
      <c r="AP42" s="316" t="s">
        <v>339</v>
      </c>
      <c r="AQ42" s="318">
        <v>106.16500000000001</v>
      </c>
      <c r="AR42" s="318" t="b">
        <v>0</v>
      </c>
      <c r="AS42" s="316" t="s">
        <v>1004</v>
      </c>
    </row>
    <row r="43" spans="1:45" x14ac:dyDescent="0.25">
      <c r="A43" s="250">
        <f t="shared" si="7"/>
        <v>43</v>
      </c>
      <c r="B43" s="251" t="str">
        <f t="shared" si="0"/>
        <v>Refinery - Chevron FCC - August 6-17, 1996</v>
      </c>
      <c r="C43" s="251" t="str">
        <f ca="1">IF(B43="","",VLOOKUP(D43,'Species Data'!B:E,4,FALSE))</f>
        <v>methcychex</v>
      </c>
      <c r="D43" s="251">
        <f t="shared" ca="1" si="1"/>
        <v>550</v>
      </c>
      <c r="E43" s="251">
        <f t="shared" ca="1" si="2"/>
        <v>0.62</v>
      </c>
      <c r="F43" s="251" t="str">
        <f t="shared" ca="1" si="3"/>
        <v>Methylcyclohexane</v>
      </c>
      <c r="G43" s="251">
        <f t="shared" ca="1" si="4"/>
        <v>98.186059999999998</v>
      </c>
      <c r="H43" s="208">
        <f ca="1">IF(G43="","",IF(VLOOKUP(VOC!D43,'Species Data'!B:F,5,FALSE)=0,"X",IF(G43&lt;44.1,2,1)))</f>
        <v>1</v>
      </c>
      <c r="I43" s="208">
        <f t="shared" ca="1" si="5"/>
        <v>0.61999999999999988</v>
      </c>
      <c r="J43" s="252">
        <f ca="1">IF(I43="","",IF(COUNTIF($D$12:D43,D43)=1,IF(H43=1,I43*H43,IF(H43="X","X",0)),0))</f>
        <v>0.61999999999999988</v>
      </c>
      <c r="K43" s="253">
        <f t="shared" ca="1" si="6"/>
        <v>1.0782608695652178</v>
      </c>
      <c r="L43" s="316" t="s">
        <v>1002</v>
      </c>
      <c r="M43" s="316" t="s">
        <v>222</v>
      </c>
      <c r="N43" s="316" t="s">
        <v>258</v>
      </c>
      <c r="O43" s="317">
        <v>36342</v>
      </c>
      <c r="P43" s="316" t="s">
        <v>1003</v>
      </c>
      <c r="Q43" s="318">
        <v>100</v>
      </c>
      <c r="R43" s="316" t="s">
        <v>490</v>
      </c>
      <c r="S43" s="316" t="s">
        <v>490</v>
      </c>
      <c r="T43" s="316" t="s">
        <v>490</v>
      </c>
      <c r="U43" s="316" t="s">
        <v>490</v>
      </c>
      <c r="V43" s="318" t="b">
        <v>1</v>
      </c>
      <c r="W43" s="319"/>
      <c r="X43" s="319"/>
      <c r="Y43" s="319"/>
      <c r="Z43" s="319"/>
      <c r="AA43" s="316" t="s">
        <v>490</v>
      </c>
      <c r="AB43" s="316" t="s">
        <v>490</v>
      </c>
      <c r="AC43" s="316" t="s">
        <v>550</v>
      </c>
      <c r="AD43" s="318">
        <v>1.2396180000000001</v>
      </c>
      <c r="AE43" s="318">
        <v>550</v>
      </c>
      <c r="AF43" s="318">
        <v>0.62</v>
      </c>
      <c r="AG43" s="318">
        <v>-99</v>
      </c>
      <c r="AH43" s="316" t="s">
        <v>222</v>
      </c>
      <c r="AI43" s="316" t="s">
        <v>258</v>
      </c>
      <c r="AJ43" s="316" t="s">
        <v>340</v>
      </c>
      <c r="AK43" s="316" t="s">
        <v>490</v>
      </c>
      <c r="AL43" s="316" t="s">
        <v>386</v>
      </c>
      <c r="AM43" s="318" t="b">
        <v>1</v>
      </c>
      <c r="AN43" s="318" t="b">
        <v>0</v>
      </c>
      <c r="AO43" s="316" t="s">
        <v>341</v>
      </c>
      <c r="AP43" s="316" t="s">
        <v>342</v>
      </c>
      <c r="AQ43" s="318">
        <v>98.186059999999998</v>
      </c>
      <c r="AR43" s="318" t="b">
        <v>0</v>
      </c>
      <c r="AS43" s="316" t="s">
        <v>1004</v>
      </c>
    </row>
    <row r="44" spans="1:45" x14ac:dyDescent="0.25">
      <c r="A44" s="250">
        <f t="shared" si="7"/>
        <v>44</v>
      </c>
      <c r="B44" s="251" t="str">
        <f t="shared" ref="B44:B75" si="8">IF(ROW(A44)-(ROW($A$12))&lt;$B$10,$B$9,"")</f>
        <v>Refinery - Chevron FCC - August 6-17, 1996</v>
      </c>
      <c r="C44" s="251" t="str">
        <f ca="1">IF(B44="","",VLOOKUP(D44,'Species Data'!B:E,4,FALSE))</f>
        <v>methcycpen</v>
      </c>
      <c r="D44" s="251">
        <f t="shared" ca="1" si="1"/>
        <v>551</v>
      </c>
      <c r="E44" s="251">
        <f t="shared" ca="1" si="2"/>
        <v>0.95</v>
      </c>
      <c r="F44" s="251" t="str">
        <f t="shared" ca="1" si="3"/>
        <v>Methylcyclopentane</v>
      </c>
      <c r="G44" s="251">
        <f t="shared" ca="1" si="4"/>
        <v>84.159480000000002</v>
      </c>
      <c r="H44" s="208">
        <f ca="1">IF(G44="","",IF(VLOOKUP(VOC!D44,'Species Data'!B:F,5,FALSE)=0,"X",IF(G44&lt;44.1,2,1)))</f>
        <v>1</v>
      </c>
      <c r="I44" s="208">
        <f t="shared" ca="1" si="5"/>
        <v>0.94999999999999973</v>
      </c>
      <c r="J44" s="252">
        <f ca="1">IF(I44="","",IF(COUNTIF($D$12:D44,D44)=1,IF(H44=1,I44*H44,IF(H44="X","X",0)),0))</f>
        <v>0.94999999999999973</v>
      </c>
      <c r="K44" s="253">
        <f t="shared" ca="1" si="6"/>
        <v>1.6521739130434785</v>
      </c>
      <c r="L44" s="316" t="s">
        <v>1002</v>
      </c>
      <c r="M44" s="316" t="s">
        <v>222</v>
      </c>
      <c r="N44" s="316" t="s">
        <v>258</v>
      </c>
      <c r="O44" s="317">
        <v>36342</v>
      </c>
      <c r="P44" s="316" t="s">
        <v>1003</v>
      </c>
      <c r="Q44" s="318">
        <v>100</v>
      </c>
      <c r="R44" s="316" t="s">
        <v>490</v>
      </c>
      <c r="S44" s="316" t="s">
        <v>490</v>
      </c>
      <c r="T44" s="316" t="s">
        <v>490</v>
      </c>
      <c r="U44" s="316" t="s">
        <v>490</v>
      </c>
      <c r="V44" s="318" t="b">
        <v>1</v>
      </c>
      <c r="W44" s="319"/>
      <c r="X44" s="319"/>
      <c r="Y44" s="319"/>
      <c r="Z44" s="319"/>
      <c r="AA44" s="316" t="s">
        <v>490</v>
      </c>
      <c r="AB44" s="316" t="s">
        <v>490</v>
      </c>
      <c r="AC44" s="316" t="s">
        <v>550</v>
      </c>
      <c r="AD44" s="318">
        <v>1.2396180000000001</v>
      </c>
      <c r="AE44" s="318">
        <v>551</v>
      </c>
      <c r="AF44" s="318">
        <v>0.95</v>
      </c>
      <c r="AG44" s="318">
        <v>-99</v>
      </c>
      <c r="AH44" s="316" t="s">
        <v>222</v>
      </c>
      <c r="AI44" s="316" t="s">
        <v>258</v>
      </c>
      <c r="AJ44" s="316" t="s">
        <v>343</v>
      </c>
      <c r="AK44" s="316" t="s">
        <v>490</v>
      </c>
      <c r="AL44" s="316" t="s">
        <v>387</v>
      </c>
      <c r="AM44" s="318" t="b">
        <v>1</v>
      </c>
      <c r="AN44" s="318" t="b">
        <v>0</v>
      </c>
      <c r="AO44" s="316" t="s">
        <v>344</v>
      </c>
      <c r="AP44" s="316" t="s">
        <v>345</v>
      </c>
      <c r="AQ44" s="318">
        <v>84.159480000000002</v>
      </c>
      <c r="AR44" s="318" t="b">
        <v>0</v>
      </c>
      <c r="AS44" s="316" t="s">
        <v>1004</v>
      </c>
    </row>
    <row r="45" spans="1:45" x14ac:dyDescent="0.25">
      <c r="A45" s="250">
        <f t="shared" ref="A45:A76" si="9">IF(B45="","",A44+1)</f>
        <v>45</v>
      </c>
      <c r="B45" s="251" t="str">
        <f t="shared" si="8"/>
        <v>Refinery - Chevron FCC - August 6-17, 1996</v>
      </c>
      <c r="C45" s="251" t="str">
        <f ca="1">IF(B45="","",VLOOKUP(D45,'Species Data'!B:E,4,FALSE))</f>
        <v>N_but</v>
      </c>
      <c r="D45" s="251">
        <f t="shared" ca="1" si="1"/>
        <v>592</v>
      </c>
      <c r="E45" s="251">
        <f t="shared" ca="1" si="2"/>
        <v>9.4599999999999991</v>
      </c>
      <c r="F45" s="251" t="str">
        <f t="shared" ca="1" si="3"/>
        <v>N-butane</v>
      </c>
      <c r="G45" s="251">
        <f t="shared" ca="1" si="4"/>
        <v>58.122199999999992</v>
      </c>
      <c r="H45" s="208">
        <f ca="1">IF(G45="","",IF(VLOOKUP(VOC!D45,'Species Data'!B:F,5,FALSE)=0,"X",IF(G45&lt;44.1,2,1)))</f>
        <v>1</v>
      </c>
      <c r="I45" s="208">
        <f t="shared" ca="1" si="5"/>
        <v>9.4599999999999973</v>
      </c>
      <c r="J45" s="252">
        <f ca="1">IF(I45="","",IF(COUNTIF($D$12:D45,D45)=1,IF(H45=1,I45*H45,IF(H45="X","X",0)),0))</f>
        <v>9.4599999999999973</v>
      </c>
      <c r="K45" s="253">
        <f t="shared" ca="1" si="6"/>
        <v>16.452173913043485</v>
      </c>
      <c r="L45" s="316" t="s">
        <v>1002</v>
      </c>
      <c r="M45" s="316" t="s">
        <v>222</v>
      </c>
      <c r="N45" s="316" t="s">
        <v>258</v>
      </c>
      <c r="O45" s="317">
        <v>36342</v>
      </c>
      <c r="P45" s="316" t="s">
        <v>1003</v>
      </c>
      <c r="Q45" s="318">
        <v>100</v>
      </c>
      <c r="R45" s="316" t="s">
        <v>490</v>
      </c>
      <c r="S45" s="316" t="s">
        <v>490</v>
      </c>
      <c r="T45" s="316" t="s">
        <v>490</v>
      </c>
      <c r="U45" s="316" t="s">
        <v>490</v>
      </c>
      <c r="V45" s="318" t="b">
        <v>1</v>
      </c>
      <c r="W45" s="319"/>
      <c r="X45" s="319"/>
      <c r="Y45" s="319"/>
      <c r="Z45" s="319"/>
      <c r="AA45" s="316" t="s">
        <v>490</v>
      </c>
      <c r="AB45" s="316" t="s">
        <v>490</v>
      </c>
      <c r="AC45" s="316" t="s">
        <v>550</v>
      </c>
      <c r="AD45" s="318">
        <v>1.2396180000000001</v>
      </c>
      <c r="AE45" s="318">
        <v>592</v>
      </c>
      <c r="AF45" s="318">
        <v>9.4599999999999991</v>
      </c>
      <c r="AG45" s="318">
        <v>-99</v>
      </c>
      <c r="AH45" s="316" t="s">
        <v>222</v>
      </c>
      <c r="AI45" s="316" t="s">
        <v>258</v>
      </c>
      <c r="AJ45" s="316" t="s">
        <v>269</v>
      </c>
      <c r="AK45" s="316" t="s">
        <v>490</v>
      </c>
      <c r="AL45" s="316" t="s">
        <v>367</v>
      </c>
      <c r="AM45" s="318" t="b">
        <v>1</v>
      </c>
      <c r="AN45" s="318" t="b">
        <v>0</v>
      </c>
      <c r="AO45" s="316" t="s">
        <v>270</v>
      </c>
      <c r="AP45" s="316" t="s">
        <v>271</v>
      </c>
      <c r="AQ45" s="318">
        <v>58.122199999999992</v>
      </c>
      <c r="AR45" s="318" t="b">
        <v>0</v>
      </c>
      <c r="AS45" s="316" t="s">
        <v>1004</v>
      </c>
    </row>
    <row r="46" spans="1:45" x14ac:dyDescent="0.25">
      <c r="A46" s="250">
        <f t="shared" si="9"/>
        <v>46</v>
      </c>
      <c r="B46" s="251" t="str">
        <f t="shared" si="8"/>
        <v>Refinery - Chevron FCC - August 6-17, 1996</v>
      </c>
      <c r="C46" s="251" t="str">
        <f ca="1">IF(B46="","",VLOOKUP(D46,'Species Data'!B:E,4,FALSE))</f>
        <v>N_dec</v>
      </c>
      <c r="D46" s="251">
        <f t="shared" ca="1" si="1"/>
        <v>598</v>
      </c>
      <c r="E46" s="251">
        <f t="shared" ca="1" si="2"/>
        <v>0.45999999999999996</v>
      </c>
      <c r="F46" s="251" t="str">
        <f t="shared" ca="1" si="3"/>
        <v>N-decane</v>
      </c>
      <c r="G46" s="251">
        <f t="shared" ca="1" si="4"/>
        <v>142.28167999999999</v>
      </c>
      <c r="H46" s="208">
        <f ca="1">IF(G46="","",IF(VLOOKUP(VOC!D46,'Species Data'!B:F,5,FALSE)=0,"X",IF(G46&lt;44.1,2,1)))</f>
        <v>1</v>
      </c>
      <c r="I46" s="208">
        <f t="shared" ca="1" si="5"/>
        <v>0.45999999999999985</v>
      </c>
      <c r="J46" s="252">
        <f ca="1">IF(I46="","",IF(COUNTIF($D$12:D46,D46)=1,IF(H46=1,I46*H46,IF(H46="X","X",0)),0))</f>
        <v>0.45999999999999985</v>
      </c>
      <c r="K46" s="253">
        <f t="shared" ca="1" si="6"/>
        <v>0.80000000000000016</v>
      </c>
      <c r="L46" s="316" t="s">
        <v>1002</v>
      </c>
      <c r="M46" s="316" t="s">
        <v>222</v>
      </c>
      <c r="N46" s="316" t="s">
        <v>258</v>
      </c>
      <c r="O46" s="317">
        <v>36342</v>
      </c>
      <c r="P46" s="316" t="s">
        <v>1003</v>
      </c>
      <c r="Q46" s="318">
        <v>100</v>
      </c>
      <c r="R46" s="316" t="s">
        <v>490</v>
      </c>
      <c r="S46" s="316" t="s">
        <v>490</v>
      </c>
      <c r="T46" s="316" t="s">
        <v>490</v>
      </c>
      <c r="U46" s="316" t="s">
        <v>490</v>
      </c>
      <c r="V46" s="318" t="b">
        <v>1</v>
      </c>
      <c r="W46" s="319"/>
      <c r="X46" s="319"/>
      <c r="Y46" s="319"/>
      <c r="Z46" s="319"/>
      <c r="AA46" s="316" t="s">
        <v>490</v>
      </c>
      <c r="AB46" s="316" t="s">
        <v>490</v>
      </c>
      <c r="AC46" s="316" t="s">
        <v>550</v>
      </c>
      <c r="AD46" s="318">
        <v>1.2396180000000001</v>
      </c>
      <c r="AE46" s="318">
        <v>598</v>
      </c>
      <c r="AF46" s="318">
        <v>0.45999999999999996</v>
      </c>
      <c r="AG46" s="318">
        <v>-99</v>
      </c>
      <c r="AH46" s="316" t="s">
        <v>222</v>
      </c>
      <c r="AI46" s="316" t="s">
        <v>258</v>
      </c>
      <c r="AJ46" s="316" t="s">
        <v>404</v>
      </c>
      <c r="AK46" s="316" t="s">
        <v>490</v>
      </c>
      <c r="AL46" s="316" t="s">
        <v>427</v>
      </c>
      <c r="AM46" s="318" t="b">
        <v>1</v>
      </c>
      <c r="AN46" s="318" t="b">
        <v>0</v>
      </c>
      <c r="AO46" s="316" t="s">
        <v>405</v>
      </c>
      <c r="AP46" s="316" t="s">
        <v>406</v>
      </c>
      <c r="AQ46" s="318">
        <v>142.28167999999999</v>
      </c>
      <c r="AR46" s="318" t="b">
        <v>0</v>
      </c>
      <c r="AS46" s="316" t="s">
        <v>1004</v>
      </c>
    </row>
    <row r="47" spans="1:45" x14ac:dyDescent="0.25">
      <c r="A47" s="250">
        <f t="shared" si="9"/>
        <v>47</v>
      </c>
      <c r="B47" s="251" t="str">
        <f t="shared" si="8"/>
        <v>Refinery - Chevron FCC - August 6-17, 1996</v>
      </c>
      <c r="C47" s="251" t="str">
        <f ca="1">IF(B47="","",VLOOKUP(D47,'Species Data'!B:E,4,FALSE))</f>
        <v>N_hep</v>
      </c>
      <c r="D47" s="251">
        <f t="shared" ca="1" si="1"/>
        <v>600</v>
      </c>
      <c r="E47" s="251">
        <f t="shared" ca="1" si="2"/>
        <v>1.0799999999999998</v>
      </c>
      <c r="F47" s="251" t="str">
        <f t="shared" ca="1" si="3"/>
        <v>N-heptane</v>
      </c>
      <c r="G47" s="251">
        <f t="shared" ca="1" si="4"/>
        <v>100.20194000000001</v>
      </c>
      <c r="H47" s="208">
        <f ca="1">IF(G47="","",IF(VLOOKUP(VOC!D47,'Species Data'!B:F,5,FALSE)=0,"X",IF(G47&lt;44.1,2,1)))</f>
        <v>1</v>
      </c>
      <c r="I47" s="208">
        <f t="shared" ca="1" si="5"/>
        <v>1.0799999999999996</v>
      </c>
      <c r="J47" s="252">
        <f ca="1">IF(I47="","",IF(COUNTIF($D$12:D47,D47)=1,IF(H47=1,I47*H47,IF(H47="X","X",0)),0))</f>
        <v>1.0799999999999996</v>
      </c>
      <c r="K47" s="253">
        <f t="shared" ca="1" si="6"/>
        <v>1.8782608695652177</v>
      </c>
      <c r="L47" s="316" t="s">
        <v>1002</v>
      </c>
      <c r="M47" s="316" t="s">
        <v>222</v>
      </c>
      <c r="N47" s="316" t="s">
        <v>258</v>
      </c>
      <c r="O47" s="317">
        <v>36342</v>
      </c>
      <c r="P47" s="316" t="s">
        <v>1003</v>
      </c>
      <c r="Q47" s="318">
        <v>100</v>
      </c>
      <c r="R47" s="316" t="s">
        <v>490</v>
      </c>
      <c r="S47" s="316" t="s">
        <v>490</v>
      </c>
      <c r="T47" s="316" t="s">
        <v>490</v>
      </c>
      <c r="U47" s="316" t="s">
        <v>490</v>
      </c>
      <c r="V47" s="318" t="b">
        <v>1</v>
      </c>
      <c r="W47" s="319"/>
      <c r="X47" s="319"/>
      <c r="Y47" s="319"/>
      <c r="Z47" s="319"/>
      <c r="AA47" s="316" t="s">
        <v>490</v>
      </c>
      <c r="AB47" s="316" t="s">
        <v>490</v>
      </c>
      <c r="AC47" s="316" t="s">
        <v>550</v>
      </c>
      <c r="AD47" s="318">
        <v>1.2396180000000001</v>
      </c>
      <c r="AE47" s="318">
        <v>600</v>
      </c>
      <c r="AF47" s="318">
        <v>1.0799999999999998</v>
      </c>
      <c r="AG47" s="318">
        <v>-99</v>
      </c>
      <c r="AH47" s="316" t="s">
        <v>222</v>
      </c>
      <c r="AI47" s="316" t="s">
        <v>258</v>
      </c>
      <c r="AJ47" s="316" t="s">
        <v>272</v>
      </c>
      <c r="AK47" s="316" t="s">
        <v>490</v>
      </c>
      <c r="AL47" s="316" t="s">
        <v>368</v>
      </c>
      <c r="AM47" s="318" t="b">
        <v>1</v>
      </c>
      <c r="AN47" s="318" t="b">
        <v>0</v>
      </c>
      <c r="AO47" s="316" t="s">
        <v>273</v>
      </c>
      <c r="AP47" s="316" t="s">
        <v>274</v>
      </c>
      <c r="AQ47" s="318">
        <v>100.20194000000001</v>
      </c>
      <c r="AR47" s="318" t="b">
        <v>0</v>
      </c>
      <c r="AS47" s="316" t="s">
        <v>1004</v>
      </c>
    </row>
    <row r="48" spans="1:45" x14ac:dyDescent="0.25">
      <c r="A48" s="250">
        <f t="shared" si="9"/>
        <v>48</v>
      </c>
      <c r="B48" s="251" t="str">
        <f t="shared" si="8"/>
        <v>Refinery - Chevron FCC - August 6-17, 1996</v>
      </c>
      <c r="C48" s="251" t="str">
        <f ca="1">IF(B48="","",VLOOKUP(D48,'Species Data'!B:E,4,FALSE))</f>
        <v>N_hex</v>
      </c>
      <c r="D48" s="251">
        <f t="shared" ca="1" si="1"/>
        <v>601</v>
      </c>
      <c r="E48" s="251">
        <f t="shared" ca="1" si="2"/>
        <v>1.64</v>
      </c>
      <c r="F48" s="251" t="str">
        <f t="shared" ca="1" si="3"/>
        <v>N-hexane</v>
      </c>
      <c r="G48" s="251">
        <f t="shared" ca="1" si="4"/>
        <v>86.175359999999998</v>
      </c>
      <c r="H48" s="208">
        <f ca="1">IF(G48="","",IF(VLOOKUP(VOC!D48,'Species Data'!B:F,5,FALSE)=0,"X",IF(G48&lt;44.1,2,1)))</f>
        <v>1</v>
      </c>
      <c r="I48" s="208">
        <f t="shared" ca="1" si="5"/>
        <v>1.6399999999999995</v>
      </c>
      <c r="J48" s="252">
        <f ca="1">IF(I48="","",IF(COUNTIF($D$12:D48,D48)=1,IF(H48=1,I48*H48,IF(H48="X","X",0)),0))</f>
        <v>1.6399999999999995</v>
      </c>
      <c r="K48" s="253">
        <f t="shared" ca="1" si="6"/>
        <v>2.8521739130434787</v>
      </c>
      <c r="L48" s="316" t="s">
        <v>1002</v>
      </c>
      <c r="M48" s="316" t="s">
        <v>222</v>
      </c>
      <c r="N48" s="316" t="s">
        <v>258</v>
      </c>
      <c r="O48" s="317">
        <v>36342</v>
      </c>
      <c r="P48" s="316" t="s">
        <v>1003</v>
      </c>
      <c r="Q48" s="318">
        <v>100</v>
      </c>
      <c r="R48" s="316" t="s">
        <v>490</v>
      </c>
      <c r="S48" s="316" t="s">
        <v>490</v>
      </c>
      <c r="T48" s="316" t="s">
        <v>490</v>
      </c>
      <c r="U48" s="316" t="s">
        <v>490</v>
      </c>
      <c r="V48" s="318" t="b">
        <v>1</v>
      </c>
      <c r="W48" s="319"/>
      <c r="X48" s="319"/>
      <c r="Y48" s="319"/>
      <c r="Z48" s="319"/>
      <c r="AA48" s="316" t="s">
        <v>490</v>
      </c>
      <c r="AB48" s="316" t="s">
        <v>490</v>
      </c>
      <c r="AC48" s="316" t="s">
        <v>550</v>
      </c>
      <c r="AD48" s="318">
        <v>1.2396180000000001</v>
      </c>
      <c r="AE48" s="318">
        <v>601</v>
      </c>
      <c r="AF48" s="318">
        <v>1.64</v>
      </c>
      <c r="AG48" s="318">
        <v>-99</v>
      </c>
      <c r="AH48" s="316" t="s">
        <v>222</v>
      </c>
      <c r="AI48" s="316" t="s">
        <v>258</v>
      </c>
      <c r="AJ48" s="316" t="s">
        <v>275</v>
      </c>
      <c r="AK48" s="316" t="s">
        <v>490</v>
      </c>
      <c r="AL48" s="316" t="s">
        <v>369</v>
      </c>
      <c r="AM48" s="318" t="b">
        <v>1</v>
      </c>
      <c r="AN48" s="318" t="b">
        <v>1</v>
      </c>
      <c r="AO48" s="316" t="s">
        <v>276</v>
      </c>
      <c r="AP48" s="316" t="s">
        <v>277</v>
      </c>
      <c r="AQ48" s="318">
        <v>86.175359999999998</v>
      </c>
      <c r="AR48" s="318" t="b">
        <v>0</v>
      </c>
      <c r="AS48" s="316" t="s">
        <v>1004</v>
      </c>
    </row>
    <row r="49" spans="1:45" x14ac:dyDescent="0.25">
      <c r="A49" s="250">
        <f t="shared" si="9"/>
        <v>49</v>
      </c>
      <c r="B49" s="251" t="str">
        <f t="shared" si="8"/>
        <v>Refinery - Chevron FCC - August 6-17, 1996</v>
      </c>
      <c r="C49" s="251" t="str">
        <f ca="1">IF(B49="","",VLOOKUP(D49,'Species Data'!B:E,4,FALSE))</f>
        <v>N_nonane</v>
      </c>
      <c r="D49" s="251">
        <f t="shared" ca="1" si="1"/>
        <v>603</v>
      </c>
      <c r="E49" s="251">
        <f t="shared" ca="1" si="2"/>
        <v>0.62</v>
      </c>
      <c r="F49" s="251" t="str">
        <f t="shared" ca="1" si="3"/>
        <v>N-nonane</v>
      </c>
      <c r="G49" s="251">
        <f t="shared" ca="1" si="4"/>
        <v>128.2551</v>
      </c>
      <c r="H49" s="208">
        <f ca="1">IF(G49="","",IF(VLOOKUP(VOC!D49,'Species Data'!B:F,5,FALSE)=0,"X",IF(G49&lt;44.1,2,1)))</f>
        <v>1</v>
      </c>
      <c r="I49" s="208">
        <f t="shared" ca="1" si="5"/>
        <v>0.61999999999999988</v>
      </c>
      <c r="J49" s="252">
        <f ca="1">IF(I49="","",IF(COUNTIF($D$12:D49,D49)=1,IF(H49=1,I49*H49,IF(H49="X","X",0)),0))</f>
        <v>0.61999999999999988</v>
      </c>
      <c r="K49" s="253">
        <f t="shared" ca="1" si="6"/>
        <v>1.0782608695652178</v>
      </c>
      <c r="L49" s="316" t="s">
        <v>1002</v>
      </c>
      <c r="M49" s="316" t="s">
        <v>222</v>
      </c>
      <c r="N49" s="316" t="s">
        <v>258</v>
      </c>
      <c r="O49" s="317">
        <v>36342</v>
      </c>
      <c r="P49" s="316" t="s">
        <v>1003</v>
      </c>
      <c r="Q49" s="318">
        <v>100</v>
      </c>
      <c r="R49" s="316" t="s">
        <v>490</v>
      </c>
      <c r="S49" s="316" t="s">
        <v>490</v>
      </c>
      <c r="T49" s="316" t="s">
        <v>490</v>
      </c>
      <c r="U49" s="316" t="s">
        <v>490</v>
      </c>
      <c r="V49" s="318" t="b">
        <v>1</v>
      </c>
      <c r="W49" s="319"/>
      <c r="X49" s="319"/>
      <c r="Y49" s="319"/>
      <c r="Z49" s="319"/>
      <c r="AA49" s="316" t="s">
        <v>490</v>
      </c>
      <c r="AB49" s="316" t="s">
        <v>490</v>
      </c>
      <c r="AC49" s="316" t="s">
        <v>550</v>
      </c>
      <c r="AD49" s="318">
        <v>1.2396180000000001</v>
      </c>
      <c r="AE49" s="318">
        <v>603</v>
      </c>
      <c r="AF49" s="318">
        <v>0.62</v>
      </c>
      <c r="AG49" s="318">
        <v>-99</v>
      </c>
      <c r="AH49" s="316" t="s">
        <v>222</v>
      </c>
      <c r="AI49" s="316" t="s">
        <v>258</v>
      </c>
      <c r="AJ49" s="316" t="s">
        <v>407</v>
      </c>
      <c r="AK49" s="316" t="s">
        <v>490</v>
      </c>
      <c r="AL49" s="316" t="s">
        <v>428</v>
      </c>
      <c r="AM49" s="318" t="b">
        <v>1</v>
      </c>
      <c r="AN49" s="318" t="b">
        <v>0</v>
      </c>
      <c r="AO49" s="316" t="s">
        <v>408</v>
      </c>
      <c r="AP49" s="316" t="s">
        <v>409</v>
      </c>
      <c r="AQ49" s="318">
        <v>128.2551</v>
      </c>
      <c r="AR49" s="318" t="b">
        <v>0</v>
      </c>
      <c r="AS49" s="316" t="s">
        <v>1004</v>
      </c>
    </row>
    <row r="50" spans="1:45" x14ac:dyDescent="0.25">
      <c r="A50" s="250">
        <f t="shared" si="9"/>
        <v>50</v>
      </c>
      <c r="B50" s="251" t="str">
        <f t="shared" si="8"/>
        <v>Refinery - Chevron FCC - August 6-17, 1996</v>
      </c>
      <c r="C50" s="251" t="str">
        <f ca="1">IF(B50="","",VLOOKUP(D50,'Species Data'!B:E,4,FALSE))</f>
        <v>N_octane</v>
      </c>
      <c r="D50" s="251">
        <f t="shared" ca="1" si="1"/>
        <v>604</v>
      </c>
      <c r="E50" s="251">
        <f t="shared" ca="1" si="2"/>
        <v>0.79999999999999993</v>
      </c>
      <c r="F50" s="251" t="str">
        <f t="shared" ca="1" si="3"/>
        <v>N-octane</v>
      </c>
      <c r="G50" s="251">
        <f t="shared" ca="1" si="4"/>
        <v>114.22852</v>
      </c>
      <c r="H50" s="208">
        <f ca="1">IF(G50="","",IF(VLOOKUP(VOC!D50,'Species Data'!B:F,5,FALSE)=0,"X",IF(G50&lt;44.1,2,1)))</f>
        <v>1</v>
      </c>
      <c r="I50" s="208">
        <f t="shared" ca="1" si="5"/>
        <v>0.79999999999999971</v>
      </c>
      <c r="J50" s="252">
        <f ca="1">IF(I50="","",IF(COUNTIF($D$12:D50,D50)=1,IF(H50=1,I50*H50,IF(H50="X","X",0)),0))</f>
        <v>0.79999999999999971</v>
      </c>
      <c r="K50" s="253">
        <f t="shared" ca="1" si="6"/>
        <v>1.3913043478260871</v>
      </c>
      <c r="L50" s="316" t="s">
        <v>1002</v>
      </c>
      <c r="M50" s="316" t="s">
        <v>222</v>
      </c>
      <c r="N50" s="316" t="s">
        <v>258</v>
      </c>
      <c r="O50" s="317">
        <v>36342</v>
      </c>
      <c r="P50" s="316" t="s">
        <v>1003</v>
      </c>
      <c r="Q50" s="318">
        <v>100</v>
      </c>
      <c r="R50" s="316" t="s">
        <v>490</v>
      </c>
      <c r="S50" s="316" t="s">
        <v>490</v>
      </c>
      <c r="T50" s="316" t="s">
        <v>490</v>
      </c>
      <c r="U50" s="316" t="s">
        <v>490</v>
      </c>
      <c r="V50" s="318" t="b">
        <v>1</v>
      </c>
      <c r="W50" s="319"/>
      <c r="X50" s="319"/>
      <c r="Y50" s="319"/>
      <c r="Z50" s="319"/>
      <c r="AA50" s="316" t="s">
        <v>490</v>
      </c>
      <c r="AB50" s="316" t="s">
        <v>490</v>
      </c>
      <c r="AC50" s="316" t="s">
        <v>550</v>
      </c>
      <c r="AD50" s="318">
        <v>1.2396180000000001</v>
      </c>
      <c r="AE50" s="318">
        <v>604</v>
      </c>
      <c r="AF50" s="318">
        <v>0.79999999999999993</v>
      </c>
      <c r="AG50" s="318">
        <v>-99</v>
      </c>
      <c r="AH50" s="316" t="s">
        <v>222</v>
      </c>
      <c r="AI50" s="316" t="s">
        <v>258</v>
      </c>
      <c r="AJ50" s="316" t="s">
        <v>278</v>
      </c>
      <c r="AK50" s="316" t="s">
        <v>490</v>
      </c>
      <c r="AL50" s="316" t="s">
        <v>370</v>
      </c>
      <c r="AM50" s="318" t="b">
        <v>1</v>
      </c>
      <c r="AN50" s="318" t="b">
        <v>0</v>
      </c>
      <c r="AO50" s="316" t="s">
        <v>279</v>
      </c>
      <c r="AP50" s="316" t="s">
        <v>280</v>
      </c>
      <c r="AQ50" s="318">
        <v>114.22852</v>
      </c>
      <c r="AR50" s="318" t="b">
        <v>0</v>
      </c>
      <c r="AS50" s="316" t="s">
        <v>1004</v>
      </c>
    </row>
    <row r="51" spans="1:45" x14ac:dyDescent="0.25">
      <c r="A51" s="250">
        <f t="shared" si="9"/>
        <v>51</v>
      </c>
      <c r="B51" s="251" t="str">
        <f t="shared" si="8"/>
        <v>Refinery - Chevron FCC - August 6-17, 1996</v>
      </c>
      <c r="C51" s="251" t="str">
        <f ca="1">IF(B51="","",VLOOKUP(D51,'Species Data'!B:E,4,FALSE))</f>
        <v>N_pentane</v>
      </c>
      <c r="D51" s="251">
        <f t="shared" ca="1" si="1"/>
        <v>605</v>
      </c>
      <c r="E51" s="251">
        <f t="shared" ca="1" si="2"/>
        <v>3.2899999999999996</v>
      </c>
      <c r="F51" s="251" t="str">
        <f t="shared" ca="1" si="3"/>
        <v>N-pentane</v>
      </c>
      <c r="G51" s="251">
        <f t="shared" ca="1" si="4"/>
        <v>72.148780000000002</v>
      </c>
      <c r="H51" s="208">
        <f ca="1">IF(G51="","",IF(VLOOKUP(VOC!D51,'Species Data'!B:F,5,FALSE)=0,"X",IF(G51&lt;44.1,2,1)))</f>
        <v>1</v>
      </c>
      <c r="I51" s="208">
        <f t="shared" ca="1" si="5"/>
        <v>3.2899999999999987</v>
      </c>
      <c r="J51" s="252">
        <f ca="1">IF(I51="","",IF(COUNTIF($D$12:D51,D51)=1,IF(H51=1,I51*H51,IF(H51="X","X",0)),0))</f>
        <v>3.2899999999999987</v>
      </c>
      <c r="K51" s="253">
        <f t="shared" ca="1" si="6"/>
        <v>5.7217391304347833</v>
      </c>
      <c r="L51" s="316" t="s">
        <v>1002</v>
      </c>
      <c r="M51" s="316" t="s">
        <v>222</v>
      </c>
      <c r="N51" s="316" t="s">
        <v>258</v>
      </c>
      <c r="O51" s="317">
        <v>36342</v>
      </c>
      <c r="P51" s="316" t="s">
        <v>1003</v>
      </c>
      <c r="Q51" s="318">
        <v>100</v>
      </c>
      <c r="R51" s="316" t="s">
        <v>490</v>
      </c>
      <c r="S51" s="316" t="s">
        <v>490</v>
      </c>
      <c r="T51" s="316" t="s">
        <v>490</v>
      </c>
      <c r="U51" s="316" t="s">
        <v>490</v>
      </c>
      <c r="V51" s="318" t="b">
        <v>1</v>
      </c>
      <c r="W51" s="319"/>
      <c r="X51" s="319"/>
      <c r="Y51" s="319"/>
      <c r="Z51" s="319"/>
      <c r="AA51" s="316" t="s">
        <v>490</v>
      </c>
      <c r="AB51" s="316" t="s">
        <v>490</v>
      </c>
      <c r="AC51" s="316" t="s">
        <v>550</v>
      </c>
      <c r="AD51" s="318">
        <v>1.2396180000000001</v>
      </c>
      <c r="AE51" s="318">
        <v>605</v>
      </c>
      <c r="AF51" s="318">
        <v>3.2899999999999996</v>
      </c>
      <c r="AG51" s="318">
        <v>-99</v>
      </c>
      <c r="AH51" s="316" t="s">
        <v>222</v>
      </c>
      <c r="AI51" s="316" t="s">
        <v>258</v>
      </c>
      <c r="AJ51" s="316" t="s">
        <v>281</v>
      </c>
      <c r="AK51" s="316" t="s">
        <v>490</v>
      </c>
      <c r="AL51" s="316" t="s">
        <v>371</v>
      </c>
      <c r="AM51" s="318" t="b">
        <v>1</v>
      </c>
      <c r="AN51" s="318" t="b">
        <v>0</v>
      </c>
      <c r="AO51" s="316" t="s">
        <v>282</v>
      </c>
      <c r="AP51" s="316" t="s">
        <v>283</v>
      </c>
      <c r="AQ51" s="318">
        <v>72.148780000000002</v>
      </c>
      <c r="AR51" s="318" t="b">
        <v>0</v>
      </c>
      <c r="AS51" s="316" t="s">
        <v>1004</v>
      </c>
    </row>
    <row r="52" spans="1:45" x14ac:dyDescent="0.25">
      <c r="A52" s="250">
        <f t="shared" si="9"/>
        <v>52</v>
      </c>
      <c r="B52" s="251" t="str">
        <f t="shared" si="8"/>
        <v>Refinery - Chevron FCC - August 6-17, 1996</v>
      </c>
      <c r="C52" s="251" t="str">
        <f ca="1">IF(B52="","",VLOOKUP(D52,'Species Data'!B:E,4,FALSE))</f>
        <v>N_proben</v>
      </c>
      <c r="D52" s="251">
        <f t="shared" ca="1" si="1"/>
        <v>608</v>
      </c>
      <c r="E52" s="251">
        <f t="shared" ca="1" si="2"/>
        <v>0.10999999999999999</v>
      </c>
      <c r="F52" s="251" t="str">
        <f t="shared" ca="1" si="3"/>
        <v>N-propylbenzene</v>
      </c>
      <c r="G52" s="251">
        <f t="shared" ca="1" si="4"/>
        <v>120.19158</v>
      </c>
      <c r="H52" s="208">
        <f ca="1">IF(G52="","",IF(VLOOKUP(VOC!D52,'Species Data'!B:F,5,FALSE)=0,"X",IF(G52&lt;44.1,2,1)))</f>
        <v>1</v>
      </c>
      <c r="I52" s="208">
        <f t="shared" ca="1" si="5"/>
        <v>0.10999999999999996</v>
      </c>
      <c r="J52" s="252">
        <f ca="1">IF(I52="","",IF(COUNTIF($D$12:D52,D52)=1,IF(H52=1,I52*H52,IF(H52="X","X",0)),0))</f>
        <v>0.10999999999999996</v>
      </c>
      <c r="K52" s="253">
        <f t="shared" ca="1" si="6"/>
        <v>0.19130434782608699</v>
      </c>
      <c r="L52" s="316" t="s">
        <v>1002</v>
      </c>
      <c r="M52" s="316" t="s">
        <v>222</v>
      </c>
      <c r="N52" s="316" t="s">
        <v>258</v>
      </c>
      <c r="O52" s="317">
        <v>36342</v>
      </c>
      <c r="P52" s="316" t="s">
        <v>1003</v>
      </c>
      <c r="Q52" s="318">
        <v>100</v>
      </c>
      <c r="R52" s="316" t="s">
        <v>490</v>
      </c>
      <c r="S52" s="316" t="s">
        <v>490</v>
      </c>
      <c r="T52" s="316" t="s">
        <v>490</v>
      </c>
      <c r="U52" s="316" t="s">
        <v>490</v>
      </c>
      <c r="V52" s="318" t="b">
        <v>1</v>
      </c>
      <c r="W52" s="319"/>
      <c r="X52" s="319"/>
      <c r="Y52" s="319"/>
      <c r="Z52" s="319"/>
      <c r="AA52" s="316" t="s">
        <v>490</v>
      </c>
      <c r="AB52" s="316" t="s">
        <v>490</v>
      </c>
      <c r="AC52" s="316" t="s">
        <v>550</v>
      </c>
      <c r="AD52" s="318">
        <v>1.2396180000000001</v>
      </c>
      <c r="AE52" s="318">
        <v>608</v>
      </c>
      <c r="AF52" s="318">
        <v>0.10999999999999999</v>
      </c>
      <c r="AG52" s="318">
        <v>-99</v>
      </c>
      <c r="AH52" s="316" t="s">
        <v>222</v>
      </c>
      <c r="AI52" s="316" t="s">
        <v>258</v>
      </c>
      <c r="AJ52" s="316" t="s">
        <v>410</v>
      </c>
      <c r="AK52" s="316" t="s">
        <v>490</v>
      </c>
      <c r="AL52" s="316" t="s">
        <v>429</v>
      </c>
      <c r="AM52" s="318" t="b">
        <v>1</v>
      </c>
      <c r="AN52" s="318" t="b">
        <v>0</v>
      </c>
      <c r="AO52" s="316" t="s">
        <v>411</v>
      </c>
      <c r="AP52" s="316" t="s">
        <v>412</v>
      </c>
      <c r="AQ52" s="318">
        <v>120.19158</v>
      </c>
      <c r="AR52" s="318" t="b">
        <v>0</v>
      </c>
      <c r="AS52" s="316" t="s">
        <v>1004</v>
      </c>
    </row>
    <row r="53" spans="1:45" x14ac:dyDescent="0.25">
      <c r="A53" s="250">
        <f t="shared" si="9"/>
        <v>53</v>
      </c>
      <c r="B53" s="251" t="str">
        <f t="shared" si="8"/>
        <v>Refinery - Chevron FCC - August 6-17, 1996</v>
      </c>
      <c r="C53" s="251" t="str">
        <f ca="1">IF(B53="","",VLOOKUP(D53,'Species Data'!B:E,4,FALSE))</f>
        <v>N_und</v>
      </c>
      <c r="D53" s="251">
        <f t="shared" ca="1" si="1"/>
        <v>610</v>
      </c>
      <c r="E53" s="251">
        <f t="shared" ca="1" si="2"/>
        <v>0.31</v>
      </c>
      <c r="F53" s="251" t="str">
        <f t="shared" ca="1" si="3"/>
        <v>N-undecane</v>
      </c>
      <c r="G53" s="251">
        <f t="shared" ca="1" si="4"/>
        <v>156.30826000000002</v>
      </c>
      <c r="H53" s="208" t="str">
        <f ca="1">IF(G53="","",IF(VLOOKUP(VOC!D53,'Species Data'!B:F,5,FALSE)=0,"X",IF(G53&lt;44.1,2,1)))</f>
        <v>X</v>
      </c>
      <c r="I53" s="208">
        <f t="shared" ca="1" si="5"/>
        <v>0.30999999999999994</v>
      </c>
      <c r="J53" s="252" t="str">
        <f ca="1">IF(I53="","",IF(COUNTIF($D$12:D53,D53)=1,IF(H53=1,I53*H53,IF(H53="X","X",0)),0))</f>
        <v>X</v>
      </c>
      <c r="K53" s="253">
        <f t="shared" ca="1" si="6"/>
        <v>0</v>
      </c>
      <c r="L53" s="316" t="s">
        <v>1002</v>
      </c>
      <c r="M53" s="316" t="s">
        <v>222</v>
      </c>
      <c r="N53" s="316" t="s">
        <v>258</v>
      </c>
      <c r="O53" s="317">
        <v>36342</v>
      </c>
      <c r="P53" s="316" t="s">
        <v>1003</v>
      </c>
      <c r="Q53" s="318">
        <v>100</v>
      </c>
      <c r="R53" s="316" t="s">
        <v>490</v>
      </c>
      <c r="S53" s="316" t="s">
        <v>490</v>
      </c>
      <c r="T53" s="316" t="s">
        <v>490</v>
      </c>
      <c r="U53" s="316" t="s">
        <v>490</v>
      </c>
      <c r="V53" s="318" t="b">
        <v>1</v>
      </c>
      <c r="W53" s="319"/>
      <c r="X53" s="319"/>
      <c r="Y53" s="319"/>
      <c r="Z53" s="319"/>
      <c r="AA53" s="316" t="s">
        <v>490</v>
      </c>
      <c r="AB53" s="316" t="s">
        <v>490</v>
      </c>
      <c r="AC53" s="316" t="s">
        <v>550</v>
      </c>
      <c r="AD53" s="318">
        <v>1.2396180000000001</v>
      </c>
      <c r="AE53" s="318">
        <v>610</v>
      </c>
      <c r="AF53" s="318">
        <v>0.31</v>
      </c>
      <c r="AG53" s="318">
        <v>-99</v>
      </c>
      <c r="AH53" s="316" t="s">
        <v>222</v>
      </c>
      <c r="AI53" s="316" t="s">
        <v>258</v>
      </c>
      <c r="AJ53" s="316" t="s">
        <v>416</v>
      </c>
      <c r="AK53" s="316" t="s">
        <v>490</v>
      </c>
      <c r="AL53" s="316" t="s">
        <v>430</v>
      </c>
      <c r="AM53" s="318" t="b">
        <v>1</v>
      </c>
      <c r="AN53" s="318" t="b">
        <v>0</v>
      </c>
      <c r="AO53" s="316" t="s">
        <v>417</v>
      </c>
      <c r="AP53" s="316" t="s">
        <v>418</v>
      </c>
      <c r="AQ53" s="318">
        <v>156.30826000000002</v>
      </c>
      <c r="AR53" s="318" t="b">
        <v>0</v>
      </c>
      <c r="AS53" s="316" t="s">
        <v>1004</v>
      </c>
    </row>
    <row r="54" spans="1:45" ht="15" customHeight="1" x14ac:dyDescent="0.25">
      <c r="A54" s="250">
        <f t="shared" si="9"/>
        <v>54</v>
      </c>
      <c r="B54" s="251" t="str">
        <f t="shared" si="8"/>
        <v>Refinery - Chevron FCC - August 6-17, 1996</v>
      </c>
      <c r="C54" s="251" t="str">
        <f ca="1">IF(B54="","",VLOOKUP(D54,'Species Data'!B:E,4,FALSE))</f>
        <v>O_xylene</v>
      </c>
      <c r="D54" s="251">
        <f t="shared" ca="1" si="1"/>
        <v>620</v>
      </c>
      <c r="E54" s="251">
        <f t="shared" ca="1" si="2"/>
        <v>0.44999999999999996</v>
      </c>
      <c r="F54" s="251" t="str">
        <f t="shared" ca="1" si="3"/>
        <v>O-xylene</v>
      </c>
      <c r="G54" s="251">
        <f t="shared" ca="1" si="4"/>
        <v>106.16500000000001</v>
      </c>
      <c r="H54" s="208">
        <f ca="1">IF(G54="","",IF(VLOOKUP(VOC!D54,'Species Data'!B:F,5,FALSE)=0,"X",IF(G54&lt;44.1,2,1)))</f>
        <v>1</v>
      </c>
      <c r="I54" s="208">
        <f t="shared" ca="1" si="5"/>
        <v>0.44999999999999984</v>
      </c>
      <c r="J54" s="252">
        <f ca="1">IF(I54="","",IF(COUNTIF($D$12:D54,D54)=1,IF(H54=1,I54*H54,IF(H54="X","X",0)),0))</f>
        <v>0.44999999999999984</v>
      </c>
      <c r="K54" s="253">
        <f t="shared" ca="1" si="6"/>
        <v>0.78260869565217395</v>
      </c>
      <c r="L54" s="316" t="s">
        <v>1002</v>
      </c>
      <c r="M54" s="316" t="s">
        <v>222</v>
      </c>
      <c r="N54" s="316" t="s">
        <v>258</v>
      </c>
      <c r="O54" s="317">
        <v>36342</v>
      </c>
      <c r="P54" s="316" t="s">
        <v>1003</v>
      </c>
      <c r="Q54" s="318">
        <v>100</v>
      </c>
      <c r="R54" s="316" t="s">
        <v>490</v>
      </c>
      <c r="S54" s="316" t="s">
        <v>490</v>
      </c>
      <c r="T54" s="316" t="s">
        <v>490</v>
      </c>
      <c r="U54" s="316" t="s">
        <v>490</v>
      </c>
      <c r="V54" s="318" t="b">
        <v>1</v>
      </c>
      <c r="W54" s="319"/>
      <c r="X54" s="319"/>
      <c r="Y54" s="319"/>
      <c r="Z54" s="319"/>
      <c r="AA54" s="316" t="s">
        <v>490</v>
      </c>
      <c r="AB54" s="316" t="s">
        <v>490</v>
      </c>
      <c r="AC54" s="316" t="s">
        <v>550</v>
      </c>
      <c r="AD54" s="318">
        <v>1.2396180000000001</v>
      </c>
      <c r="AE54" s="318">
        <v>620</v>
      </c>
      <c r="AF54" s="318">
        <v>0.44999999999999996</v>
      </c>
      <c r="AG54" s="318">
        <v>-99</v>
      </c>
      <c r="AH54" s="316" t="s">
        <v>222</v>
      </c>
      <c r="AI54" s="316" t="s">
        <v>258</v>
      </c>
      <c r="AJ54" s="316" t="s">
        <v>346</v>
      </c>
      <c r="AK54" s="316" t="s">
        <v>490</v>
      </c>
      <c r="AL54" s="316" t="s">
        <v>388</v>
      </c>
      <c r="AM54" s="318" t="b">
        <v>1</v>
      </c>
      <c r="AN54" s="318" t="b">
        <v>1</v>
      </c>
      <c r="AO54" s="316" t="s">
        <v>347</v>
      </c>
      <c r="AP54" s="316" t="s">
        <v>348</v>
      </c>
      <c r="AQ54" s="318">
        <v>106.16500000000001</v>
      </c>
      <c r="AR54" s="318" t="b">
        <v>0</v>
      </c>
      <c r="AS54" s="316" t="s">
        <v>1004</v>
      </c>
    </row>
    <row r="55" spans="1:45" x14ac:dyDescent="0.25">
      <c r="A55" s="250">
        <f t="shared" si="9"/>
        <v>55</v>
      </c>
      <c r="B55" s="251" t="str">
        <f t="shared" si="8"/>
        <v>Refinery - Chevron FCC - August 6-17, 1996</v>
      </c>
      <c r="C55" s="251" t="str">
        <f ca="1">IF(B55="","",VLOOKUP(D55,'Species Data'!B:E,4,FALSE))</f>
        <v>propane</v>
      </c>
      <c r="D55" s="251">
        <f t="shared" ca="1" si="1"/>
        <v>671</v>
      </c>
      <c r="E55" s="251">
        <f t="shared" ca="1" si="2"/>
        <v>18.059999999999999</v>
      </c>
      <c r="F55" s="251" t="str">
        <f t="shared" ca="1" si="3"/>
        <v>Propane</v>
      </c>
      <c r="G55" s="251">
        <f t="shared" ca="1" si="4"/>
        <v>44.095619999999997</v>
      </c>
      <c r="H55" s="208">
        <f ca="1">IF(G55="","",IF(VLOOKUP(VOC!D55,'Species Data'!B:F,5,FALSE)=0,"X",IF(G55&lt;44.1,2,1)))</f>
        <v>2</v>
      </c>
      <c r="I55" s="208">
        <f t="shared" ca="1" si="5"/>
        <v>18.059999999999995</v>
      </c>
      <c r="J55" s="252">
        <f ca="1">IF(I55="","",IF(COUNTIF($D$12:D55,D55)=1,IF(H55=1,I55*H55,IF(H55="X","X",0)),0))</f>
        <v>0</v>
      </c>
      <c r="K55" s="253">
        <f t="shared" ca="1" si="6"/>
        <v>0</v>
      </c>
      <c r="L55" s="316" t="s">
        <v>1002</v>
      </c>
      <c r="M55" s="316" t="s">
        <v>222</v>
      </c>
      <c r="N55" s="316" t="s">
        <v>258</v>
      </c>
      <c r="O55" s="317">
        <v>36342</v>
      </c>
      <c r="P55" s="316" t="s">
        <v>1003</v>
      </c>
      <c r="Q55" s="318">
        <v>100</v>
      </c>
      <c r="R55" s="316" t="s">
        <v>490</v>
      </c>
      <c r="S55" s="316" t="s">
        <v>490</v>
      </c>
      <c r="T55" s="316" t="s">
        <v>490</v>
      </c>
      <c r="U55" s="316" t="s">
        <v>490</v>
      </c>
      <c r="V55" s="318" t="b">
        <v>1</v>
      </c>
      <c r="W55" s="319"/>
      <c r="X55" s="319"/>
      <c r="Y55" s="319"/>
      <c r="Z55" s="319"/>
      <c r="AA55" s="316" t="s">
        <v>490</v>
      </c>
      <c r="AB55" s="316" t="s">
        <v>490</v>
      </c>
      <c r="AC55" s="316" t="s">
        <v>550</v>
      </c>
      <c r="AD55" s="318">
        <v>1.2396180000000001</v>
      </c>
      <c r="AE55" s="318">
        <v>671</v>
      </c>
      <c r="AF55" s="318">
        <v>18.059999999999999</v>
      </c>
      <c r="AG55" s="318">
        <v>-99</v>
      </c>
      <c r="AH55" s="316" t="s">
        <v>222</v>
      </c>
      <c r="AI55" s="316" t="s">
        <v>258</v>
      </c>
      <c r="AJ55" s="316" t="s">
        <v>284</v>
      </c>
      <c r="AK55" s="316" t="s">
        <v>490</v>
      </c>
      <c r="AL55" s="316" t="s">
        <v>372</v>
      </c>
      <c r="AM55" s="318" t="b">
        <v>1</v>
      </c>
      <c r="AN55" s="318" t="b">
        <v>0</v>
      </c>
      <c r="AO55" s="316" t="s">
        <v>285</v>
      </c>
      <c r="AP55" s="316" t="s">
        <v>286</v>
      </c>
      <c r="AQ55" s="318">
        <v>44.095619999999997</v>
      </c>
      <c r="AR55" s="318" t="b">
        <v>0</v>
      </c>
      <c r="AS55" s="316" t="s">
        <v>1004</v>
      </c>
    </row>
    <row r="56" spans="1:45" x14ac:dyDescent="0.25">
      <c r="A56" s="250">
        <f t="shared" si="9"/>
        <v>56</v>
      </c>
      <c r="B56" s="251" t="str">
        <f t="shared" si="8"/>
        <v>Refinery - Chevron FCC - August 6-17, 1996</v>
      </c>
      <c r="C56" s="251" t="str">
        <f ca="1">IF(B56="","",VLOOKUP(D56,'Species Data'!B:E,4,FALSE))</f>
        <v>propylene</v>
      </c>
      <c r="D56" s="251">
        <f t="shared" ca="1" si="1"/>
        <v>678</v>
      </c>
      <c r="E56" s="251">
        <f t="shared" ca="1" si="2"/>
        <v>2.7899999999999996</v>
      </c>
      <c r="F56" s="251" t="str">
        <f t="shared" ca="1" si="3"/>
        <v>Propylene (1-Propene)</v>
      </c>
      <c r="G56" s="251">
        <f t="shared" ca="1" si="4"/>
        <v>42.079740000000001</v>
      </c>
      <c r="H56" s="208">
        <f ca="1">IF(G56="","",IF(VLOOKUP(VOC!D56,'Species Data'!B:F,5,FALSE)=0,"X",IF(G56&lt;44.1,2,1)))</f>
        <v>2</v>
      </c>
      <c r="I56" s="208">
        <f t="shared" ca="1" si="5"/>
        <v>2.7899999999999991</v>
      </c>
      <c r="J56" s="252">
        <f ca="1">IF(I56="","",IF(COUNTIF($D$12:D56,D56)=1,IF(H56=1,I56*H56,IF(H56="X","X",0)),0))</f>
        <v>0</v>
      </c>
      <c r="K56" s="253">
        <f t="shared" ca="1" si="6"/>
        <v>0</v>
      </c>
      <c r="L56" s="316" t="s">
        <v>1002</v>
      </c>
      <c r="M56" s="316" t="s">
        <v>222</v>
      </c>
      <c r="N56" s="316" t="s">
        <v>258</v>
      </c>
      <c r="O56" s="317">
        <v>36342</v>
      </c>
      <c r="P56" s="316" t="s">
        <v>1003</v>
      </c>
      <c r="Q56" s="318">
        <v>100</v>
      </c>
      <c r="R56" s="316" t="s">
        <v>490</v>
      </c>
      <c r="S56" s="316" t="s">
        <v>490</v>
      </c>
      <c r="T56" s="316" t="s">
        <v>490</v>
      </c>
      <c r="U56" s="316" t="s">
        <v>490</v>
      </c>
      <c r="V56" s="318" t="b">
        <v>1</v>
      </c>
      <c r="W56" s="319"/>
      <c r="X56" s="319"/>
      <c r="Y56" s="319"/>
      <c r="Z56" s="319"/>
      <c r="AA56" s="316" t="s">
        <v>490</v>
      </c>
      <c r="AB56" s="316" t="s">
        <v>490</v>
      </c>
      <c r="AC56" s="316" t="s">
        <v>550</v>
      </c>
      <c r="AD56" s="318">
        <v>1.2396180000000001</v>
      </c>
      <c r="AE56" s="318">
        <v>678</v>
      </c>
      <c r="AF56" s="318">
        <v>2.7899999999999996</v>
      </c>
      <c r="AG56" s="318">
        <v>-99</v>
      </c>
      <c r="AH56" s="316" t="s">
        <v>222</v>
      </c>
      <c r="AI56" s="316" t="s">
        <v>258</v>
      </c>
      <c r="AJ56" s="316" t="s">
        <v>1033</v>
      </c>
      <c r="AK56" s="316" t="s">
        <v>490</v>
      </c>
      <c r="AL56" s="316" t="s">
        <v>1034</v>
      </c>
      <c r="AM56" s="318" t="b">
        <v>1</v>
      </c>
      <c r="AN56" s="318" t="b">
        <v>0</v>
      </c>
      <c r="AO56" s="316" t="s">
        <v>1035</v>
      </c>
      <c r="AP56" s="316" t="s">
        <v>1036</v>
      </c>
      <c r="AQ56" s="318">
        <v>42.079740000000001</v>
      </c>
      <c r="AR56" s="318" t="b">
        <v>0</v>
      </c>
      <c r="AS56" s="316" t="s">
        <v>1004</v>
      </c>
    </row>
    <row r="57" spans="1:45" x14ac:dyDescent="0.25">
      <c r="A57" s="250">
        <f t="shared" si="9"/>
        <v>57</v>
      </c>
      <c r="B57" s="251" t="str">
        <f t="shared" si="8"/>
        <v>Refinery - Chevron FCC - August 6-17, 1996</v>
      </c>
      <c r="C57" s="251" t="str">
        <f ca="1">IF(B57="","",VLOOKUP(D57,'Species Data'!B:E,4,FALSE))</f>
        <v>Styrene</v>
      </c>
      <c r="D57" s="251">
        <f t="shared" ca="1" si="1"/>
        <v>698</v>
      </c>
      <c r="E57" s="251">
        <f t="shared" ca="1" si="2"/>
        <v>0.21999999999999997</v>
      </c>
      <c r="F57" s="251" t="str">
        <f t="shared" ca="1" si="3"/>
        <v>Styrene</v>
      </c>
      <c r="G57" s="251">
        <f t="shared" ca="1" si="4"/>
        <v>104.14912</v>
      </c>
      <c r="H57" s="208">
        <f ca="1">IF(G57="","",IF(VLOOKUP(VOC!D57,'Species Data'!B:F,5,FALSE)=0,"X",IF(G57&lt;44.1,2,1)))</f>
        <v>1</v>
      </c>
      <c r="I57" s="208">
        <f t="shared" ca="1" si="5"/>
        <v>0.21999999999999992</v>
      </c>
      <c r="J57" s="252">
        <f ca="1">IF(I57="","",IF(COUNTIF($D$12:D57,D57)=1,IF(H57=1,I57*H57,IF(H57="X","X",0)),0))</f>
        <v>0.21999999999999992</v>
      </c>
      <c r="K57" s="253">
        <f t="shared" ca="1" si="6"/>
        <v>0.38260869565217398</v>
      </c>
      <c r="L57" s="316" t="s">
        <v>1002</v>
      </c>
      <c r="M57" s="316" t="s">
        <v>222</v>
      </c>
      <c r="N57" s="316" t="s">
        <v>258</v>
      </c>
      <c r="O57" s="317">
        <v>36342</v>
      </c>
      <c r="P57" s="316" t="s">
        <v>1003</v>
      </c>
      <c r="Q57" s="318">
        <v>100</v>
      </c>
      <c r="R57" s="316" t="s">
        <v>490</v>
      </c>
      <c r="S57" s="316" t="s">
        <v>490</v>
      </c>
      <c r="T57" s="316" t="s">
        <v>490</v>
      </c>
      <c r="U57" s="316" t="s">
        <v>490</v>
      </c>
      <c r="V57" s="318" t="b">
        <v>1</v>
      </c>
      <c r="W57" s="319"/>
      <c r="X57" s="319"/>
      <c r="Y57" s="319"/>
      <c r="Z57" s="319"/>
      <c r="AA57" s="316" t="s">
        <v>490</v>
      </c>
      <c r="AB57" s="316" t="s">
        <v>490</v>
      </c>
      <c r="AC57" s="316" t="s">
        <v>550</v>
      </c>
      <c r="AD57" s="318">
        <v>1.2396180000000001</v>
      </c>
      <c r="AE57" s="318">
        <v>698</v>
      </c>
      <c r="AF57" s="318">
        <v>0.21999999999999997</v>
      </c>
      <c r="AG57" s="318">
        <v>-99</v>
      </c>
      <c r="AH57" s="316" t="s">
        <v>222</v>
      </c>
      <c r="AI57" s="316" t="s">
        <v>258</v>
      </c>
      <c r="AJ57" s="316" t="s">
        <v>1037</v>
      </c>
      <c r="AK57" s="316" t="s">
        <v>490</v>
      </c>
      <c r="AL57" s="316" t="s">
        <v>1038</v>
      </c>
      <c r="AM57" s="318" t="b">
        <v>1</v>
      </c>
      <c r="AN57" s="318" t="b">
        <v>1</v>
      </c>
      <c r="AO57" s="316" t="s">
        <v>1039</v>
      </c>
      <c r="AP57" s="316" t="s">
        <v>1040</v>
      </c>
      <c r="AQ57" s="318">
        <v>104.14912</v>
      </c>
      <c r="AR57" s="318" t="b">
        <v>0</v>
      </c>
      <c r="AS57" s="316" t="s">
        <v>1004</v>
      </c>
    </row>
    <row r="58" spans="1:45" x14ac:dyDescent="0.25">
      <c r="A58" s="250">
        <f t="shared" si="9"/>
        <v>58</v>
      </c>
      <c r="B58" s="251" t="str">
        <f t="shared" si="8"/>
        <v>Refinery - Chevron FCC - August 6-17, 1996</v>
      </c>
      <c r="C58" s="251" t="str">
        <f ca="1">IF(B58="","",VLOOKUP(D58,'Species Data'!B:E,4,FALSE))</f>
        <v>toluene</v>
      </c>
      <c r="D58" s="251">
        <f t="shared" ca="1" si="1"/>
        <v>717</v>
      </c>
      <c r="E58" s="251">
        <f t="shared" ca="1" si="2"/>
        <v>1.8699999999999999</v>
      </c>
      <c r="F58" s="251" t="str">
        <f t="shared" ca="1" si="3"/>
        <v>Toluene</v>
      </c>
      <c r="G58" s="251">
        <f t="shared" ca="1" si="4"/>
        <v>92.138419999999996</v>
      </c>
      <c r="H58" s="208">
        <f ca="1">IF(G58="","",IF(VLOOKUP(VOC!D58,'Species Data'!B:F,5,FALSE)=0,"X",IF(G58&lt;44.1,2,1)))</f>
        <v>1</v>
      </c>
      <c r="I58" s="208">
        <f t="shared" ca="1" si="5"/>
        <v>1.8699999999999994</v>
      </c>
      <c r="J58" s="252">
        <f ca="1">IF(I58="","",IF(COUNTIF($D$12:D58,D58)=1,IF(H58=1,I58*H58,IF(H58="X","X",0)),0))</f>
        <v>1.8699999999999994</v>
      </c>
      <c r="K58" s="253">
        <f t="shared" ca="1" si="6"/>
        <v>3.252173913043479</v>
      </c>
      <c r="L58" s="316" t="s">
        <v>1002</v>
      </c>
      <c r="M58" s="316" t="s">
        <v>222</v>
      </c>
      <c r="N58" s="316" t="s">
        <v>258</v>
      </c>
      <c r="O58" s="317">
        <v>36342</v>
      </c>
      <c r="P58" s="316" t="s">
        <v>1003</v>
      </c>
      <c r="Q58" s="318">
        <v>100</v>
      </c>
      <c r="R58" s="316" t="s">
        <v>490</v>
      </c>
      <c r="S58" s="316" t="s">
        <v>490</v>
      </c>
      <c r="T58" s="316" t="s">
        <v>490</v>
      </c>
      <c r="U58" s="316" t="s">
        <v>490</v>
      </c>
      <c r="V58" s="318" t="b">
        <v>1</v>
      </c>
      <c r="W58" s="319"/>
      <c r="X58" s="319"/>
      <c r="Y58" s="319"/>
      <c r="Z58" s="319"/>
      <c r="AA58" s="316" t="s">
        <v>490</v>
      </c>
      <c r="AB58" s="316" t="s">
        <v>490</v>
      </c>
      <c r="AC58" s="316" t="s">
        <v>550</v>
      </c>
      <c r="AD58" s="318">
        <v>1.2396180000000001</v>
      </c>
      <c r="AE58" s="318">
        <v>717</v>
      </c>
      <c r="AF58" s="318">
        <v>1.8699999999999999</v>
      </c>
      <c r="AG58" s="318">
        <v>-99</v>
      </c>
      <c r="AH58" s="316" t="s">
        <v>222</v>
      </c>
      <c r="AI58" s="316" t="s">
        <v>258</v>
      </c>
      <c r="AJ58" s="316" t="s">
        <v>290</v>
      </c>
      <c r="AK58" s="316" t="s">
        <v>490</v>
      </c>
      <c r="AL58" s="316" t="s">
        <v>373</v>
      </c>
      <c r="AM58" s="318" t="b">
        <v>1</v>
      </c>
      <c r="AN58" s="318" t="b">
        <v>1</v>
      </c>
      <c r="AO58" s="316" t="s">
        <v>291</v>
      </c>
      <c r="AP58" s="316" t="s">
        <v>292</v>
      </c>
      <c r="AQ58" s="318">
        <v>92.138419999999996</v>
      </c>
      <c r="AR58" s="318" t="b">
        <v>0</v>
      </c>
      <c r="AS58" s="316" t="s">
        <v>1004</v>
      </c>
    </row>
    <row r="59" spans="1:45" x14ac:dyDescent="0.25">
      <c r="A59" s="250">
        <f t="shared" si="9"/>
        <v>59</v>
      </c>
      <c r="B59" s="251" t="str">
        <f t="shared" si="8"/>
        <v>Refinery - Chevron FCC - August 6-17, 1996</v>
      </c>
      <c r="C59" s="251" t="str">
        <f ca="1">IF(B59="","",VLOOKUP(D59,'Species Data'!B:E,4,FALSE))</f>
        <v>T_2_butene</v>
      </c>
      <c r="D59" s="251">
        <f t="shared" ca="1" si="1"/>
        <v>737</v>
      </c>
      <c r="E59" s="251">
        <f t="shared" ca="1" si="2"/>
        <v>0.25999999999999995</v>
      </c>
      <c r="F59" s="251" t="str">
        <f t="shared" ca="1" si="3"/>
        <v>Trans-2-butene</v>
      </c>
      <c r="G59" s="251">
        <f t="shared" ca="1" si="4"/>
        <v>56.106319999999997</v>
      </c>
      <c r="H59" s="208">
        <f ca="1">IF(G59="","",IF(VLOOKUP(VOC!D59,'Species Data'!B:F,5,FALSE)=0,"X",IF(G59&lt;44.1,2,1)))</f>
        <v>1</v>
      </c>
      <c r="I59" s="208">
        <f t="shared" ca="1" si="5"/>
        <v>0.2599999999999999</v>
      </c>
      <c r="J59" s="252">
        <f ca="1">IF(I59="","",IF(COUNTIF($D$12:D59,D59)=1,IF(H59=1,I59*H59,IF(H59="X","X",0)),0))</f>
        <v>0.2599999999999999</v>
      </c>
      <c r="K59" s="253">
        <f t="shared" ca="1" si="6"/>
        <v>0.45217391304347831</v>
      </c>
      <c r="L59" s="316" t="s">
        <v>1002</v>
      </c>
      <c r="M59" s="316" t="s">
        <v>222</v>
      </c>
      <c r="N59" s="316" t="s">
        <v>258</v>
      </c>
      <c r="O59" s="317">
        <v>36342</v>
      </c>
      <c r="P59" s="316" t="s">
        <v>1003</v>
      </c>
      <c r="Q59" s="318">
        <v>100</v>
      </c>
      <c r="R59" s="316" t="s">
        <v>490</v>
      </c>
      <c r="S59" s="316" t="s">
        <v>490</v>
      </c>
      <c r="T59" s="316" t="s">
        <v>490</v>
      </c>
      <c r="U59" s="316" t="s">
        <v>490</v>
      </c>
      <c r="V59" s="318" t="b">
        <v>1</v>
      </c>
      <c r="W59" s="319"/>
      <c r="X59" s="319"/>
      <c r="Y59" s="319"/>
      <c r="Z59" s="319"/>
      <c r="AA59" s="316" t="s">
        <v>490</v>
      </c>
      <c r="AB59" s="316" t="s">
        <v>490</v>
      </c>
      <c r="AC59" s="316" t="s">
        <v>550</v>
      </c>
      <c r="AD59" s="318">
        <v>1.2396180000000001</v>
      </c>
      <c r="AE59" s="318">
        <v>737</v>
      </c>
      <c r="AF59" s="318">
        <v>0.25999999999999995</v>
      </c>
      <c r="AG59" s="318">
        <v>-99</v>
      </c>
      <c r="AH59" s="316" t="s">
        <v>222</v>
      </c>
      <c r="AI59" s="316" t="s">
        <v>258</v>
      </c>
      <c r="AJ59" s="316" t="s">
        <v>1041</v>
      </c>
      <c r="AK59" s="316" t="s">
        <v>490</v>
      </c>
      <c r="AL59" s="316" t="s">
        <v>1042</v>
      </c>
      <c r="AM59" s="318" t="b">
        <v>1</v>
      </c>
      <c r="AN59" s="318" t="b">
        <v>0</v>
      </c>
      <c r="AO59" s="316" t="s">
        <v>1043</v>
      </c>
      <c r="AP59" s="316" t="s">
        <v>1044</v>
      </c>
      <c r="AQ59" s="318">
        <v>56.106319999999997</v>
      </c>
      <c r="AR59" s="318" t="b">
        <v>0</v>
      </c>
      <c r="AS59" s="316" t="s">
        <v>1004</v>
      </c>
    </row>
    <row r="60" spans="1:45" x14ac:dyDescent="0.25">
      <c r="A60" s="250">
        <f t="shared" si="9"/>
        <v>60</v>
      </c>
      <c r="B60" s="251" t="str">
        <f t="shared" si="8"/>
        <v>Refinery - Chevron FCC - August 6-17, 1996</v>
      </c>
      <c r="C60" s="251" t="str">
        <f ca="1">IF(B60="","",VLOOKUP(D60,'Species Data'!B:E,4,FALSE))</f>
        <v>T_2_pentene</v>
      </c>
      <c r="D60" s="251">
        <f t="shared" ca="1" si="1"/>
        <v>742</v>
      </c>
      <c r="E60" s="251">
        <f t="shared" ca="1" si="2"/>
        <v>0.24</v>
      </c>
      <c r="F60" s="251" t="str">
        <f t="shared" ca="1" si="3"/>
        <v>Trans-2-pentene</v>
      </c>
      <c r="G60" s="251">
        <f t="shared" ca="1" si="4"/>
        <v>70.132900000000006</v>
      </c>
      <c r="H60" s="208">
        <f ca="1">IF(G60="","",IF(VLOOKUP(VOC!D60,'Species Data'!B:F,5,FALSE)=0,"X",IF(G60&lt;44.1,2,1)))</f>
        <v>1</v>
      </c>
      <c r="I60" s="208">
        <f t="shared" ca="1" si="5"/>
        <v>0.23999999999999994</v>
      </c>
      <c r="J60" s="252">
        <f ca="1">IF(I60="","",IF(COUNTIF($D$12:D60,D60)=1,IF(H60=1,I60*H60,IF(H60="X","X",0)),0))</f>
        <v>0.23999999999999994</v>
      </c>
      <c r="K60" s="253">
        <f t="shared" ca="1" si="6"/>
        <v>0.41739130434782623</v>
      </c>
      <c r="L60" s="316" t="s">
        <v>1002</v>
      </c>
      <c r="M60" s="316" t="s">
        <v>222</v>
      </c>
      <c r="N60" s="316" t="s">
        <v>258</v>
      </c>
      <c r="O60" s="317">
        <v>36342</v>
      </c>
      <c r="P60" s="316" t="s">
        <v>1003</v>
      </c>
      <c r="Q60" s="318">
        <v>100</v>
      </c>
      <c r="R60" s="316" t="s">
        <v>490</v>
      </c>
      <c r="S60" s="316" t="s">
        <v>490</v>
      </c>
      <c r="T60" s="316" t="s">
        <v>490</v>
      </c>
      <c r="U60" s="316" t="s">
        <v>490</v>
      </c>
      <c r="V60" s="318" t="b">
        <v>1</v>
      </c>
      <c r="W60" s="319"/>
      <c r="X60" s="319"/>
      <c r="Y60" s="319"/>
      <c r="Z60" s="319"/>
      <c r="AA60" s="316" t="s">
        <v>490</v>
      </c>
      <c r="AB60" s="316" t="s">
        <v>490</v>
      </c>
      <c r="AC60" s="316" t="s">
        <v>550</v>
      </c>
      <c r="AD60" s="318">
        <v>1.2396180000000001</v>
      </c>
      <c r="AE60" s="318">
        <v>742</v>
      </c>
      <c r="AF60" s="318">
        <v>0.24</v>
      </c>
      <c r="AG60" s="318">
        <v>-99</v>
      </c>
      <c r="AH60" s="316" t="s">
        <v>222</v>
      </c>
      <c r="AI60" s="316" t="s">
        <v>258</v>
      </c>
      <c r="AJ60" s="316" t="s">
        <v>1045</v>
      </c>
      <c r="AK60" s="316" t="s">
        <v>490</v>
      </c>
      <c r="AL60" s="316" t="s">
        <v>1046</v>
      </c>
      <c r="AM60" s="318" t="b">
        <v>1</v>
      </c>
      <c r="AN60" s="318" t="b">
        <v>0</v>
      </c>
      <c r="AO60" s="316" t="s">
        <v>1047</v>
      </c>
      <c r="AP60" s="316" t="s">
        <v>1048</v>
      </c>
      <c r="AQ60" s="318">
        <v>70.132900000000006</v>
      </c>
      <c r="AR60" s="318" t="b">
        <v>0</v>
      </c>
      <c r="AS60" s="316" t="s">
        <v>1004</v>
      </c>
    </row>
    <row r="61" spans="1:45" x14ac:dyDescent="0.25">
      <c r="A61" s="250">
        <f t="shared" si="9"/>
        <v>61</v>
      </c>
      <c r="B61" s="251" t="str">
        <f t="shared" si="8"/>
        <v>Refinery - Chevron FCC - August 6-17, 1996</v>
      </c>
      <c r="C61" s="251" t="str">
        <f ca="1">IF(B61="","",VLOOKUP(D61,'Species Data'!B:E,4,FALSE))</f>
        <v>undef_VOC</v>
      </c>
      <c r="D61" s="251">
        <f t="shared" ca="1" si="1"/>
        <v>2283</v>
      </c>
      <c r="E61" s="251">
        <f t="shared" ca="1" si="2"/>
        <v>17.25</v>
      </c>
      <c r="F61" s="251" t="str">
        <f t="shared" ca="1" si="3"/>
        <v>Unidentified</v>
      </c>
      <c r="G61" s="251">
        <f t="shared" ca="1" si="4"/>
        <v>137.19212445472201</v>
      </c>
      <c r="H61" s="208">
        <f ca="1">IF(G61="","",IF(VLOOKUP(VOC!D61,'Species Data'!B:F,5,FALSE)=0,"X",IF(G61&lt;44.1,2,1)))</f>
        <v>1</v>
      </c>
      <c r="I61" s="208">
        <f t="shared" ca="1" si="5"/>
        <v>17.249999999999996</v>
      </c>
      <c r="J61" s="252">
        <f ca="1">IF(I61="","",IF(COUNTIF($D$12:D61,D61)=1,IF(H61=1,I61*H61,IF(H61="X","X",0)),0))</f>
        <v>17.249999999999996</v>
      </c>
      <c r="K61" s="253">
        <f t="shared" ca="1" si="6"/>
        <v>30.000000000000011</v>
      </c>
      <c r="L61" s="316" t="s">
        <v>1002</v>
      </c>
      <c r="M61" s="316" t="s">
        <v>222</v>
      </c>
      <c r="N61" s="316" t="s">
        <v>258</v>
      </c>
      <c r="O61" s="317">
        <v>36342</v>
      </c>
      <c r="P61" s="316" t="s">
        <v>1003</v>
      </c>
      <c r="Q61" s="318">
        <v>100</v>
      </c>
      <c r="R61" s="316" t="s">
        <v>490</v>
      </c>
      <c r="S61" s="316" t="s">
        <v>490</v>
      </c>
      <c r="T61" s="316" t="s">
        <v>490</v>
      </c>
      <c r="U61" s="316" t="s">
        <v>490</v>
      </c>
      <c r="V61" s="318" t="b">
        <v>1</v>
      </c>
      <c r="W61" s="319"/>
      <c r="X61" s="319"/>
      <c r="Y61" s="319"/>
      <c r="Z61" s="319"/>
      <c r="AA61" s="316" t="s">
        <v>490</v>
      </c>
      <c r="AB61" s="316" t="s">
        <v>490</v>
      </c>
      <c r="AC61" s="316" t="s">
        <v>550</v>
      </c>
      <c r="AD61" s="318">
        <v>1.2396180000000001</v>
      </c>
      <c r="AE61" s="318">
        <v>2283</v>
      </c>
      <c r="AF61" s="318">
        <v>17.25</v>
      </c>
      <c r="AG61" s="318">
        <v>-99</v>
      </c>
      <c r="AH61" s="316" t="s">
        <v>222</v>
      </c>
      <c r="AI61" s="316" t="s">
        <v>258</v>
      </c>
      <c r="AJ61" s="316" t="s">
        <v>222</v>
      </c>
      <c r="AK61" s="316" t="s">
        <v>490</v>
      </c>
      <c r="AL61" s="316" t="s">
        <v>1049</v>
      </c>
      <c r="AM61" s="318" t="b">
        <v>0</v>
      </c>
      <c r="AN61" s="318" t="b">
        <v>0</v>
      </c>
      <c r="AO61" s="316" t="s">
        <v>1050</v>
      </c>
      <c r="AP61" s="316" t="s">
        <v>1051</v>
      </c>
      <c r="AQ61" s="318">
        <v>137.19212445472201</v>
      </c>
      <c r="AR61" s="318" t="b">
        <v>0</v>
      </c>
      <c r="AS61" s="316" t="s">
        <v>1004</v>
      </c>
    </row>
    <row r="62" spans="1:45" x14ac:dyDescent="0.25">
      <c r="A62" s="250" t="str">
        <f t="shared" si="9"/>
        <v/>
      </c>
      <c r="B62" s="251" t="str">
        <f t="shared" si="8"/>
        <v/>
      </c>
      <c r="C62" s="251" t="str">
        <f>IF(B62="","",VLOOKUP(D62,'Species Data'!B:E,4,FALSE))</f>
        <v/>
      </c>
      <c r="D62" s="251" t="str">
        <f t="shared" ca="1" si="1"/>
        <v/>
      </c>
      <c r="E62" s="251" t="str">
        <f t="shared" ca="1" si="2"/>
        <v/>
      </c>
      <c r="F62" s="251" t="str">
        <f t="shared" ca="1" si="3"/>
        <v/>
      </c>
      <c r="G62" s="251" t="str">
        <f t="shared" ca="1" si="4"/>
        <v/>
      </c>
      <c r="H62" s="208" t="str">
        <f ca="1">IF(G62="","",IF(VLOOKUP(VOC!D62,'Species Data'!B:F,5,FALSE)=0,"X",IF(G62&lt;44.1,2,1)))</f>
        <v/>
      </c>
      <c r="I62" s="208" t="str">
        <f t="shared" ca="1" si="5"/>
        <v/>
      </c>
      <c r="J62" s="252" t="str">
        <f ca="1">IF(I62="","",IF(COUNTIF($D$12:D62,D62)=1,IF(H62=1,I62*H62,IF(H62="X","X",0)),0))</f>
        <v/>
      </c>
      <c r="K62" s="253" t="str">
        <f t="shared" ca="1" si="6"/>
        <v/>
      </c>
      <c r="L62" s="202"/>
      <c r="M62" s="202"/>
      <c r="N62" s="202"/>
      <c r="O62" s="203"/>
      <c r="P62" s="202"/>
      <c r="Q62" s="204"/>
      <c r="R62" s="202"/>
      <c r="S62" s="202"/>
      <c r="T62" s="202"/>
      <c r="U62" s="202"/>
      <c r="V62" s="204"/>
      <c r="W62" s="204"/>
      <c r="X62" s="204"/>
      <c r="Y62" s="204"/>
      <c r="Z62" s="204"/>
      <c r="AA62" s="202"/>
      <c r="AB62" s="202"/>
      <c r="AC62" s="202"/>
      <c r="AD62" s="204"/>
      <c r="AE62" s="204"/>
      <c r="AF62" s="204"/>
      <c r="AG62" s="204"/>
      <c r="AH62" s="202"/>
      <c r="AI62" s="202"/>
      <c r="AJ62" s="202"/>
      <c r="AK62" s="202"/>
      <c r="AL62" s="202"/>
      <c r="AM62" s="204"/>
      <c r="AN62" s="204"/>
      <c r="AO62" s="202"/>
      <c r="AP62" s="202"/>
      <c r="AQ62" s="204"/>
      <c r="AR62" s="204"/>
      <c r="AS62" s="202"/>
    </row>
    <row r="63" spans="1:45" ht="15" customHeight="1" x14ac:dyDescent="0.25">
      <c r="A63" s="250" t="str">
        <f t="shared" si="9"/>
        <v/>
      </c>
      <c r="B63" s="251" t="str">
        <f t="shared" si="8"/>
        <v/>
      </c>
      <c r="C63" s="251" t="str">
        <f>IF(B63="","",VLOOKUP(D63,'Species Data'!B:D,4,FALSE))</f>
        <v/>
      </c>
      <c r="D63" s="251" t="str">
        <f t="shared" ca="1" si="1"/>
        <v/>
      </c>
      <c r="E63" s="251" t="str">
        <f t="shared" ca="1" si="2"/>
        <v/>
      </c>
      <c r="F63" s="251" t="str">
        <f t="shared" ca="1" si="3"/>
        <v/>
      </c>
      <c r="G63" s="251" t="str">
        <f t="shared" ca="1" si="4"/>
        <v/>
      </c>
      <c r="H63" s="208" t="str">
        <f ca="1">IF(G63="","",IF(VLOOKUP(VOC!F63,'Species Data'!D:E,3,FALSE)=0,"X",IF(G63&lt;44.1,2,1)))</f>
        <v/>
      </c>
      <c r="I63" s="208" t="str">
        <f t="shared" ca="1" si="5"/>
        <v/>
      </c>
      <c r="J63" s="252" t="str">
        <f ca="1">IF(I63="","",IF(COUNTIF($D$12:D63,D63)=1,IF(H63=1,I63*H63,IF(H63="X","X",0)),0))</f>
        <v/>
      </c>
      <c r="K63" s="253" t="str">
        <f t="shared" ca="1" si="6"/>
        <v/>
      </c>
      <c r="L63" s="202"/>
      <c r="M63" s="202"/>
      <c r="N63" s="202"/>
      <c r="O63" s="203"/>
      <c r="P63" s="202"/>
      <c r="Q63" s="204"/>
      <c r="R63" s="202"/>
      <c r="S63" s="202"/>
      <c r="T63" s="202"/>
      <c r="U63" s="202"/>
      <c r="V63" s="204"/>
      <c r="W63" s="204"/>
      <c r="X63" s="204"/>
      <c r="Y63" s="204"/>
      <c r="Z63" s="204"/>
      <c r="AA63" s="202"/>
      <c r="AB63" s="202"/>
      <c r="AC63" s="202"/>
      <c r="AD63" s="204"/>
      <c r="AE63" s="204"/>
      <c r="AF63" s="204"/>
      <c r="AG63" s="204"/>
      <c r="AH63" s="202"/>
      <c r="AI63" s="202"/>
      <c r="AJ63" s="202"/>
      <c r="AK63" s="202"/>
      <c r="AL63" s="202"/>
      <c r="AM63" s="204"/>
      <c r="AN63" s="204"/>
      <c r="AO63" s="202"/>
      <c r="AP63" s="202"/>
      <c r="AQ63" s="204"/>
      <c r="AR63" s="204"/>
      <c r="AS63" s="202"/>
    </row>
    <row r="64" spans="1:45" x14ac:dyDescent="0.25">
      <c r="A64" s="250" t="str">
        <f t="shared" si="9"/>
        <v/>
      </c>
      <c r="B64" s="251" t="str">
        <f t="shared" si="8"/>
        <v/>
      </c>
      <c r="C64" s="251" t="str">
        <f>IF(B64="","",VLOOKUP(D64,'Species Data'!B:D,4,FALSE))</f>
        <v/>
      </c>
      <c r="D64" s="251" t="str">
        <f t="shared" ca="1" si="1"/>
        <v/>
      </c>
      <c r="E64" s="251" t="str">
        <f t="shared" ca="1" si="2"/>
        <v/>
      </c>
      <c r="F64" s="251" t="str">
        <f t="shared" ca="1" si="3"/>
        <v/>
      </c>
      <c r="G64" s="251" t="str">
        <f t="shared" ca="1" si="4"/>
        <v/>
      </c>
      <c r="H64" s="208" t="str">
        <f ca="1">IF(G64="","",IF(VLOOKUP(VOC!F64,'Species Data'!D:E,3,FALSE)=0,"X",IF(G64&lt;44.1,2,1)))</f>
        <v/>
      </c>
      <c r="I64" s="208" t="str">
        <f t="shared" ca="1" si="5"/>
        <v/>
      </c>
      <c r="J64" s="252" t="str">
        <f ca="1">IF(I64="","",IF(COUNTIF($D$12:D64,D64)=1,IF(H64=1,I64*H64,IF(H64="X","X",0)),0))</f>
        <v/>
      </c>
      <c r="K64" s="253" t="str">
        <f t="shared" ca="1" si="6"/>
        <v/>
      </c>
      <c r="L64" s="202"/>
      <c r="M64" s="202"/>
      <c r="N64" s="202"/>
      <c r="O64" s="203"/>
      <c r="P64" s="202"/>
      <c r="Q64" s="204"/>
      <c r="R64" s="202"/>
      <c r="S64" s="202"/>
      <c r="T64" s="202"/>
      <c r="U64" s="202"/>
      <c r="V64" s="204"/>
      <c r="W64" s="204"/>
      <c r="X64" s="204"/>
      <c r="Y64" s="204"/>
      <c r="Z64" s="204"/>
      <c r="AA64" s="202"/>
      <c r="AB64" s="202"/>
      <c r="AC64" s="202"/>
      <c r="AD64" s="204"/>
      <c r="AE64" s="204"/>
      <c r="AF64" s="204"/>
      <c r="AG64" s="204"/>
      <c r="AH64" s="202"/>
      <c r="AI64" s="202"/>
      <c r="AJ64" s="202"/>
      <c r="AK64" s="202"/>
      <c r="AL64" s="202"/>
      <c r="AM64" s="204"/>
      <c r="AN64" s="204"/>
      <c r="AO64" s="202"/>
      <c r="AP64" s="202"/>
      <c r="AQ64" s="204"/>
      <c r="AR64" s="204"/>
      <c r="AS64" s="202"/>
    </row>
    <row r="65" spans="1:45" x14ac:dyDescent="0.25">
      <c r="A65" s="250" t="str">
        <f t="shared" si="9"/>
        <v/>
      </c>
      <c r="B65" s="251" t="str">
        <f t="shared" si="8"/>
        <v/>
      </c>
      <c r="C65" s="251" t="str">
        <f>IF(B65="","",VLOOKUP(D65,'Species Data'!B:D,4,FALSE))</f>
        <v/>
      </c>
      <c r="D65" s="251" t="str">
        <f t="shared" ca="1" si="1"/>
        <v/>
      </c>
      <c r="E65" s="251" t="str">
        <f t="shared" ca="1" si="2"/>
        <v/>
      </c>
      <c r="F65" s="251" t="str">
        <f t="shared" ca="1" si="3"/>
        <v/>
      </c>
      <c r="G65" s="251" t="str">
        <f t="shared" ca="1" si="4"/>
        <v/>
      </c>
      <c r="H65" s="208" t="str">
        <f ca="1">IF(G65="","",IF(VLOOKUP(VOC!F65,'Species Data'!D:E,3,FALSE)=0,"X",IF(G65&lt;44.1,2,1)))</f>
        <v/>
      </c>
      <c r="I65" s="208" t="str">
        <f t="shared" ca="1" si="5"/>
        <v/>
      </c>
      <c r="J65" s="252" t="str">
        <f ca="1">IF(I65="","",IF(COUNTIF($D$12:D65,D65)=1,IF(H65=1,I65*H65,IF(H65="X","X",0)),0))</f>
        <v/>
      </c>
      <c r="K65" s="253" t="str">
        <f t="shared" ca="1" si="6"/>
        <v/>
      </c>
      <c r="L65" s="202"/>
      <c r="M65" s="202"/>
      <c r="N65" s="202"/>
      <c r="O65" s="203"/>
      <c r="P65" s="202"/>
      <c r="Q65" s="204"/>
      <c r="R65" s="202"/>
      <c r="S65" s="202"/>
      <c r="T65" s="202"/>
      <c r="U65" s="202"/>
      <c r="V65" s="204"/>
      <c r="W65" s="204"/>
      <c r="X65" s="204"/>
      <c r="Y65" s="204"/>
      <c r="Z65" s="204"/>
      <c r="AA65" s="202"/>
      <c r="AB65" s="202"/>
      <c r="AC65" s="202"/>
      <c r="AD65" s="204"/>
      <c r="AE65" s="204"/>
      <c r="AF65" s="204"/>
      <c r="AG65" s="204"/>
      <c r="AH65" s="202"/>
      <c r="AI65" s="202"/>
      <c r="AJ65" s="202"/>
      <c r="AK65" s="202"/>
      <c r="AL65" s="202"/>
      <c r="AM65" s="204"/>
      <c r="AN65" s="204"/>
      <c r="AO65" s="202"/>
      <c r="AP65" s="202"/>
      <c r="AQ65" s="204"/>
      <c r="AR65" s="204"/>
      <c r="AS65" s="202"/>
    </row>
    <row r="66" spans="1:45" x14ac:dyDescent="0.25">
      <c r="A66" s="250" t="str">
        <f t="shared" si="9"/>
        <v/>
      </c>
      <c r="B66" s="251" t="str">
        <f t="shared" si="8"/>
        <v/>
      </c>
      <c r="C66" s="251" t="str">
        <f>IF(B66="","",VLOOKUP(D66,'Species Data'!B:D,4,FALSE))</f>
        <v/>
      </c>
      <c r="D66" s="251" t="str">
        <f t="shared" ca="1" si="1"/>
        <v/>
      </c>
      <c r="E66" s="251" t="str">
        <f t="shared" ca="1" si="2"/>
        <v/>
      </c>
      <c r="F66" s="251" t="str">
        <f t="shared" ca="1" si="3"/>
        <v/>
      </c>
      <c r="G66" s="251" t="str">
        <f t="shared" ca="1" si="4"/>
        <v/>
      </c>
      <c r="H66" s="208" t="str">
        <f ca="1">IF(G66="","",IF(VLOOKUP(VOC!F66,'Species Data'!D:E,3,FALSE)=0,"X",IF(G66&lt;44.1,2,1)))</f>
        <v/>
      </c>
      <c r="I66" s="208" t="str">
        <f t="shared" ca="1" si="5"/>
        <v/>
      </c>
      <c r="J66" s="252" t="str">
        <f ca="1">IF(I66="","",IF(COUNTIF($D$12:D66,D66)=1,IF(H66=1,I66*H66,IF(H66="X","X",0)),0))</f>
        <v/>
      </c>
      <c r="K66" s="253" t="str">
        <f t="shared" ca="1" si="6"/>
        <v/>
      </c>
      <c r="L66" s="202"/>
      <c r="M66" s="202"/>
      <c r="N66" s="202"/>
      <c r="O66" s="203"/>
      <c r="P66" s="202"/>
      <c r="Q66" s="204"/>
      <c r="R66" s="202"/>
      <c r="S66" s="202"/>
      <c r="T66" s="202"/>
      <c r="U66" s="202"/>
      <c r="V66" s="204"/>
      <c r="W66" s="204"/>
      <c r="X66" s="204"/>
      <c r="Y66" s="204"/>
      <c r="Z66" s="204"/>
      <c r="AA66" s="202"/>
      <c r="AB66" s="202"/>
      <c r="AC66" s="202"/>
      <c r="AD66" s="204"/>
      <c r="AE66" s="204"/>
      <c r="AF66" s="204"/>
      <c r="AG66" s="204"/>
      <c r="AH66" s="202"/>
      <c r="AI66" s="202"/>
      <c r="AJ66" s="202"/>
      <c r="AK66" s="202"/>
      <c r="AL66" s="202"/>
      <c r="AM66" s="204"/>
      <c r="AN66" s="204"/>
      <c r="AO66" s="202"/>
      <c r="AP66" s="202"/>
      <c r="AQ66" s="204"/>
      <c r="AR66" s="204"/>
      <c r="AS66" s="202"/>
    </row>
    <row r="67" spans="1:45" ht="15" customHeight="1" x14ac:dyDescent="0.25">
      <c r="A67" s="250" t="str">
        <f t="shared" si="9"/>
        <v/>
      </c>
      <c r="B67" s="251" t="str">
        <f t="shared" si="8"/>
        <v/>
      </c>
      <c r="C67" s="251" t="str">
        <f>IF(B67="","",VLOOKUP(D67,'Species Data'!B:D,4,FALSE))</f>
        <v/>
      </c>
      <c r="D67" s="251" t="str">
        <f t="shared" ca="1" si="1"/>
        <v/>
      </c>
      <c r="E67" s="251" t="str">
        <f t="shared" ca="1" si="2"/>
        <v/>
      </c>
      <c r="F67" s="251" t="str">
        <f t="shared" ca="1" si="3"/>
        <v/>
      </c>
      <c r="G67" s="251" t="str">
        <f t="shared" ca="1" si="4"/>
        <v/>
      </c>
      <c r="H67" s="208" t="str">
        <f ca="1">IF(G67="","",IF(VLOOKUP(VOC!F67,'Species Data'!D:E,3,FALSE)=0,"X",IF(G67&lt;44.1,2,1)))</f>
        <v/>
      </c>
      <c r="I67" s="208" t="str">
        <f t="shared" ca="1" si="5"/>
        <v/>
      </c>
      <c r="J67" s="252" t="str">
        <f ca="1">IF(I67="","",IF(COUNTIF($D$12:D67,D67)=1,IF(H67=1,I67*H67,IF(H67="X","X",0)),0))</f>
        <v/>
      </c>
      <c r="K67" s="253" t="str">
        <f t="shared" ca="1" si="6"/>
        <v/>
      </c>
      <c r="L67" s="202"/>
      <c r="M67" s="202"/>
      <c r="N67" s="202"/>
      <c r="O67" s="203"/>
      <c r="P67" s="202"/>
      <c r="Q67" s="204"/>
      <c r="R67" s="202"/>
      <c r="S67" s="202"/>
      <c r="T67" s="202"/>
      <c r="U67" s="202"/>
      <c r="V67" s="204"/>
      <c r="W67" s="204"/>
      <c r="X67" s="204"/>
      <c r="Y67" s="204"/>
      <c r="Z67" s="204"/>
      <c r="AA67" s="202"/>
      <c r="AB67" s="202"/>
      <c r="AC67" s="202"/>
      <c r="AD67" s="204"/>
      <c r="AE67" s="204"/>
      <c r="AF67" s="204"/>
      <c r="AG67" s="204"/>
      <c r="AH67" s="202"/>
      <c r="AI67" s="202"/>
      <c r="AJ67" s="202"/>
      <c r="AK67" s="202"/>
      <c r="AL67" s="202"/>
      <c r="AM67" s="204"/>
      <c r="AN67" s="204"/>
      <c r="AO67" s="202"/>
      <c r="AP67" s="202"/>
      <c r="AQ67" s="204"/>
      <c r="AR67" s="204"/>
      <c r="AS67" s="202"/>
    </row>
    <row r="68" spans="1:45" ht="15" customHeight="1" x14ac:dyDescent="0.25">
      <c r="A68" s="250" t="str">
        <f t="shared" si="9"/>
        <v/>
      </c>
      <c r="B68" s="251" t="str">
        <f t="shared" si="8"/>
        <v/>
      </c>
      <c r="C68" s="251" t="str">
        <f>IF(B68="","",VLOOKUP(D68,'Species Data'!B:D,4,FALSE))</f>
        <v/>
      </c>
      <c r="D68" s="251" t="str">
        <f t="shared" ca="1" si="1"/>
        <v/>
      </c>
      <c r="E68" s="251" t="str">
        <f t="shared" ca="1" si="2"/>
        <v/>
      </c>
      <c r="F68" s="251" t="str">
        <f t="shared" ca="1" si="3"/>
        <v/>
      </c>
      <c r="G68" s="251" t="str">
        <f t="shared" ca="1" si="4"/>
        <v/>
      </c>
      <c r="H68" s="208" t="str">
        <f ca="1">IF(G68="","",IF(VLOOKUP(VOC!F68,'Species Data'!D:E,3,FALSE)=0,"X",IF(G68&lt;44.1,2,1)))</f>
        <v/>
      </c>
      <c r="I68" s="208" t="str">
        <f t="shared" ca="1" si="5"/>
        <v/>
      </c>
      <c r="J68" s="252" t="str">
        <f ca="1">IF(I68="","",IF(COUNTIF($D$12:D68,D68)=1,IF(H68=1,I68*H68,IF(H68="X","X",0)),0))</f>
        <v/>
      </c>
      <c r="K68" s="253" t="str">
        <f t="shared" ca="1" si="6"/>
        <v/>
      </c>
      <c r="L68" s="202"/>
      <c r="M68" s="202"/>
      <c r="N68" s="202"/>
      <c r="O68" s="203"/>
      <c r="P68" s="202"/>
      <c r="Q68" s="204"/>
      <c r="R68" s="202"/>
      <c r="S68" s="202"/>
      <c r="T68" s="202"/>
      <c r="U68" s="202"/>
      <c r="V68" s="204"/>
      <c r="W68" s="204"/>
      <c r="X68" s="204"/>
      <c r="Y68" s="204"/>
      <c r="Z68" s="204"/>
      <c r="AA68" s="202"/>
      <c r="AB68" s="202"/>
      <c r="AC68" s="202"/>
      <c r="AD68" s="204"/>
      <c r="AE68" s="204"/>
      <c r="AF68" s="204"/>
      <c r="AG68" s="204"/>
      <c r="AH68" s="202"/>
      <c r="AI68" s="202"/>
      <c r="AJ68" s="202"/>
      <c r="AK68" s="202"/>
      <c r="AL68" s="202"/>
      <c r="AM68" s="204"/>
      <c r="AN68" s="204"/>
      <c r="AO68" s="202"/>
      <c r="AP68" s="202"/>
      <c r="AQ68" s="204"/>
      <c r="AR68" s="204"/>
      <c r="AS68" s="202"/>
    </row>
    <row r="69" spans="1:45" ht="15" customHeight="1" x14ac:dyDescent="0.25">
      <c r="A69" s="250" t="str">
        <f t="shared" si="9"/>
        <v/>
      </c>
      <c r="B69" s="251" t="str">
        <f t="shared" si="8"/>
        <v/>
      </c>
      <c r="C69" s="251" t="str">
        <f>IF(B69="","",VLOOKUP(D69,'Species Data'!B:D,4,FALSE))</f>
        <v/>
      </c>
      <c r="D69" s="251" t="str">
        <f t="shared" ca="1" si="1"/>
        <v/>
      </c>
      <c r="E69" s="251" t="str">
        <f t="shared" ca="1" si="2"/>
        <v/>
      </c>
      <c r="F69" s="251" t="str">
        <f t="shared" ca="1" si="3"/>
        <v/>
      </c>
      <c r="G69" s="251" t="str">
        <f t="shared" ca="1" si="4"/>
        <v/>
      </c>
      <c r="H69" s="208" t="str">
        <f ca="1">IF(G69="","",IF(VLOOKUP(VOC!F69,'Species Data'!D:E,3,FALSE)=0,"X",IF(G69&lt;44.1,2,1)))</f>
        <v/>
      </c>
      <c r="I69" s="208" t="str">
        <f t="shared" ca="1" si="5"/>
        <v/>
      </c>
      <c r="J69" s="252" t="str">
        <f ca="1">IF(I69="","",IF(COUNTIF($D$12:D69,D69)=1,IF(H69=1,I69*H69,IF(H69="X","X",0)),0))</f>
        <v/>
      </c>
      <c r="K69" s="253" t="str">
        <f t="shared" ca="1" si="6"/>
        <v/>
      </c>
      <c r="L69" s="202"/>
      <c r="M69" s="202"/>
      <c r="N69" s="202"/>
      <c r="O69" s="203"/>
      <c r="P69" s="202"/>
      <c r="Q69" s="204"/>
      <c r="R69" s="202"/>
      <c r="S69" s="202"/>
      <c r="T69" s="202"/>
      <c r="U69" s="202"/>
      <c r="V69" s="204"/>
      <c r="W69" s="204"/>
      <c r="X69" s="204"/>
      <c r="Y69" s="204"/>
      <c r="Z69" s="204"/>
      <c r="AA69" s="202"/>
      <c r="AB69" s="202"/>
      <c r="AC69" s="202"/>
      <c r="AD69" s="204"/>
      <c r="AE69" s="204"/>
      <c r="AF69" s="204"/>
      <c r="AG69" s="204"/>
      <c r="AH69" s="202"/>
      <c r="AI69" s="202"/>
      <c r="AJ69" s="202"/>
      <c r="AK69" s="202"/>
      <c r="AL69" s="202"/>
      <c r="AM69" s="204"/>
      <c r="AN69" s="204"/>
      <c r="AO69" s="202"/>
      <c r="AP69" s="202"/>
      <c r="AQ69" s="204"/>
      <c r="AR69" s="204"/>
      <c r="AS69" s="202"/>
    </row>
    <row r="70" spans="1:45" ht="15" customHeight="1" x14ac:dyDescent="0.25">
      <c r="A70" s="250" t="str">
        <f t="shared" si="9"/>
        <v/>
      </c>
      <c r="B70" s="251" t="str">
        <f t="shared" si="8"/>
        <v/>
      </c>
      <c r="C70" s="251" t="str">
        <f>IF(B70="","",VLOOKUP(D70,'Species Data'!B:D,4,FALSE))</f>
        <v/>
      </c>
      <c r="D70" s="251" t="str">
        <f t="shared" ca="1" si="1"/>
        <v/>
      </c>
      <c r="E70" s="251" t="str">
        <f t="shared" ca="1" si="2"/>
        <v/>
      </c>
      <c r="F70" s="251" t="str">
        <f t="shared" ca="1" si="3"/>
        <v/>
      </c>
      <c r="G70" s="251" t="str">
        <f t="shared" ca="1" si="4"/>
        <v/>
      </c>
      <c r="H70" s="208" t="str">
        <f ca="1">IF(G70="","",IF(VLOOKUP(VOC!F70,'Species Data'!D:E,3,FALSE)=0,"X",IF(G70&lt;44.1,2,1)))</f>
        <v/>
      </c>
      <c r="I70" s="208" t="str">
        <f t="shared" ca="1" si="5"/>
        <v/>
      </c>
      <c r="J70" s="252" t="str">
        <f ca="1">IF(I70="","",IF(COUNTIF($D$12:D70,D70)=1,IF(H70=1,I70*H70,IF(H70="X","X",0)),0))</f>
        <v/>
      </c>
      <c r="K70" s="253" t="str">
        <f t="shared" ca="1" si="6"/>
        <v/>
      </c>
      <c r="L70" s="202"/>
      <c r="M70" s="202"/>
      <c r="N70" s="202"/>
      <c r="O70" s="203"/>
      <c r="P70" s="202"/>
      <c r="Q70" s="204"/>
      <c r="R70" s="202"/>
      <c r="S70" s="202"/>
      <c r="T70" s="202"/>
      <c r="U70" s="202"/>
      <c r="V70" s="204"/>
      <c r="W70" s="204"/>
      <c r="X70" s="204"/>
      <c r="Y70" s="204"/>
      <c r="Z70" s="204"/>
      <c r="AA70" s="202"/>
      <c r="AB70" s="202"/>
      <c r="AC70" s="202"/>
      <c r="AD70" s="204"/>
      <c r="AE70" s="204"/>
      <c r="AF70" s="204"/>
      <c r="AG70" s="204"/>
      <c r="AH70" s="202"/>
      <c r="AI70" s="202"/>
      <c r="AJ70" s="202"/>
      <c r="AK70" s="202"/>
      <c r="AL70" s="202"/>
      <c r="AM70" s="204"/>
      <c r="AN70" s="204"/>
      <c r="AO70" s="202"/>
      <c r="AP70" s="202"/>
      <c r="AQ70" s="204"/>
      <c r="AR70" s="204"/>
      <c r="AS70" s="202"/>
    </row>
    <row r="71" spans="1:45" x14ac:dyDescent="0.25">
      <c r="A71" s="250" t="str">
        <f t="shared" si="9"/>
        <v/>
      </c>
      <c r="B71" s="251" t="str">
        <f t="shared" si="8"/>
        <v/>
      </c>
      <c r="C71" s="251" t="str">
        <f>IF(B71="","",VLOOKUP(D71,'Species Data'!B:D,4,FALSE))</f>
        <v/>
      </c>
      <c r="D71" s="251" t="str">
        <f t="shared" ca="1" si="1"/>
        <v/>
      </c>
      <c r="E71" s="251" t="str">
        <f t="shared" ca="1" si="2"/>
        <v/>
      </c>
      <c r="F71" s="251" t="str">
        <f t="shared" ca="1" si="3"/>
        <v/>
      </c>
      <c r="G71" s="251" t="str">
        <f t="shared" ca="1" si="4"/>
        <v/>
      </c>
      <c r="H71" s="208" t="str">
        <f ca="1">IF(G71="","",IF(VLOOKUP(VOC!F71,'Species Data'!D:E,3,FALSE)=0,"X",IF(G71&lt;44.1,2,1)))</f>
        <v/>
      </c>
      <c r="I71" s="208" t="str">
        <f t="shared" ca="1" si="5"/>
        <v/>
      </c>
      <c r="J71" s="252" t="str">
        <f ca="1">IF(I71="","",IF(COUNTIF($D$12:D71,D71)=1,IF(H71=1,I71*H71,IF(H71="X","X",0)),0))</f>
        <v/>
      </c>
      <c r="K71" s="253" t="str">
        <f t="shared" ca="1" si="6"/>
        <v/>
      </c>
      <c r="L71" s="202"/>
      <c r="M71" s="202"/>
      <c r="N71" s="202"/>
      <c r="O71" s="203"/>
      <c r="P71" s="202"/>
      <c r="Q71" s="204"/>
      <c r="R71" s="202"/>
      <c r="S71" s="202"/>
      <c r="T71" s="202"/>
      <c r="U71" s="202"/>
      <c r="V71" s="204"/>
      <c r="W71" s="204"/>
      <c r="X71" s="204"/>
      <c r="Y71" s="204"/>
      <c r="Z71" s="204"/>
      <c r="AA71" s="202"/>
      <c r="AB71" s="202"/>
      <c r="AC71" s="202"/>
      <c r="AD71" s="204"/>
      <c r="AE71" s="204"/>
      <c r="AF71" s="204"/>
      <c r="AG71" s="204"/>
      <c r="AH71" s="202"/>
      <c r="AI71" s="202"/>
      <c r="AJ71" s="202"/>
      <c r="AK71" s="202"/>
      <c r="AL71" s="202"/>
      <c r="AM71" s="204"/>
      <c r="AN71" s="204"/>
      <c r="AO71" s="202"/>
      <c r="AP71" s="202"/>
      <c r="AQ71" s="204"/>
      <c r="AR71" s="204"/>
      <c r="AS71" s="202"/>
    </row>
    <row r="72" spans="1:45" ht="15" customHeight="1" x14ac:dyDescent="0.25">
      <c r="A72" s="250" t="str">
        <f t="shared" si="9"/>
        <v/>
      </c>
      <c r="B72" s="251" t="str">
        <f t="shared" si="8"/>
        <v/>
      </c>
      <c r="C72" s="251" t="str">
        <f>IF(B72="","",VLOOKUP(D72,'Species Data'!B:D,4,FALSE))</f>
        <v/>
      </c>
      <c r="D72" s="251" t="str">
        <f t="shared" ca="1" si="1"/>
        <v/>
      </c>
      <c r="E72" s="251" t="str">
        <f t="shared" ca="1" si="2"/>
        <v/>
      </c>
      <c r="F72" s="251" t="str">
        <f t="shared" ca="1" si="3"/>
        <v/>
      </c>
      <c r="G72" s="251" t="str">
        <f t="shared" ca="1" si="4"/>
        <v/>
      </c>
      <c r="H72" s="208" t="str">
        <f ca="1">IF(G72="","",IF(VLOOKUP(VOC!F72,'Species Data'!D:E,3,FALSE)=0,"X",IF(G72&lt;44.1,2,1)))</f>
        <v/>
      </c>
      <c r="I72" s="208" t="str">
        <f t="shared" ca="1" si="5"/>
        <v/>
      </c>
      <c r="J72" s="252" t="str">
        <f ca="1">IF(I72="","",IF(COUNTIF($D$12:D72,D72)=1,IF(H72=1,I72*H72,IF(H72="X","X",0)),0))</f>
        <v/>
      </c>
      <c r="K72" s="253" t="str">
        <f t="shared" ca="1" si="6"/>
        <v/>
      </c>
      <c r="L72" s="202"/>
      <c r="M72" s="202"/>
      <c r="N72" s="202"/>
      <c r="O72" s="203"/>
      <c r="P72" s="202"/>
      <c r="Q72" s="204"/>
      <c r="R72" s="202"/>
      <c r="S72" s="202"/>
      <c r="T72" s="202"/>
      <c r="U72" s="202"/>
      <c r="V72" s="204"/>
      <c r="W72" s="204"/>
      <c r="X72" s="204"/>
      <c r="Y72" s="204"/>
      <c r="Z72" s="204"/>
      <c r="AA72" s="202"/>
      <c r="AB72" s="202"/>
      <c r="AC72" s="202"/>
      <c r="AD72" s="204"/>
      <c r="AE72" s="204"/>
      <c r="AF72" s="204"/>
      <c r="AG72" s="204"/>
      <c r="AH72" s="202"/>
      <c r="AI72" s="202"/>
      <c r="AJ72" s="202"/>
      <c r="AK72" s="202"/>
      <c r="AL72" s="202"/>
      <c r="AM72" s="204"/>
      <c r="AN72" s="204"/>
      <c r="AO72" s="202"/>
      <c r="AP72" s="202"/>
      <c r="AQ72" s="204"/>
      <c r="AR72" s="204"/>
      <c r="AS72" s="202"/>
    </row>
    <row r="73" spans="1:45" x14ac:dyDescent="0.25">
      <c r="A73" s="250" t="str">
        <f t="shared" si="9"/>
        <v/>
      </c>
      <c r="B73" s="251" t="str">
        <f t="shared" si="8"/>
        <v/>
      </c>
      <c r="C73" s="251" t="str">
        <f>IF(B73="","",VLOOKUP(D73,'Species Data'!B:D,4,FALSE))</f>
        <v/>
      </c>
      <c r="D73" s="251" t="str">
        <f t="shared" ca="1" si="1"/>
        <v/>
      </c>
      <c r="E73" s="251" t="str">
        <f t="shared" ca="1" si="2"/>
        <v/>
      </c>
      <c r="F73" s="251" t="str">
        <f t="shared" ca="1" si="3"/>
        <v/>
      </c>
      <c r="G73" s="251" t="str">
        <f t="shared" ca="1" si="4"/>
        <v/>
      </c>
      <c r="H73" s="208" t="str">
        <f ca="1">IF(G73="","",IF(VLOOKUP(VOC!F73,'Species Data'!D:E,3,FALSE)=0,"X",IF(G73&lt;44.1,2,1)))</f>
        <v/>
      </c>
      <c r="I73" s="208" t="str">
        <f t="shared" ca="1" si="5"/>
        <v/>
      </c>
      <c r="J73" s="252" t="str">
        <f ca="1">IF(I73="","",IF(COUNTIF($D$12:D73,D73)=1,IF(H73=1,I73*H73,IF(H73="X","X",0)),0))</f>
        <v/>
      </c>
      <c r="K73" s="253" t="str">
        <f t="shared" ca="1" si="6"/>
        <v/>
      </c>
      <c r="L73" s="202"/>
      <c r="M73" s="202"/>
      <c r="N73" s="202"/>
      <c r="O73" s="203"/>
      <c r="P73" s="202"/>
      <c r="Q73" s="204"/>
      <c r="R73" s="202"/>
      <c r="S73" s="202"/>
      <c r="T73" s="202"/>
      <c r="U73" s="202"/>
      <c r="V73" s="204"/>
      <c r="W73" s="204"/>
      <c r="X73" s="204"/>
      <c r="Y73" s="204"/>
      <c r="Z73" s="204"/>
      <c r="AA73" s="202"/>
      <c r="AB73" s="202"/>
      <c r="AC73" s="202"/>
      <c r="AD73" s="204"/>
      <c r="AE73" s="204"/>
      <c r="AF73" s="204"/>
      <c r="AG73" s="204"/>
      <c r="AH73" s="202"/>
      <c r="AI73" s="202"/>
      <c r="AJ73" s="202"/>
      <c r="AK73" s="202"/>
      <c r="AL73" s="202"/>
      <c r="AM73" s="204"/>
      <c r="AN73" s="204"/>
      <c r="AO73" s="202"/>
      <c r="AP73" s="202"/>
      <c r="AQ73" s="204"/>
      <c r="AR73" s="204"/>
      <c r="AS73" s="202"/>
    </row>
    <row r="74" spans="1:45" x14ac:dyDescent="0.25">
      <c r="A74" s="250" t="str">
        <f t="shared" si="9"/>
        <v/>
      </c>
      <c r="B74" s="251" t="str">
        <f t="shared" si="8"/>
        <v/>
      </c>
      <c r="C74" s="251" t="str">
        <f>IF(B74="","",VLOOKUP(D74,'Species Data'!B:D,4,FALSE))</f>
        <v/>
      </c>
      <c r="D74" s="251" t="str">
        <f t="shared" ca="1" si="1"/>
        <v/>
      </c>
      <c r="E74" s="251" t="str">
        <f t="shared" ca="1" si="2"/>
        <v/>
      </c>
      <c r="F74" s="251" t="str">
        <f t="shared" ca="1" si="3"/>
        <v/>
      </c>
      <c r="G74" s="251" t="str">
        <f t="shared" ca="1" si="4"/>
        <v/>
      </c>
      <c r="H74" s="208" t="str">
        <f ca="1">IF(G74="","",IF(VLOOKUP(VOC!F74,'Species Data'!D:E,3,FALSE)=0,"X",IF(G74&lt;44.1,2,1)))</f>
        <v/>
      </c>
      <c r="I74" s="208" t="str">
        <f t="shared" ca="1" si="5"/>
        <v/>
      </c>
      <c r="J74" s="252" t="str">
        <f ca="1">IF(I74="","",IF(COUNTIF($D$12:D74,D74)=1,IF(H74=1,I74*H74,IF(H74="X","X",0)),0))</f>
        <v/>
      </c>
      <c r="K74" s="253" t="str">
        <f t="shared" ca="1" si="6"/>
        <v/>
      </c>
      <c r="L74" s="202"/>
      <c r="M74" s="202"/>
      <c r="N74" s="202"/>
      <c r="O74" s="203"/>
      <c r="P74" s="202"/>
      <c r="Q74" s="204"/>
      <c r="R74" s="202"/>
      <c r="S74" s="202"/>
      <c r="T74" s="202"/>
      <c r="U74" s="202"/>
      <c r="V74" s="204"/>
      <c r="W74" s="204"/>
      <c r="X74" s="204"/>
      <c r="Y74" s="204"/>
      <c r="Z74" s="204"/>
      <c r="AA74" s="202"/>
      <c r="AB74" s="202"/>
      <c r="AC74" s="202"/>
      <c r="AD74" s="204"/>
      <c r="AE74" s="204"/>
      <c r="AF74" s="204"/>
      <c r="AG74" s="204"/>
      <c r="AH74" s="202"/>
      <c r="AI74" s="202"/>
      <c r="AJ74" s="202"/>
      <c r="AK74" s="202"/>
      <c r="AL74" s="202"/>
      <c r="AM74" s="204"/>
      <c r="AN74" s="204"/>
      <c r="AO74" s="202"/>
      <c r="AP74" s="202"/>
      <c r="AQ74" s="204"/>
      <c r="AR74" s="204"/>
      <c r="AS74" s="202"/>
    </row>
    <row r="75" spans="1:45" x14ac:dyDescent="0.25">
      <c r="A75" s="250" t="str">
        <f t="shared" si="9"/>
        <v/>
      </c>
      <c r="B75" s="251" t="str">
        <f t="shared" si="8"/>
        <v/>
      </c>
      <c r="C75" s="251" t="str">
        <f>IF(B75="","",VLOOKUP(D75,'Species Data'!B:D,4,FALSE))</f>
        <v/>
      </c>
      <c r="D75" s="251" t="str">
        <f t="shared" ca="1" si="1"/>
        <v/>
      </c>
      <c r="E75" s="251" t="str">
        <f t="shared" ca="1" si="2"/>
        <v/>
      </c>
      <c r="F75" s="251" t="str">
        <f t="shared" ca="1" si="3"/>
        <v/>
      </c>
      <c r="G75" s="251" t="str">
        <f t="shared" ca="1" si="4"/>
        <v/>
      </c>
      <c r="H75" s="208" t="str">
        <f ca="1">IF(G75="","",IF(VLOOKUP(VOC!F75,'Species Data'!D:E,3,FALSE)=0,"X",IF(G75&lt;44.1,2,1)))</f>
        <v/>
      </c>
      <c r="I75" s="208" t="str">
        <f t="shared" ca="1" si="5"/>
        <v/>
      </c>
      <c r="J75" s="252" t="str">
        <f ca="1">IF(I75="","",IF(COUNTIF($D$12:D75,D75)=1,IF(H75=1,I75*H75,IF(H75="X","X",0)),0))</f>
        <v/>
      </c>
      <c r="K75" s="253" t="str">
        <f t="shared" ca="1" si="6"/>
        <v/>
      </c>
      <c r="L75" s="202"/>
      <c r="M75" s="202"/>
      <c r="N75" s="202"/>
      <c r="O75" s="203"/>
      <c r="P75" s="202"/>
      <c r="Q75" s="204"/>
      <c r="R75" s="202"/>
      <c r="S75" s="202"/>
      <c r="T75" s="202"/>
      <c r="U75" s="202"/>
      <c r="V75" s="204"/>
      <c r="W75" s="204"/>
      <c r="X75" s="204"/>
      <c r="Y75" s="204"/>
      <c r="Z75" s="204"/>
      <c r="AA75" s="202"/>
      <c r="AB75" s="202"/>
      <c r="AC75" s="202"/>
      <c r="AD75" s="204"/>
      <c r="AE75" s="204"/>
      <c r="AF75" s="204"/>
      <c r="AG75" s="204"/>
      <c r="AH75" s="202"/>
      <c r="AI75" s="202"/>
      <c r="AJ75" s="202"/>
      <c r="AK75" s="202"/>
      <c r="AL75" s="202"/>
      <c r="AM75" s="204"/>
      <c r="AN75" s="204"/>
      <c r="AO75" s="202"/>
      <c r="AP75" s="202"/>
      <c r="AQ75" s="204"/>
      <c r="AR75" s="204"/>
      <c r="AS75" s="202"/>
    </row>
    <row r="76" spans="1:45" ht="15" customHeight="1" x14ac:dyDescent="0.25">
      <c r="A76" s="250" t="str">
        <f t="shared" si="9"/>
        <v/>
      </c>
      <c r="B76" s="251" t="str">
        <f t="shared" ref="B76:B107" si="10">IF(ROW(A76)-(ROW($A$12))&lt;$B$10,$B$9,"")</f>
        <v/>
      </c>
      <c r="C76" s="251" t="str">
        <f>IF(B76="","",VLOOKUP(D76,'Species Data'!B:D,4,FALSE))</f>
        <v/>
      </c>
      <c r="D76" s="251" t="str">
        <f t="shared" ref="D76:D139" ca="1" si="11">IF(B76="","",INDIRECT("AE"&amp;$A76))</f>
        <v/>
      </c>
      <c r="E76" s="251" t="str">
        <f t="shared" ref="E76:E139" ca="1" si="12">IF(D76="","",INDIRECT("AF"&amp;$A76))</f>
        <v/>
      </c>
      <c r="F76" s="251" t="str">
        <f t="shared" ref="F76:F139" ca="1" si="13">IF(E76="","",INDIRECT("AO"&amp;$A76))</f>
        <v/>
      </c>
      <c r="G76" s="251" t="str">
        <f t="shared" ref="G76:G139" ca="1" si="14">IF(F76="","",INDIRECT("AQ"&amp;$A76))</f>
        <v/>
      </c>
      <c r="H76" s="208" t="str">
        <f ca="1">IF(G76="","",IF(VLOOKUP(VOC!F76,'Species Data'!D:E,3,FALSE)=0,"X",IF(G76&lt;44.1,2,1)))</f>
        <v/>
      </c>
      <c r="I76" s="208" t="str">
        <f t="shared" ref="I76:I139" ca="1" si="15">IF(H76="","",SUMIF(D:D,D76,E:E)/($E$9/100))</f>
        <v/>
      </c>
      <c r="J76" s="252" t="str">
        <f ca="1">IF(I76="","",IF(COUNTIF($D$12:D76,D76)=1,IF(H76=1,I76*H76,IF(H76="X","X",0)),0))</f>
        <v/>
      </c>
      <c r="K76" s="253" t="str">
        <f t="shared" ref="K76:K139" ca="1" si="16">IF(J76="","",IF(J76="X",0,J76/$J$9*100))</f>
        <v/>
      </c>
      <c r="L76" s="202"/>
      <c r="M76" s="202"/>
      <c r="N76" s="202"/>
      <c r="O76" s="203"/>
      <c r="P76" s="202"/>
      <c r="Q76" s="204"/>
      <c r="R76" s="202"/>
      <c r="S76" s="202"/>
      <c r="T76" s="202"/>
      <c r="U76" s="202"/>
      <c r="V76" s="204"/>
      <c r="W76" s="204"/>
      <c r="X76" s="204"/>
      <c r="Y76" s="204"/>
      <c r="Z76" s="204"/>
      <c r="AA76" s="202"/>
      <c r="AB76" s="202"/>
      <c r="AC76" s="202"/>
      <c r="AD76" s="204"/>
      <c r="AE76" s="204"/>
      <c r="AF76" s="204"/>
      <c r="AG76" s="204"/>
      <c r="AH76" s="202"/>
      <c r="AI76" s="202"/>
      <c r="AJ76" s="202"/>
      <c r="AK76" s="202"/>
      <c r="AL76" s="202"/>
      <c r="AM76" s="204"/>
      <c r="AN76" s="204"/>
      <c r="AO76" s="202"/>
      <c r="AP76" s="202"/>
      <c r="AQ76" s="204"/>
      <c r="AR76" s="204"/>
      <c r="AS76" s="202"/>
    </row>
    <row r="77" spans="1:45" x14ac:dyDescent="0.25">
      <c r="A77" s="250" t="str">
        <f t="shared" ref="A77:A108" si="17">IF(B77="","",A76+1)</f>
        <v/>
      </c>
      <c r="B77" s="251" t="str">
        <f t="shared" si="10"/>
        <v/>
      </c>
      <c r="C77" s="251" t="str">
        <f>IF(B77="","",VLOOKUP(D77,'Species Data'!B:D,4,FALSE))</f>
        <v/>
      </c>
      <c r="D77" s="251" t="str">
        <f t="shared" ca="1" si="11"/>
        <v/>
      </c>
      <c r="E77" s="251" t="str">
        <f t="shared" ca="1" si="12"/>
        <v/>
      </c>
      <c r="F77" s="251" t="str">
        <f t="shared" ca="1" si="13"/>
        <v/>
      </c>
      <c r="G77" s="251" t="str">
        <f t="shared" ca="1" si="14"/>
        <v/>
      </c>
      <c r="H77" s="208" t="str">
        <f ca="1">IF(G77="","",IF(VLOOKUP(VOC!F77,'Species Data'!D:E,3,FALSE)=0,"X",IF(G77&lt;44.1,2,1)))</f>
        <v/>
      </c>
      <c r="I77" s="208" t="str">
        <f t="shared" ca="1" si="15"/>
        <v/>
      </c>
      <c r="J77" s="252" t="str">
        <f ca="1">IF(I77="","",IF(COUNTIF($D$12:D77,D77)=1,IF(H77=1,I77*H77,IF(H77="X","X",0)),0))</f>
        <v/>
      </c>
      <c r="K77" s="253" t="str">
        <f t="shared" ca="1" si="16"/>
        <v/>
      </c>
      <c r="L77" s="202"/>
      <c r="M77" s="202"/>
      <c r="N77" s="202"/>
      <c r="O77" s="203"/>
      <c r="P77" s="202"/>
      <c r="Q77" s="204"/>
      <c r="R77" s="202"/>
      <c r="S77" s="202"/>
      <c r="T77" s="202"/>
      <c r="U77" s="202"/>
      <c r="V77" s="204"/>
      <c r="W77" s="204"/>
      <c r="X77" s="204"/>
      <c r="Y77" s="204"/>
      <c r="Z77" s="204"/>
      <c r="AA77" s="202"/>
      <c r="AB77" s="202"/>
      <c r="AC77" s="202"/>
      <c r="AD77" s="204"/>
      <c r="AE77" s="204"/>
      <c r="AF77" s="204"/>
      <c r="AG77" s="204"/>
      <c r="AH77" s="202"/>
      <c r="AI77" s="202"/>
      <c r="AJ77" s="202"/>
      <c r="AK77" s="202"/>
      <c r="AL77" s="202"/>
      <c r="AM77" s="204"/>
      <c r="AN77" s="204"/>
      <c r="AO77" s="202"/>
      <c r="AP77" s="202"/>
      <c r="AQ77" s="204"/>
      <c r="AR77" s="204"/>
      <c r="AS77" s="202"/>
    </row>
    <row r="78" spans="1:45" ht="15" customHeight="1" x14ac:dyDescent="0.25">
      <c r="A78" s="250" t="str">
        <f t="shared" si="17"/>
        <v/>
      </c>
      <c r="B78" s="251" t="str">
        <f t="shared" si="10"/>
        <v/>
      </c>
      <c r="C78" s="251" t="str">
        <f>IF(B78="","",VLOOKUP(D78,'Species Data'!B:D,4,FALSE))</f>
        <v/>
      </c>
      <c r="D78" s="251" t="str">
        <f t="shared" ca="1" si="11"/>
        <v/>
      </c>
      <c r="E78" s="251" t="str">
        <f t="shared" ca="1" si="12"/>
        <v/>
      </c>
      <c r="F78" s="251" t="str">
        <f t="shared" ca="1" si="13"/>
        <v/>
      </c>
      <c r="G78" s="251" t="str">
        <f t="shared" ca="1" si="14"/>
        <v/>
      </c>
      <c r="H78" s="208" t="str">
        <f ca="1">IF(G78="","",IF(VLOOKUP(VOC!F78,'Species Data'!D:E,3,FALSE)=0,"X",IF(G78&lt;44.1,2,1)))</f>
        <v/>
      </c>
      <c r="I78" s="208" t="str">
        <f t="shared" ca="1" si="15"/>
        <v/>
      </c>
      <c r="J78" s="252" t="str">
        <f ca="1">IF(I78="","",IF(COUNTIF($D$12:D78,D78)=1,IF(H78=1,I78*H78,IF(H78="X","X",0)),0))</f>
        <v/>
      </c>
      <c r="K78" s="253" t="str">
        <f t="shared" ca="1" si="16"/>
        <v/>
      </c>
      <c r="L78" s="202"/>
      <c r="M78" s="202"/>
      <c r="N78" s="202"/>
      <c r="O78" s="203"/>
      <c r="P78" s="202"/>
      <c r="Q78" s="204"/>
      <c r="R78" s="202"/>
      <c r="S78" s="202"/>
      <c r="T78" s="202"/>
      <c r="U78" s="202"/>
      <c r="V78" s="204"/>
      <c r="W78" s="204"/>
      <c r="X78" s="204"/>
      <c r="Y78" s="204"/>
      <c r="Z78" s="204"/>
      <c r="AA78" s="202"/>
      <c r="AB78" s="202"/>
      <c r="AC78" s="202"/>
      <c r="AD78" s="204"/>
      <c r="AE78" s="204"/>
      <c r="AF78" s="204"/>
      <c r="AG78" s="204"/>
      <c r="AH78" s="202"/>
      <c r="AI78" s="202"/>
      <c r="AJ78" s="202"/>
      <c r="AK78" s="202"/>
      <c r="AL78" s="202"/>
      <c r="AM78" s="204"/>
      <c r="AN78" s="204"/>
      <c r="AO78" s="202"/>
      <c r="AP78" s="202"/>
      <c r="AQ78" s="204"/>
      <c r="AR78" s="204"/>
      <c r="AS78" s="202"/>
    </row>
    <row r="79" spans="1:45" x14ac:dyDescent="0.25">
      <c r="A79" s="250" t="str">
        <f t="shared" si="17"/>
        <v/>
      </c>
      <c r="B79" s="251" t="str">
        <f t="shared" si="10"/>
        <v/>
      </c>
      <c r="C79" s="251" t="str">
        <f>IF(B79="","",VLOOKUP(D79,'Species Data'!B:D,4,FALSE))</f>
        <v/>
      </c>
      <c r="D79" s="251" t="str">
        <f t="shared" ca="1" si="11"/>
        <v/>
      </c>
      <c r="E79" s="251" t="str">
        <f t="shared" ca="1" si="12"/>
        <v/>
      </c>
      <c r="F79" s="251" t="str">
        <f t="shared" ca="1" si="13"/>
        <v/>
      </c>
      <c r="G79" s="251" t="str">
        <f t="shared" ca="1" si="14"/>
        <v/>
      </c>
      <c r="H79" s="208" t="str">
        <f ca="1">IF(G79="","",IF(VLOOKUP(VOC!F79,'Species Data'!D:E,3,FALSE)=0,"X",IF(G79&lt;44.1,2,1)))</f>
        <v/>
      </c>
      <c r="I79" s="208" t="str">
        <f t="shared" ca="1" si="15"/>
        <v/>
      </c>
      <c r="J79" s="252" t="str">
        <f ca="1">IF(I79="","",IF(COUNTIF($D$12:D79,D79)=1,IF(H79=1,I79*H79,IF(H79="X","X",0)),0))</f>
        <v/>
      </c>
      <c r="K79" s="253" t="str">
        <f t="shared" ca="1" si="16"/>
        <v/>
      </c>
      <c r="L79" s="202"/>
      <c r="M79" s="202"/>
      <c r="N79" s="202"/>
      <c r="O79" s="203"/>
      <c r="P79" s="202"/>
      <c r="Q79" s="204"/>
      <c r="R79" s="202"/>
      <c r="S79" s="202"/>
      <c r="T79" s="202"/>
      <c r="U79" s="202"/>
      <c r="V79" s="204"/>
      <c r="W79" s="204"/>
      <c r="X79" s="204"/>
      <c r="Y79" s="204"/>
      <c r="Z79" s="204"/>
      <c r="AA79" s="202"/>
      <c r="AB79" s="202"/>
      <c r="AC79" s="202"/>
      <c r="AD79" s="204"/>
      <c r="AE79" s="204"/>
      <c r="AF79" s="204"/>
      <c r="AG79" s="204"/>
      <c r="AH79" s="202"/>
      <c r="AI79" s="202"/>
      <c r="AJ79" s="202"/>
      <c r="AK79" s="202"/>
      <c r="AL79" s="202"/>
      <c r="AM79" s="204"/>
      <c r="AN79" s="204"/>
      <c r="AO79" s="202"/>
      <c r="AP79" s="202"/>
      <c r="AQ79" s="204"/>
      <c r="AR79" s="204"/>
      <c r="AS79" s="202"/>
    </row>
    <row r="80" spans="1:45" x14ac:dyDescent="0.25">
      <c r="A80" s="250" t="str">
        <f t="shared" si="17"/>
        <v/>
      </c>
      <c r="B80" s="251" t="str">
        <f t="shared" si="10"/>
        <v/>
      </c>
      <c r="C80" s="251" t="str">
        <f>IF(B80="","",VLOOKUP(D80,'Species Data'!B:D,4,FALSE))</f>
        <v/>
      </c>
      <c r="D80" s="251" t="str">
        <f t="shared" ca="1" si="11"/>
        <v/>
      </c>
      <c r="E80" s="251" t="str">
        <f t="shared" ca="1" si="12"/>
        <v/>
      </c>
      <c r="F80" s="251" t="str">
        <f t="shared" ca="1" si="13"/>
        <v/>
      </c>
      <c r="G80" s="251" t="str">
        <f t="shared" ca="1" si="14"/>
        <v/>
      </c>
      <c r="H80" s="208" t="str">
        <f ca="1">IF(G80="","",IF(VLOOKUP(VOC!F80,'Species Data'!D:E,3,FALSE)=0,"X",IF(G80&lt;44.1,2,1)))</f>
        <v/>
      </c>
      <c r="I80" s="208" t="str">
        <f t="shared" ca="1" si="15"/>
        <v/>
      </c>
      <c r="J80" s="252" t="str">
        <f ca="1">IF(I80="","",IF(COUNTIF($D$12:D80,D80)=1,IF(H80=1,I80*H80,IF(H80="X","X",0)),0))</f>
        <v/>
      </c>
      <c r="K80" s="253" t="str">
        <f t="shared" ca="1" si="16"/>
        <v/>
      </c>
      <c r="L80" s="202"/>
      <c r="M80" s="202"/>
      <c r="N80" s="202"/>
      <c r="O80" s="203"/>
      <c r="P80" s="202"/>
      <c r="Q80" s="204"/>
      <c r="R80" s="202"/>
      <c r="S80" s="202"/>
      <c r="T80" s="202"/>
      <c r="U80" s="202"/>
      <c r="V80" s="204"/>
      <c r="W80" s="204"/>
      <c r="X80" s="204"/>
      <c r="Y80" s="204"/>
      <c r="Z80" s="204"/>
      <c r="AA80" s="202"/>
      <c r="AB80" s="202"/>
      <c r="AC80" s="202"/>
      <c r="AD80" s="204"/>
      <c r="AE80" s="204"/>
      <c r="AF80" s="204"/>
      <c r="AG80" s="204"/>
      <c r="AH80" s="202"/>
      <c r="AI80" s="202"/>
      <c r="AJ80" s="202"/>
      <c r="AK80" s="202"/>
      <c r="AL80" s="202"/>
      <c r="AM80" s="204"/>
      <c r="AN80" s="204"/>
      <c r="AO80" s="202"/>
      <c r="AP80" s="202"/>
      <c r="AQ80" s="204"/>
      <c r="AR80" s="204"/>
      <c r="AS80" s="202"/>
    </row>
    <row r="81" spans="1:45" x14ac:dyDescent="0.25">
      <c r="A81" s="250" t="str">
        <f t="shared" si="17"/>
        <v/>
      </c>
      <c r="B81" s="251" t="str">
        <f t="shared" si="10"/>
        <v/>
      </c>
      <c r="C81" s="251" t="str">
        <f>IF(B81="","",VLOOKUP(D81,'Species Data'!B:D,4,FALSE))</f>
        <v/>
      </c>
      <c r="D81" s="251" t="str">
        <f t="shared" ca="1" si="11"/>
        <v/>
      </c>
      <c r="E81" s="251" t="str">
        <f t="shared" ca="1" si="12"/>
        <v/>
      </c>
      <c r="F81" s="251" t="str">
        <f t="shared" ca="1" si="13"/>
        <v/>
      </c>
      <c r="G81" s="251" t="str">
        <f t="shared" ca="1" si="14"/>
        <v/>
      </c>
      <c r="H81" s="208" t="str">
        <f ca="1">IF(G81="","",IF(VLOOKUP(VOC!F81,'Species Data'!D:E,3,FALSE)=0,"X",IF(G81&lt;44.1,2,1)))</f>
        <v/>
      </c>
      <c r="I81" s="208" t="str">
        <f t="shared" ca="1" si="15"/>
        <v/>
      </c>
      <c r="J81" s="252" t="str">
        <f ca="1">IF(I81="","",IF(COUNTIF($D$12:D81,D81)=1,IF(H81=1,I81*H81,IF(H81="X","X",0)),0))</f>
        <v/>
      </c>
      <c r="K81" s="253" t="str">
        <f t="shared" ca="1" si="16"/>
        <v/>
      </c>
      <c r="L81" s="202"/>
      <c r="M81" s="202"/>
      <c r="N81" s="202"/>
      <c r="O81" s="203"/>
      <c r="P81" s="202"/>
      <c r="Q81" s="204"/>
      <c r="R81" s="202"/>
      <c r="S81" s="202"/>
      <c r="T81" s="202"/>
      <c r="U81" s="202"/>
      <c r="V81" s="204"/>
      <c r="W81" s="204"/>
      <c r="X81" s="204"/>
      <c r="Y81" s="204"/>
      <c r="Z81" s="204"/>
      <c r="AA81" s="202"/>
      <c r="AB81" s="202"/>
      <c r="AC81" s="202"/>
      <c r="AD81" s="204"/>
      <c r="AE81" s="204"/>
      <c r="AF81" s="204"/>
      <c r="AG81" s="204"/>
      <c r="AH81" s="202"/>
      <c r="AI81" s="202"/>
      <c r="AJ81" s="202"/>
      <c r="AK81" s="202"/>
      <c r="AL81" s="202"/>
      <c r="AM81" s="204"/>
      <c r="AN81" s="204"/>
      <c r="AO81" s="202"/>
      <c r="AP81" s="202"/>
      <c r="AQ81" s="204"/>
      <c r="AR81" s="204"/>
      <c r="AS81" s="202"/>
    </row>
    <row r="82" spans="1:45" x14ac:dyDescent="0.25">
      <c r="A82" s="250" t="str">
        <f t="shared" si="17"/>
        <v/>
      </c>
      <c r="B82" s="251" t="str">
        <f t="shared" si="10"/>
        <v/>
      </c>
      <c r="C82" s="251" t="str">
        <f>IF(B82="","",VLOOKUP(D82,'Species Data'!B:D,4,FALSE))</f>
        <v/>
      </c>
      <c r="D82" s="251" t="str">
        <f t="shared" ca="1" si="11"/>
        <v/>
      </c>
      <c r="E82" s="251" t="str">
        <f t="shared" ca="1" si="12"/>
        <v/>
      </c>
      <c r="F82" s="251" t="str">
        <f t="shared" ca="1" si="13"/>
        <v/>
      </c>
      <c r="G82" s="251" t="str">
        <f t="shared" ca="1" si="14"/>
        <v/>
      </c>
      <c r="H82" s="208" t="str">
        <f ca="1">IF(G82="","",IF(VLOOKUP(VOC!F82,'Species Data'!D:E,3,FALSE)=0,"X",IF(G82&lt;44.1,2,1)))</f>
        <v/>
      </c>
      <c r="I82" s="208" t="str">
        <f t="shared" ca="1" si="15"/>
        <v/>
      </c>
      <c r="J82" s="252" t="str">
        <f ca="1">IF(I82="","",IF(COUNTIF($D$12:D82,D82)=1,IF(H82=1,I82*H82,IF(H82="X","X",0)),0))</f>
        <v/>
      </c>
      <c r="K82" s="253" t="str">
        <f t="shared" ca="1" si="16"/>
        <v/>
      </c>
      <c r="L82" s="202"/>
      <c r="M82" s="202"/>
      <c r="N82" s="202"/>
      <c r="O82" s="203"/>
      <c r="P82" s="202"/>
      <c r="Q82" s="204"/>
      <c r="R82" s="202"/>
      <c r="S82" s="202"/>
      <c r="T82" s="202"/>
      <c r="U82" s="202"/>
      <c r="V82" s="204"/>
      <c r="W82" s="204"/>
      <c r="X82" s="204"/>
      <c r="Y82" s="204"/>
      <c r="Z82" s="204"/>
      <c r="AA82" s="202"/>
      <c r="AB82" s="202"/>
      <c r="AC82" s="202"/>
      <c r="AD82" s="204"/>
      <c r="AE82" s="204"/>
      <c r="AF82" s="204"/>
      <c r="AG82" s="204"/>
      <c r="AH82" s="202"/>
      <c r="AI82" s="202"/>
      <c r="AJ82" s="202"/>
      <c r="AK82" s="202"/>
      <c r="AL82" s="202"/>
      <c r="AM82" s="204"/>
      <c r="AN82" s="204"/>
      <c r="AO82" s="202"/>
      <c r="AP82" s="202"/>
      <c r="AQ82" s="204"/>
      <c r="AR82" s="204"/>
      <c r="AS82" s="202"/>
    </row>
    <row r="83" spans="1:45" x14ac:dyDescent="0.25">
      <c r="A83" s="250" t="str">
        <f t="shared" si="17"/>
        <v/>
      </c>
      <c r="B83" s="251" t="str">
        <f t="shared" si="10"/>
        <v/>
      </c>
      <c r="C83" s="251" t="str">
        <f>IF(B83="","",VLOOKUP(D83,'Species Data'!B:D,4,FALSE))</f>
        <v/>
      </c>
      <c r="D83" s="251" t="str">
        <f t="shared" ca="1" si="11"/>
        <v/>
      </c>
      <c r="E83" s="251" t="str">
        <f t="shared" ca="1" si="12"/>
        <v/>
      </c>
      <c r="F83" s="251" t="str">
        <f t="shared" ca="1" si="13"/>
        <v/>
      </c>
      <c r="G83" s="251" t="str">
        <f t="shared" ca="1" si="14"/>
        <v/>
      </c>
      <c r="H83" s="208" t="str">
        <f ca="1">IF(G83="","",IF(VLOOKUP(VOC!F83,'Species Data'!D:E,3,FALSE)=0,"X",IF(G83&lt;44.1,2,1)))</f>
        <v/>
      </c>
      <c r="I83" s="208" t="str">
        <f t="shared" ca="1" si="15"/>
        <v/>
      </c>
      <c r="J83" s="252" t="str">
        <f ca="1">IF(I83="","",IF(COUNTIF($D$12:D83,D83)=1,IF(H83=1,I83*H83,IF(H83="X","X",0)),0))</f>
        <v/>
      </c>
      <c r="K83" s="253" t="str">
        <f t="shared" ca="1" si="16"/>
        <v/>
      </c>
      <c r="L83" s="202"/>
      <c r="M83" s="202"/>
      <c r="N83" s="202"/>
      <c r="O83" s="203"/>
      <c r="P83" s="202"/>
      <c r="Q83" s="204"/>
      <c r="R83" s="202"/>
      <c r="S83" s="202"/>
      <c r="T83" s="202"/>
      <c r="U83" s="202"/>
      <c r="V83" s="204"/>
      <c r="W83" s="204"/>
      <c r="X83" s="204"/>
      <c r="Y83" s="204"/>
      <c r="Z83" s="204"/>
      <c r="AA83" s="202"/>
      <c r="AB83" s="202"/>
      <c r="AC83" s="202"/>
      <c r="AD83" s="204"/>
      <c r="AE83" s="204"/>
      <c r="AF83" s="204"/>
      <c r="AG83" s="204"/>
      <c r="AH83" s="202"/>
      <c r="AI83" s="202"/>
      <c r="AJ83" s="202"/>
      <c r="AK83" s="202"/>
      <c r="AL83" s="202"/>
      <c r="AM83" s="204"/>
      <c r="AN83" s="204"/>
      <c r="AO83" s="202"/>
      <c r="AP83" s="202"/>
      <c r="AQ83" s="204"/>
      <c r="AR83" s="204"/>
      <c r="AS83" s="202"/>
    </row>
    <row r="84" spans="1:45" x14ac:dyDescent="0.25">
      <c r="A84" s="250" t="str">
        <f t="shared" si="17"/>
        <v/>
      </c>
      <c r="B84" s="251" t="str">
        <f t="shared" si="10"/>
        <v/>
      </c>
      <c r="C84" s="251" t="str">
        <f>IF(B84="","",VLOOKUP(D84,'Species Data'!B:D,4,FALSE))</f>
        <v/>
      </c>
      <c r="D84" s="251" t="str">
        <f t="shared" ca="1" si="11"/>
        <v/>
      </c>
      <c r="E84" s="251" t="str">
        <f t="shared" ca="1" si="12"/>
        <v/>
      </c>
      <c r="F84" s="251" t="str">
        <f t="shared" ca="1" si="13"/>
        <v/>
      </c>
      <c r="G84" s="251" t="str">
        <f t="shared" ca="1" si="14"/>
        <v/>
      </c>
      <c r="H84" s="208" t="str">
        <f ca="1">IF(G84="","",IF(VLOOKUP(VOC!F84,'Species Data'!D:E,3,FALSE)=0,"X",IF(G84&lt;44.1,2,1)))</f>
        <v/>
      </c>
      <c r="I84" s="208" t="str">
        <f t="shared" ca="1" si="15"/>
        <v/>
      </c>
      <c r="J84" s="252" t="str">
        <f ca="1">IF(I84="","",IF(COUNTIF($D$12:D84,D84)=1,IF(H84=1,I84*H84,IF(H84="X","X",0)),0))</f>
        <v/>
      </c>
      <c r="K84" s="253" t="str">
        <f t="shared" ca="1" si="16"/>
        <v/>
      </c>
      <c r="L84" s="202"/>
      <c r="M84" s="202"/>
      <c r="N84" s="202"/>
      <c r="O84" s="203"/>
      <c r="P84" s="202"/>
      <c r="Q84" s="204"/>
      <c r="R84" s="202"/>
      <c r="S84" s="202"/>
      <c r="T84" s="202"/>
      <c r="U84" s="202"/>
      <c r="V84" s="204"/>
      <c r="W84" s="204"/>
      <c r="X84" s="204"/>
      <c r="Y84" s="204"/>
      <c r="Z84" s="204"/>
      <c r="AA84" s="202"/>
      <c r="AB84" s="202"/>
      <c r="AC84" s="202"/>
      <c r="AD84" s="204"/>
      <c r="AE84" s="204"/>
      <c r="AF84" s="204"/>
      <c r="AG84" s="204"/>
      <c r="AH84" s="202"/>
      <c r="AI84" s="202"/>
      <c r="AJ84" s="202"/>
      <c r="AK84" s="202"/>
      <c r="AL84" s="202"/>
      <c r="AM84" s="204"/>
      <c r="AN84" s="204"/>
      <c r="AO84" s="202"/>
      <c r="AP84" s="202"/>
      <c r="AQ84" s="204"/>
      <c r="AR84" s="204"/>
      <c r="AS84" s="202"/>
    </row>
    <row r="85" spans="1:45" x14ac:dyDescent="0.25">
      <c r="A85" s="250" t="str">
        <f t="shared" si="17"/>
        <v/>
      </c>
      <c r="B85" s="251" t="str">
        <f t="shared" si="10"/>
        <v/>
      </c>
      <c r="C85" s="251" t="str">
        <f>IF(B85="","",VLOOKUP(D85,'Species Data'!B:D,4,FALSE))</f>
        <v/>
      </c>
      <c r="D85" s="251" t="str">
        <f t="shared" ca="1" si="11"/>
        <v/>
      </c>
      <c r="E85" s="251" t="str">
        <f t="shared" ca="1" si="12"/>
        <v/>
      </c>
      <c r="F85" s="251" t="str">
        <f t="shared" ca="1" si="13"/>
        <v/>
      </c>
      <c r="G85" s="251" t="str">
        <f t="shared" ca="1" si="14"/>
        <v/>
      </c>
      <c r="H85" s="208" t="str">
        <f ca="1">IF(G85="","",IF(VLOOKUP(VOC!F85,'Species Data'!D:E,3,FALSE)=0,"X",IF(G85&lt;44.1,2,1)))</f>
        <v/>
      </c>
      <c r="I85" s="208" t="str">
        <f t="shared" ca="1" si="15"/>
        <v/>
      </c>
      <c r="J85" s="252" t="str">
        <f ca="1">IF(I85="","",IF(COUNTIF($D$12:D85,D85)=1,IF(H85=1,I85*H85,IF(H85="X","X",0)),0))</f>
        <v/>
      </c>
      <c r="K85" s="253" t="str">
        <f t="shared" ca="1" si="16"/>
        <v/>
      </c>
      <c r="L85" s="202"/>
      <c r="M85" s="202"/>
      <c r="N85" s="202"/>
      <c r="O85" s="203"/>
      <c r="P85" s="202"/>
      <c r="Q85" s="204"/>
      <c r="R85" s="202"/>
      <c r="S85" s="202"/>
      <c r="T85" s="202"/>
      <c r="U85" s="202"/>
      <c r="V85" s="204"/>
      <c r="W85" s="204"/>
      <c r="X85" s="204"/>
      <c r="Y85" s="204"/>
      <c r="Z85" s="204"/>
      <c r="AA85" s="202"/>
      <c r="AB85" s="202"/>
      <c r="AC85" s="202"/>
      <c r="AD85" s="204"/>
      <c r="AE85" s="204"/>
      <c r="AF85" s="204"/>
      <c r="AG85" s="204"/>
      <c r="AH85" s="202"/>
      <c r="AI85" s="202"/>
      <c r="AJ85" s="202"/>
      <c r="AK85" s="202"/>
      <c r="AL85" s="202"/>
      <c r="AM85" s="204"/>
      <c r="AN85" s="204"/>
      <c r="AO85" s="202"/>
      <c r="AP85" s="202"/>
      <c r="AQ85" s="204"/>
      <c r="AR85" s="204"/>
      <c r="AS85" s="202"/>
    </row>
    <row r="86" spans="1:45" x14ac:dyDescent="0.25">
      <c r="A86" s="250" t="str">
        <f t="shared" si="17"/>
        <v/>
      </c>
      <c r="B86" s="251" t="str">
        <f t="shared" si="10"/>
        <v/>
      </c>
      <c r="C86" s="251" t="str">
        <f>IF(B86="","",VLOOKUP(D86,'Species Data'!B:D,4,FALSE))</f>
        <v/>
      </c>
      <c r="D86" s="251" t="str">
        <f t="shared" ca="1" si="11"/>
        <v/>
      </c>
      <c r="E86" s="251" t="str">
        <f t="shared" ca="1" si="12"/>
        <v/>
      </c>
      <c r="F86" s="251" t="str">
        <f t="shared" ca="1" si="13"/>
        <v/>
      </c>
      <c r="G86" s="251" t="str">
        <f t="shared" ca="1" si="14"/>
        <v/>
      </c>
      <c r="H86" s="208" t="str">
        <f ca="1">IF(G86="","",IF(VLOOKUP(VOC!F86,'Species Data'!D:E,3,FALSE)=0,"X",IF(G86&lt;44.1,2,1)))</f>
        <v/>
      </c>
      <c r="I86" s="208" t="str">
        <f t="shared" ca="1" si="15"/>
        <v/>
      </c>
      <c r="J86" s="252" t="str">
        <f ca="1">IF(I86="","",IF(COUNTIF($D$12:D86,D86)=1,IF(H86=1,I86*H86,IF(H86="X","X",0)),0))</f>
        <v/>
      </c>
      <c r="K86" s="253" t="str">
        <f t="shared" ca="1" si="16"/>
        <v/>
      </c>
      <c r="L86" s="202"/>
      <c r="M86" s="202"/>
      <c r="N86" s="202"/>
      <c r="O86" s="203"/>
      <c r="P86" s="202"/>
      <c r="Q86" s="204"/>
      <c r="R86" s="202"/>
      <c r="S86" s="202"/>
      <c r="T86" s="202"/>
      <c r="U86" s="202"/>
      <c r="V86" s="204"/>
      <c r="W86" s="204"/>
      <c r="X86" s="204"/>
      <c r="Y86" s="204"/>
      <c r="Z86" s="204"/>
      <c r="AA86" s="202"/>
      <c r="AB86" s="202"/>
      <c r="AC86" s="202"/>
      <c r="AD86" s="204"/>
      <c r="AE86" s="204"/>
      <c r="AF86" s="204"/>
      <c r="AG86" s="204"/>
      <c r="AH86" s="202"/>
      <c r="AI86" s="202"/>
      <c r="AJ86" s="202"/>
      <c r="AK86" s="202"/>
      <c r="AL86" s="202"/>
      <c r="AM86" s="204"/>
      <c r="AN86" s="204"/>
      <c r="AO86" s="202"/>
      <c r="AP86" s="202"/>
      <c r="AQ86" s="204"/>
      <c r="AR86" s="204"/>
      <c r="AS86" s="202"/>
    </row>
    <row r="87" spans="1:45" x14ac:dyDescent="0.25">
      <c r="A87" s="250" t="str">
        <f t="shared" si="17"/>
        <v/>
      </c>
      <c r="B87" s="251" t="str">
        <f t="shared" si="10"/>
        <v/>
      </c>
      <c r="C87" s="251" t="str">
        <f>IF(B87="","",VLOOKUP(D87,'Species Data'!B:D,4,FALSE))</f>
        <v/>
      </c>
      <c r="D87" s="251" t="str">
        <f t="shared" ca="1" si="11"/>
        <v/>
      </c>
      <c r="E87" s="251" t="str">
        <f t="shared" ca="1" si="12"/>
        <v/>
      </c>
      <c r="F87" s="251" t="str">
        <f t="shared" ca="1" si="13"/>
        <v/>
      </c>
      <c r="G87" s="251" t="str">
        <f t="shared" ca="1" si="14"/>
        <v/>
      </c>
      <c r="H87" s="208" t="str">
        <f ca="1">IF(G87="","",IF(VLOOKUP(VOC!F87,'Species Data'!D:E,3,FALSE)=0,"X",IF(G87&lt;44.1,2,1)))</f>
        <v/>
      </c>
      <c r="I87" s="208" t="str">
        <f t="shared" ca="1" si="15"/>
        <v/>
      </c>
      <c r="J87" s="252" t="str">
        <f ca="1">IF(I87="","",IF(COUNTIF($D$12:D87,D87)=1,IF(H87=1,I87*H87,IF(H87="X","X",0)),0))</f>
        <v/>
      </c>
      <c r="K87" s="253" t="str">
        <f t="shared" ca="1" si="16"/>
        <v/>
      </c>
      <c r="L87" s="202"/>
      <c r="M87" s="202"/>
      <c r="N87" s="202"/>
      <c r="O87" s="203"/>
      <c r="P87" s="202"/>
      <c r="Q87" s="204"/>
      <c r="R87" s="202"/>
      <c r="S87" s="202"/>
      <c r="T87" s="202"/>
      <c r="U87" s="202"/>
      <c r="V87" s="204"/>
      <c r="W87" s="204"/>
      <c r="X87" s="204"/>
      <c r="Y87" s="204"/>
      <c r="Z87" s="204"/>
      <c r="AA87" s="202"/>
      <c r="AB87" s="202"/>
      <c r="AC87" s="202"/>
      <c r="AD87" s="204"/>
      <c r="AE87" s="204"/>
      <c r="AF87" s="204"/>
      <c r="AG87" s="204"/>
      <c r="AH87" s="202"/>
      <c r="AI87" s="202"/>
      <c r="AJ87" s="202"/>
      <c r="AK87" s="202"/>
      <c r="AL87" s="202"/>
      <c r="AM87" s="204"/>
      <c r="AN87" s="204"/>
      <c r="AO87" s="202"/>
      <c r="AP87" s="202"/>
      <c r="AQ87" s="204"/>
      <c r="AR87" s="204"/>
      <c r="AS87" s="202"/>
    </row>
    <row r="88" spans="1:45" x14ac:dyDescent="0.25">
      <c r="A88" s="250" t="str">
        <f t="shared" si="17"/>
        <v/>
      </c>
      <c r="B88" s="251" t="str">
        <f t="shared" si="10"/>
        <v/>
      </c>
      <c r="C88" s="251" t="str">
        <f>IF(B88="","",VLOOKUP(D88,'Species Data'!B:D,4,FALSE))</f>
        <v/>
      </c>
      <c r="D88" s="251" t="str">
        <f t="shared" ca="1" si="11"/>
        <v/>
      </c>
      <c r="E88" s="251" t="str">
        <f t="shared" ca="1" si="12"/>
        <v/>
      </c>
      <c r="F88" s="251" t="str">
        <f t="shared" ca="1" si="13"/>
        <v/>
      </c>
      <c r="G88" s="251" t="str">
        <f t="shared" ca="1" si="14"/>
        <v/>
      </c>
      <c r="H88" s="208" t="str">
        <f ca="1">IF(G88="","",IF(VLOOKUP(VOC!F88,'Species Data'!D:E,3,FALSE)=0,"X",IF(G88&lt;44.1,2,1)))</f>
        <v/>
      </c>
      <c r="I88" s="208" t="str">
        <f t="shared" ca="1" si="15"/>
        <v/>
      </c>
      <c r="J88" s="252" t="str">
        <f ca="1">IF(I88="","",IF(COUNTIF($D$12:D88,D88)=1,IF(H88=1,I88*H88,IF(H88="X","X",0)),0))</f>
        <v/>
      </c>
      <c r="K88" s="253" t="str">
        <f t="shared" ca="1" si="16"/>
        <v/>
      </c>
      <c r="L88" s="202"/>
      <c r="M88" s="202"/>
      <c r="N88" s="202"/>
      <c r="O88" s="203"/>
      <c r="P88" s="202"/>
      <c r="Q88" s="204"/>
      <c r="R88" s="202"/>
      <c r="S88" s="202"/>
      <c r="T88" s="202"/>
      <c r="U88" s="202"/>
      <c r="V88" s="204"/>
      <c r="W88" s="204"/>
      <c r="X88" s="204"/>
      <c r="Y88" s="204"/>
      <c r="Z88" s="204"/>
      <c r="AA88" s="202"/>
      <c r="AB88" s="202"/>
      <c r="AC88" s="202"/>
      <c r="AD88" s="204"/>
      <c r="AE88" s="204"/>
      <c r="AF88" s="204"/>
      <c r="AG88" s="204"/>
      <c r="AH88" s="202"/>
      <c r="AI88" s="202"/>
      <c r="AJ88" s="202"/>
      <c r="AK88" s="202"/>
      <c r="AL88" s="202"/>
      <c r="AM88" s="204"/>
      <c r="AN88" s="204"/>
      <c r="AO88" s="202"/>
      <c r="AP88" s="202"/>
      <c r="AQ88" s="204"/>
      <c r="AR88" s="204"/>
      <c r="AS88" s="202"/>
    </row>
    <row r="89" spans="1:45" x14ac:dyDescent="0.25">
      <c r="A89" s="250" t="str">
        <f t="shared" si="17"/>
        <v/>
      </c>
      <c r="B89" s="251" t="str">
        <f t="shared" si="10"/>
        <v/>
      </c>
      <c r="C89" s="251" t="str">
        <f>IF(B89="","",VLOOKUP(D89,'Species Data'!B:D,4,FALSE))</f>
        <v/>
      </c>
      <c r="D89" s="251" t="str">
        <f t="shared" ca="1" si="11"/>
        <v/>
      </c>
      <c r="E89" s="251" t="str">
        <f t="shared" ca="1" si="12"/>
        <v/>
      </c>
      <c r="F89" s="251" t="str">
        <f t="shared" ca="1" si="13"/>
        <v/>
      </c>
      <c r="G89" s="251" t="str">
        <f t="shared" ca="1" si="14"/>
        <v/>
      </c>
      <c r="H89" s="208" t="str">
        <f ca="1">IF(G89="","",IF(VLOOKUP(VOC!F89,'Species Data'!D:E,3,FALSE)=0,"X",IF(G89&lt;44.1,2,1)))</f>
        <v/>
      </c>
      <c r="I89" s="208" t="str">
        <f t="shared" ca="1" si="15"/>
        <v/>
      </c>
      <c r="J89" s="252" t="str">
        <f ca="1">IF(I89="","",IF(COUNTIF($D$12:D89,D89)=1,IF(H89=1,I89*H89,IF(H89="X","X",0)),0))</f>
        <v/>
      </c>
      <c r="K89" s="253" t="str">
        <f t="shared" ca="1" si="16"/>
        <v/>
      </c>
      <c r="L89" s="202"/>
      <c r="M89" s="202"/>
      <c r="N89" s="202"/>
      <c r="O89" s="203"/>
      <c r="P89" s="202"/>
      <c r="Q89" s="204"/>
      <c r="R89" s="202"/>
      <c r="S89" s="202"/>
      <c r="T89" s="202"/>
      <c r="U89" s="202"/>
      <c r="V89" s="204"/>
      <c r="W89" s="204"/>
      <c r="X89" s="204"/>
      <c r="Y89" s="204"/>
      <c r="Z89" s="204"/>
      <c r="AA89" s="202"/>
      <c r="AB89" s="202"/>
      <c r="AC89" s="202"/>
      <c r="AD89" s="204"/>
      <c r="AE89" s="204"/>
      <c r="AF89" s="204"/>
      <c r="AG89" s="204"/>
      <c r="AH89" s="202"/>
      <c r="AI89" s="202"/>
      <c r="AJ89" s="202"/>
      <c r="AK89" s="202"/>
      <c r="AL89" s="202"/>
      <c r="AM89" s="204"/>
      <c r="AN89" s="204"/>
      <c r="AO89" s="202"/>
      <c r="AP89" s="202"/>
      <c r="AQ89" s="204"/>
      <c r="AR89" s="204"/>
      <c r="AS89" s="202"/>
    </row>
    <row r="90" spans="1:45" x14ac:dyDescent="0.25">
      <c r="A90" s="250" t="str">
        <f t="shared" si="17"/>
        <v/>
      </c>
      <c r="B90" s="251" t="str">
        <f t="shared" si="10"/>
        <v/>
      </c>
      <c r="C90" s="251" t="str">
        <f>IF(B90="","",VLOOKUP(D90,'Species Data'!B:D,4,FALSE))</f>
        <v/>
      </c>
      <c r="D90" s="251" t="str">
        <f t="shared" ca="1" si="11"/>
        <v/>
      </c>
      <c r="E90" s="251" t="str">
        <f t="shared" ca="1" si="12"/>
        <v/>
      </c>
      <c r="F90" s="251" t="str">
        <f t="shared" ca="1" si="13"/>
        <v/>
      </c>
      <c r="G90" s="251" t="str">
        <f t="shared" ca="1" si="14"/>
        <v/>
      </c>
      <c r="H90" s="208" t="str">
        <f ca="1">IF(G90="","",IF(VLOOKUP(VOC!F90,'Species Data'!D:E,3,FALSE)=0,"X",IF(G90&lt;44.1,2,1)))</f>
        <v/>
      </c>
      <c r="I90" s="208" t="str">
        <f t="shared" ca="1" si="15"/>
        <v/>
      </c>
      <c r="J90" s="252" t="str">
        <f ca="1">IF(I90="","",IF(COUNTIF($D$12:D90,D90)=1,IF(H90=1,I90*H90,IF(H90="X","X",0)),0))</f>
        <v/>
      </c>
      <c r="K90" s="253" t="str">
        <f t="shared" ca="1" si="16"/>
        <v/>
      </c>
      <c r="L90" s="202"/>
      <c r="M90" s="202"/>
      <c r="N90" s="202"/>
      <c r="O90" s="203"/>
      <c r="P90" s="202"/>
      <c r="Q90" s="204"/>
      <c r="R90" s="202"/>
      <c r="S90" s="202"/>
      <c r="T90" s="202"/>
      <c r="U90" s="202"/>
      <c r="V90" s="204"/>
      <c r="W90" s="204"/>
      <c r="X90" s="204"/>
      <c r="Y90" s="204"/>
      <c r="Z90" s="204"/>
      <c r="AA90" s="202"/>
      <c r="AB90" s="202"/>
      <c r="AC90" s="202"/>
      <c r="AD90" s="204"/>
      <c r="AE90" s="204"/>
      <c r="AF90" s="204"/>
      <c r="AG90" s="204"/>
      <c r="AH90" s="202"/>
      <c r="AI90" s="202"/>
      <c r="AJ90" s="202"/>
      <c r="AK90" s="202"/>
      <c r="AL90" s="202"/>
      <c r="AM90" s="204"/>
      <c r="AN90" s="204"/>
      <c r="AO90" s="202"/>
      <c r="AP90" s="202"/>
      <c r="AQ90" s="204"/>
      <c r="AR90" s="204"/>
      <c r="AS90" s="202"/>
    </row>
    <row r="91" spans="1:45" x14ac:dyDescent="0.25">
      <c r="A91" s="250" t="str">
        <f t="shared" si="17"/>
        <v/>
      </c>
      <c r="B91" s="251" t="str">
        <f t="shared" si="10"/>
        <v/>
      </c>
      <c r="C91" s="251" t="str">
        <f>IF(B91="","",VLOOKUP(D91,'Species Data'!B:D,4,FALSE))</f>
        <v/>
      </c>
      <c r="D91" s="251" t="str">
        <f t="shared" ca="1" si="11"/>
        <v/>
      </c>
      <c r="E91" s="251" t="str">
        <f t="shared" ca="1" si="12"/>
        <v/>
      </c>
      <c r="F91" s="251" t="str">
        <f t="shared" ca="1" si="13"/>
        <v/>
      </c>
      <c r="G91" s="251" t="str">
        <f t="shared" ca="1" si="14"/>
        <v/>
      </c>
      <c r="H91" s="208" t="str">
        <f ca="1">IF(G91="","",IF(VLOOKUP(VOC!F91,'Species Data'!D:E,3,FALSE)=0,"X",IF(G91&lt;44.1,2,1)))</f>
        <v/>
      </c>
      <c r="I91" s="208" t="str">
        <f t="shared" ca="1" si="15"/>
        <v/>
      </c>
      <c r="J91" s="252" t="str">
        <f ca="1">IF(I91="","",IF(COUNTIF($D$12:D91,D91)=1,IF(H91=1,I91*H91,IF(H91="X","X",0)),0))</f>
        <v/>
      </c>
      <c r="K91" s="253" t="str">
        <f t="shared" ca="1" si="16"/>
        <v/>
      </c>
      <c r="L91" s="202"/>
      <c r="M91" s="202"/>
      <c r="N91" s="202"/>
      <c r="O91" s="203"/>
      <c r="P91" s="202"/>
      <c r="Q91" s="204"/>
      <c r="R91" s="202"/>
      <c r="S91" s="202"/>
      <c r="T91" s="202"/>
      <c r="U91" s="202"/>
      <c r="V91" s="204"/>
      <c r="W91" s="204"/>
      <c r="X91" s="204"/>
      <c r="Y91" s="204"/>
      <c r="Z91" s="204"/>
      <c r="AA91" s="202"/>
      <c r="AB91" s="202"/>
      <c r="AC91" s="202"/>
      <c r="AD91" s="204"/>
      <c r="AE91" s="204"/>
      <c r="AF91" s="204"/>
      <c r="AG91" s="204"/>
      <c r="AH91" s="202"/>
      <c r="AI91" s="202"/>
      <c r="AJ91" s="202"/>
      <c r="AK91" s="202"/>
      <c r="AL91" s="202"/>
      <c r="AM91" s="204"/>
      <c r="AN91" s="204"/>
      <c r="AO91" s="202"/>
      <c r="AP91" s="202"/>
      <c r="AQ91" s="204"/>
      <c r="AR91" s="204"/>
      <c r="AS91" s="202"/>
    </row>
    <row r="92" spans="1:45" ht="15" customHeight="1" x14ac:dyDescent="0.25">
      <c r="A92" s="250" t="str">
        <f t="shared" si="17"/>
        <v/>
      </c>
      <c r="B92" s="251" t="str">
        <f t="shared" si="10"/>
        <v/>
      </c>
      <c r="C92" s="251" t="str">
        <f>IF(B92="","",VLOOKUP(D92,'Species Data'!B:D,4,FALSE))</f>
        <v/>
      </c>
      <c r="D92" s="251" t="str">
        <f t="shared" ca="1" si="11"/>
        <v/>
      </c>
      <c r="E92" s="251" t="str">
        <f t="shared" ca="1" si="12"/>
        <v/>
      </c>
      <c r="F92" s="251" t="str">
        <f t="shared" ca="1" si="13"/>
        <v/>
      </c>
      <c r="G92" s="251" t="str">
        <f t="shared" ca="1" si="14"/>
        <v/>
      </c>
      <c r="H92" s="208" t="str">
        <f ca="1">IF(G92="","",IF(VLOOKUP(VOC!F92,'Species Data'!D:E,3,FALSE)=0,"X",IF(G92&lt;44.1,2,1)))</f>
        <v/>
      </c>
      <c r="I92" s="208" t="str">
        <f t="shared" ca="1" si="15"/>
        <v/>
      </c>
      <c r="J92" s="252" t="str">
        <f ca="1">IF(I92="","",IF(COUNTIF($D$12:D92,D92)=1,IF(H92=1,I92*H92,IF(H92="X","X",0)),0))</f>
        <v/>
      </c>
      <c r="K92" s="253" t="str">
        <f t="shared" ca="1" si="16"/>
        <v/>
      </c>
      <c r="L92" s="202"/>
      <c r="M92" s="202"/>
      <c r="N92" s="202"/>
      <c r="O92" s="203"/>
      <c r="P92" s="202"/>
      <c r="Q92" s="204"/>
      <c r="R92" s="202"/>
      <c r="S92" s="202"/>
      <c r="T92" s="202"/>
      <c r="U92" s="202"/>
      <c r="V92" s="204"/>
      <c r="W92" s="204"/>
      <c r="X92" s="204"/>
      <c r="Y92" s="204"/>
      <c r="Z92" s="204"/>
      <c r="AA92" s="202"/>
      <c r="AB92" s="202"/>
      <c r="AC92" s="202"/>
      <c r="AD92" s="204"/>
      <c r="AE92" s="204"/>
      <c r="AF92" s="204"/>
      <c r="AG92" s="204"/>
      <c r="AH92" s="202"/>
      <c r="AI92" s="202"/>
      <c r="AJ92" s="202"/>
      <c r="AK92" s="202"/>
      <c r="AL92" s="202"/>
      <c r="AM92" s="204"/>
      <c r="AN92" s="204"/>
      <c r="AO92" s="202"/>
      <c r="AP92" s="202"/>
      <c r="AQ92" s="204"/>
      <c r="AR92" s="204"/>
      <c r="AS92" s="202"/>
    </row>
    <row r="93" spans="1:45" x14ac:dyDescent="0.25">
      <c r="A93" s="250" t="str">
        <f t="shared" si="17"/>
        <v/>
      </c>
      <c r="B93" s="251" t="str">
        <f t="shared" si="10"/>
        <v/>
      </c>
      <c r="C93" s="251" t="str">
        <f>IF(B93="","",VLOOKUP(D93,'Species Data'!B:D,4,FALSE))</f>
        <v/>
      </c>
      <c r="D93" s="251" t="str">
        <f t="shared" ca="1" si="11"/>
        <v/>
      </c>
      <c r="E93" s="251" t="str">
        <f t="shared" ca="1" si="12"/>
        <v/>
      </c>
      <c r="F93" s="251" t="str">
        <f t="shared" ca="1" si="13"/>
        <v/>
      </c>
      <c r="G93" s="251" t="str">
        <f t="shared" ca="1" si="14"/>
        <v/>
      </c>
      <c r="H93" s="208" t="str">
        <f ca="1">IF(G93="","",IF(VLOOKUP(VOC!F93,'Species Data'!D:E,3,FALSE)=0,"X",IF(G93&lt;44.1,2,1)))</f>
        <v/>
      </c>
      <c r="I93" s="208" t="str">
        <f t="shared" ca="1" si="15"/>
        <v/>
      </c>
      <c r="J93" s="252" t="str">
        <f ca="1">IF(I93="","",IF(COUNTIF($D$12:D93,D93)=1,IF(H93=1,I93*H93,IF(H93="X","X",0)),0))</f>
        <v/>
      </c>
      <c r="K93" s="253" t="str">
        <f t="shared" ca="1" si="16"/>
        <v/>
      </c>
      <c r="L93" s="202"/>
      <c r="M93" s="202"/>
      <c r="N93" s="202"/>
      <c r="O93" s="203"/>
      <c r="P93" s="202"/>
      <c r="Q93" s="204"/>
      <c r="R93" s="202"/>
      <c r="S93" s="202"/>
      <c r="T93" s="202"/>
      <c r="U93" s="202"/>
      <c r="V93" s="204"/>
      <c r="W93" s="204"/>
      <c r="X93" s="204"/>
      <c r="Y93" s="204"/>
      <c r="Z93" s="204"/>
      <c r="AA93" s="202"/>
      <c r="AB93" s="202"/>
      <c r="AC93" s="202"/>
      <c r="AD93" s="204"/>
      <c r="AE93" s="204"/>
      <c r="AF93" s="204"/>
      <c r="AG93" s="204"/>
      <c r="AH93" s="202"/>
      <c r="AI93" s="202"/>
      <c r="AJ93" s="202"/>
      <c r="AK93" s="202"/>
      <c r="AL93" s="202"/>
      <c r="AM93" s="204"/>
      <c r="AN93" s="204"/>
      <c r="AO93" s="202"/>
      <c r="AP93" s="202"/>
      <c r="AQ93" s="204"/>
      <c r="AR93" s="204"/>
      <c r="AS93" s="202"/>
    </row>
    <row r="94" spans="1:45" x14ac:dyDescent="0.25">
      <c r="A94" s="250" t="str">
        <f t="shared" si="17"/>
        <v/>
      </c>
      <c r="B94" s="251" t="str">
        <f t="shared" si="10"/>
        <v/>
      </c>
      <c r="C94" s="251" t="str">
        <f>IF(B94="","",VLOOKUP(D94,'Species Data'!B:D,4,FALSE))</f>
        <v/>
      </c>
      <c r="D94" s="251" t="str">
        <f t="shared" ca="1" si="11"/>
        <v/>
      </c>
      <c r="E94" s="251" t="str">
        <f t="shared" ca="1" si="12"/>
        <v/>
      </c>
      <c r="F94" s="251" t="str">
        <f t="shared" ca="1" si="13"/>
        <v/>
      </c>
      <c r="G94" s="251" t="str">
        <f t="shared" ca="1" si="14"/>
        <v/>
      </c>
      <c r="H94" s="208" t="str">
        <f ca="1">IF(G94="","",IF(VLOOKUP(VOC!F94,'Species Data'!D:E,3,FALSE)=0,"X",IF(G94&lt;44.1,2,1)))</f>
        <v/>
      </c>
      <c r="I94" s="208" t="str">
        <f t="shared" ca="1" si="15"/>
        <v/>
      </c>
      <c r="J94" s="252" t="str">
        <f ca="1">IF(I94="","",IF(COUNTIF($D$12:D94,D94)=1,IF(H94=1,I94*H94,IF(H94="X","X",0)),0))</f>
        <v/>
      </c>
      <c r="K94" s="253" t="str">
        <f t="shared" ca="1" si="16"/>
        <v/>
      </c>
      <c r="L94" s="202"/>
      <c r="M94" s="202"/>
      <c r="N94" s="202"/>
      <c r="O94" s="203"/>
      <c r="P94" s="202"/>
      <c r="Q94" s="204"/>
      <c r="R94" s="202"/>
      <c r="S94" s="202"/>
      <c r="T94" s="202"/>
      <c r="U94" s="202"/>
      <c r="V94" s="204"/>
      <c r="W94" s="204"/>
      <c r="X94" s="204"/>
      <c r="Y94" s="204"/>
      <c r="Z94" s="204"/>
      <c r="AA94" s="202"/>
      <c r="AB94" s="202"/>
      <c r="AC94" s="202"/>
      <c r="AD94" s="204"/>
      <c r="AE94" s="204"/>
      <c r="AF94" s="204"/>
      <c r="AG94" s="204"/>
      <c r="AH94" s="202"/>
      <c r="AI94" s="202"/>
      <c r="AJ94" s="202"/>
      <c r="AK94" s="202"/>
      <c r="AL94" s="202"/>
      <c r="AM94" s="204"/>
      <c r="AN94" s="204"/>
      <c r="AO94" s="202"/>
      <c r="AP94" s="202"/>
      <c r="AQ94" s="204"/>
      <c r="AR94" s="204"/>
      <c r="AS94" s="202"/>
    </row>
    <row r="95" spans="1:45" x14ac:dyDescent="0.25">
      <c r="A95" s="250" t="str">
        <f t="shared" si="17"/>
        <v/>
      </c>
      <c r="B95" s="251" t="str">
        <f t="shared" si="10"/>
        <v/>
      </c>
      <c r="C95" s="251" t="str">
        <f>IF(B95="","",VLOOKUP(D95,'Species Data'!B:D,4,FALSE))</f>
        <v/>
      </c>
      <c r="D95" s="251" t="str">
        <f t="shared" ca="1" si="11"/>
        <v/>
      </c>
      <c r="E95" s="251" t="str">
        <f t="shared" ca="1" si="12"/>
        <v/>
      </c>
      <c r="F95" s="251" t="str">
        <f t="shared" ca="1" si="13"/>
        <v/>
      </c>
      <c r="G95" s="251" t="str">
        <f t="shared" ca="1" si="14"/>
        <v/>
      </c>
      <c r="H95" s="208" t="str">
        <f ca="1">IF(G95="","",IF(VLOOKUP(VOC!F95,'Species Data'!D:E,3,FALSE)=0,"X",IF(G95&lt;44.1,2,1)))</f>
        <v/>
      </c>
      <c r="I95" s="208" t="str">
        <f t="shared" ca="1" si="15"/>
        <v/>
      </c>
      <c r="J95" s="252" t="str">
        <f ca="1">IF(I95="","",IF(COUNTIF($D$12:D95,D95)=1,IF(H95=1,I95*H95,IF(H95="X","X",0)),0))</f>
        <v/>
      </c>
      <c r="K95" s="253" t="str">
        <f t="shared" ca="1" si="16"/>
        <v/>
      </c>
      <c r="L95" s="202"/>
      <c r="M95" s="202"/>
      <c r="N95" s="202"/>
      <c r="O95" s="203"/>
      <c r="P95" s="202"/>
      <c r="Q95" s="204"/>
      <c r="R95" s="202"/>
      <c r="S95" s="202"/>
      <c r="T95" s="202"/>
      <c r="U95" s="202"/>
      <c r="V95" s="204"/>
      <c r="W95" s="204"/>
      <c r="X95" s="204"/>
      <c r="Y95" s="204"/>
      <c r="Z95" s="204"/>
      <c r="AA95" s="202"/>
      <c r="AB95" s="202"/>
      <c r="AC95" s="202"/>
      <c r="AD95" s="204"/>
      <c r="AE95" s="204"/>
      <c r="AF95" s="204"/>
      <c r="AG95" s="204"/>
      <c r="AH95" s="202"/>
      <c r="AI95" s="202"/>
      <c r="AJ95" s="202"/>
      <c r="AK95" s="202"/>
      <c r="AL95" s="202"/>
      <c r="AM95" s="204"/>
      <c r="AN95" s="204"/>
      <c r="AO95" s="202"/>
      <c r="AP95" s="202"/>
      <c r="AQ95" s="204"/>
      <c r="AR95" s="204"/>
      <c r="AS95" s="202"/>
    </row>
    <row r="96" spans="1:45" x14ac:dyDescent="0.25">
      <c r="A96" s="250" t="str">
        <f t="shared" si="17"/>
        <v/>
      </c>
      <c r="B96" s="251" t="str">
        <f t="shared" si="10"/>
        <v/>
      </c>
      <c r="C96" s="251" t="str">
        <f>IF(B96="","",VLOOKUP(D96,'Species Data'!B:D,4,FALSE))</f>
        <v/>
      </c>
      <c r="D96" s="251" t="str">
        <f t="shared" ca="1" si="11"/>
        <v/>
      </c>
      <c r="E96" s="251" t="str">
        <f t="shared" ca="1" si="12"/>
        <v/>
      </c>
      <c r="F96" s="251" t="str">
        <f t="shared" ca="1" si="13"/>
        <v/>
      </c>
      <c r="G96" s="251" t="str">
        <f t="shared" ca="1" si="14"/>
        <v/>
      </c>
      <c r="H96" s="208" t="str">
        <f ca="1">IF(G96="","",IF(VLOOKUP(VOC!F96,'Species Data'!D:E,3,FALSE)=0,"X",IF(G96&lt;44.1,2,1)))</f>
        <v/>
      </c>
      <c r="I96" s="208" t="str">
        <f t="shared" ca="1" si="15"/>
        <v/>
      </c>
      <c r="J96" s="252" t="str">
        <f ca="1">IF(I96="","",IF(COUNTIF($D$12:D96,D96)=1,IF(H96=1,I96*H96,IF(H96="X","X",0)),0))</f>
        <v/>
      </c>
      <c r="K96" s="253" t="str">
        <f t="shared" ca="1" si="16"/>
        <v/>
      </c>
      <c r="L96" s="202"/>
      <c r="M96" s="202"/>
      <c r="N96" s="202"/>
      <c r="O96" s="203"/>
      <c r="P96" s="202"/>
      <c r="Q96" s="204"/>
      <c r="R96" s="202"/>
      <c r="S96" s="202"/>
      <c r="T96" s="202"/>
      <c r="U96" s="202"/>
      <c r="V96" s="204"/>
      <c r="W96" s="204"/>
      <c r="X96" s="204"/>
      <c r="Y96" s="204"/>
      <c r="Z96" s="204"/>
      <c r="AA96" s="202"/>
      <c r="AB96" s="202"/>
      <c r="AC96" s="202"/>
      <c r="AD96" s="204"/>
      <c r="AE96" s="204"/>
      <c r="AF96" s="204"/>
      <c r="AG96" s="204"/>
      <c r="AH96" s="202"/>
      <c r="AI96" s="202"/>
      <c r="AJ96" s="202"/>
      <c r="AK96" s="202"/>
      <c r="AL96" s="202"/>
      <c r="AM96" s="204"/>
      <c r="AN96" s="204"/>
      <c r="AO96" s="202"/>
      <c r="AP96" s="202"/>
      <c r="AQ96" s="204"/>
      <c r="AR96" s="204"/>
      <c r="AS96" s="202"/>
    </row>
    <row r="97" spans="1:45" x14ac:dyDescent="0.25">
      <c r="A97" s="250" t="str">
        <f t="shared" si="17"/>
        <v/>
      </c>
      <c r="B97" s="251" t="str">
        <f t="shared" si="10"/>
        <v/>
      </c>
      <c r="C97" s="251" t="str">
        <f>IF(B97="","",VLOOKUP(D97,'Species Data'!B:D,4,FALSE))</f>
        <v/>
      </c>
      <c r="D97" s="251" t="str">
        <f t="shared" ca="1" si="11"/>
        <v/>
      </c>
      <c r="E97" s="251" t="str">
        <f t="shared" ca="1" si="12"/>
        <v/>
      </c>
      <c r="F97" s="251" t="str">
        <f t="shared" ca="1" si="13"/>
        <v/>
      </c>
      <c r="G97" s="251" t="str">
        <f t="shared" ca="1" si="14"/>
        <v/>
      </c>
      <c r="H97" s="208" t="str">
        <f ca="1">IF(G97="","",IF(VLOOKUP(VOC!F97,'Species Data'!D:E,3,FALSE)=0,"X",IF(G97&lt;44.1,2,1)))</f>
        <v/>
      </c>
      <c r="I97" s="208" t="str">
        <f t="shared" ca="1" si="15"/>
        <v/>
      </c>
      <c r="J97" s="252" t="str">
        <f ca="1">IF(I97="","",IF(COUNTIF($D$12:D97,D97)=1,IF(H97=1,I97*H97,IF(H97="X","X",0)),0))</f>
        <v/>
      </c>
      <c r="K97" s="253" t="str">
        <f t="shared" ca="1" si="16"/>
        <v/>
      </c>
      <c r="L97" s="202"/>
      <c r="M97" s="202"/>
      <c r="N97" s="202"/>
      <c r="O97" s="203"/>
      <c r="P97" s="202"/>
      <c r="Q97" s="204"/>
      <c r="R97" s="202"/>
      <c r="S97" s="202"/>
      <c r="T97" s="202"/>
      <c r="U97" s="202"/>
      <c r="V97" s="204"/>
      <c r="W97" s="204"/>
      <c r="X97" s="204"/>
      <c r="Y97" s="204"/>
      <c r="Z97" s="204"/>
      <c r="AA97" s="202"/>
      <c r="AB97" s="202"/>
      <c r="AC97" s="202"/>
      <c r="AD97" s="204"/>
      <c r="AE97" s="204"/>
      <c r="AF97" s="204"/>
      <c r="AG97" s="204"/>
      <c r="AH97" s="202"/>
      <c r="AI97" s="202"/>
      <c r="AJ97" s="202"/>
      <c r="AK97" s="202"/>
      <c r="AL97" s="202"/>
      <c r="AM97" s="204"/>
      <c r="AN97" s="204"/>
      <c r="AO97" s="202"/>
      <c r="AP97" s="202"/>
      <c r="AQ97" s="204"/>
      <c r="AR97" s="204"/>
      <c r="AS97" s="202"/>
    </row>
    <row r="98" spans="1:45" x14ac:dyDescent="0.25">
      <c r="A98" s="250" t="str">
        <f t="shared" si="17"/>
        <v/>
      </c>
      <c r="B98" s="251" t="str">
        <f t="shared" si="10"/>
        <v/>
      </c>
      <c r="C98" s="251" t="str">
        <f>IF(B98="","",VLOOKUP(D98,'Species Data'!B:D,4,FALSE))</f>
        <v/>
      </c>
      <c r="D98" s="251" t="str">
        <f t="shared" ca="1" si="11"/>
        <v/>
      </c>
      <c r="E98" s="251" t="str">
        <f t="shared" ca="1" si="12"/>
        <v/>
      </c>
      <c r="F98" s="251" t="str">
        <f t="shared" ca="1" si="13"/>
        <v/>
      </c>
      <c r="G98" s="251" t="str">
        <f t="shared" ca="1" si="14"/>
        <v/>
      </c>
      <c r="H98" s="208" t="str">
        <f ca="1">IF(G98="","",IF(VLOOKUP(VOC!F98,'Species Data'!D:E,3,FALSE)=0,"X",IF(G98&lt;44.1,2,1)))</f>
        <v/>
      </c>
      <c r="I98" s="208" t="str">
        <f t="shared" ca="1" si="15"/>
        <v/>
      </c>
      <c r="J98" s="252" t="str">
        <f ca="1">IF(I98="","",IF(COUNTIF($D$12:D98,D98)=1,IF(H98=1,I98*H98,IF(H98="X","X",0)),0))</f>
        <v/>
      </c>
      <c r="K98" s="253" t="str">
        <f t="shared" ca="1" si="16"/>
        <v/>
      </c>
      <c r="L98" s="202"/>
      <c r="M98" s="202"/>
      <c r="N98" s="202"/>
      <c r="O98" s="203"/>
      <c r="P98" s="202"/>
      <c r="Q98" s="204"/>
      <c r="R98" s="202"/>
      <c r="S98" s="202"/>
      <c r="T98" s="202"/>
      <c r="U98" s="202"/>
      <c r="V98" s="204"/>
      <c r="W98" s="204"/>
      <c r="X98" s="204"/>
      <c r="Y98" s="204"/>
      <c r="Z98" s="204"/>
      <c r="AA98" s="202"/>
      <c r="AB98" s="202"/>
      <c r="AC98" s="202"/>
      <c r="AD98" s="204"/>
      <c r="AE98" s="204"/>
      <c r="AF98" s="204"/>
      <c r="AG98" s="204"/>
      <c r="AH98" s="202"/>
      <c r="AI98" s="202"/>
      <c r="AJ98" s="202"/>
      <c r="AK98" s="202"/>
      <c r="AL98" s="202"/>
      <c r="AM98" s="204"/>
      <c r="AN98" s="204"/>
      <c r="AO98" s="202"/>
      <c r="AP98" s="202"/>
      <c r="AQ98" s="204"/>
      <c r="AR98" s="204"/>
      <c r="AS98" s="202"/>
    </row>
    <row r="99" spans="1:45" x14ac:dyDescent="0.25">
      <c r="A99" s="250" t="str">
        <f t="shared" si="17"/>
        <v/>
      </c>
      <c r="B99" s="251" t="str">
        <f t="shared" si="10"/>
        <v/>
      </c>
      <c r="C99" s="251" t="str">
        <f>IF(B99="","",VLOOKUP(D99,'Species Data'!B:D,4,FALSE))</f>
        <v/>
      </c>
      <c r="D99" s="251" t="str">
        <f t="shared" ca="1" si="11"/>
        <v/>
      </c>
      <c r="E99" s="251" t="str">
        <f t="shared" ca="1" si="12"/>
        <v/>
      </c>
      <c r="F99" s="251" t="str">
        <f t="shared" ca="1" si="13"/>
        <v/>
      </c>
      <c r="G99" s="251" t="str">
        <f t="shared" ca="1" si="14"/>
        <v/>
      </c>
      <c r="H99" s="208" t="str">
        <f ca="1">IF(G99="","",IF(VLOOKUP(VOC!F99,'Species Data'!D:E,3,FALSE)=0,"X",IF(G99&lt;44.1,2,1)))</f>
        <v/>
      </c>
      <c r="I99" s="208" t="str">
        <f t="shared" ca="1" si="15"/>
        <v/>
      </c>
      <c r="J99" s="252" t="str">
        <f ca="1">IF(I99="","",IF(COUNTIF($D$12:D99,D99)=1,IF(H99=1,I99*H99,IF(H99="X","X",0)),0))</f>
        <v/>
      </c>
      <c r="K99" s="253" t="str">
        <f t="shared" ca="1" si="16"/>
        <v/>
      </c>
      <c r="L99" s="202"/>
      <c r="M99" s="202"/>
      <c r="N99" s="202"/>
      <c r="O99" s="203"/>
      <c r="P99" s="202"/>
      <c r="Q99" s="204"/>
      <c r="R99" s="202"/>
      <c r="S99" s="202"/>
      <c r="T99" s="202"/>
      <c r="U99" s="202"/>
      <c r="V99" s="204"/>
      <c r="W99" s="204"/>
      <c r="X99" s="204"/>
      <c r="Y99" s="204"/>
      <c r="Z99" s="204"/>
      <c r="AA99" s="202"/>
      <c r="AB99" s="202"/>
      <c r="AC99" s="202"/>
      <c r="AD99" s="204"/>
      <c r="AE99" s="204"/>
      <c r="AF99" s="204"/>
      <c r="AG99" s="204"/>
      <c r="AH99" s="202"/>
      <c r="AI99" s="202"/>
      <c r="AJ99" s="202"/>
      <c r="AK99" s="202"/>
      <c r="AL99" s="202"/>
      <c r="AM99" s="204"/>
      <c r="AN99" s="204"/>
      <c r="AO99" s="202"/>
      <c r="AP99" s="202"/>
      <c r="AQ99" s="204"/>
      <c r="AR99" s="204"/>
      <c r="AS99" s="202"/>
    </row>
    <row r="100" spans="1:45" x14ac:dyDescent="0.25">
      <c r="A100" s="250" t="str">
        <f t="shared" si="17"/>
        <v/>
      </c>
      <c r="B100" s="251" t="str">
        <f t="shared" si="10"/>
        <v/>
      </c>
      <c r="C100" s="251" t="str">
        <f>IF(B100="","",VLOOKUP(D100,'Species Data'!B:D,4,FALSE))</f>
        <v/>
      </c>
      <c r="D100" s="251" t="str">
        <f t="shared" ca="1" si="11"/>
        <v/>
      </c>
      <c r="E100" s="251" t="str">
        <f t="shared" ca="1" si="12"/>
        <v/>
      </c>
      <c r="F100" s="251" t="str">
        <f t="shared" ca="1" si="13"/>
        <v/>
      </c>
      <c r="G100" s="251" t="str">
        <f t="shared" ca="1" si="14"/>
        <v/>
      </c>
      <c r="H100" s="208" t="str">
        <f ca="1">IF(G100="","",IF(VLOOKUP(VOC!F100,'Species Data'!D:E,3,FALSE)=0,"X",IF(G100&lt;44.1,2,1)))</f>
        <v/>
      </c>
      <c r="I100" s="208" t="str">
        <f t="shared" ca="1" si="15"/>
        <v/>
      </c>
      <c r="J100" s="252" t="str">
        <f ca="1">IF(I100="","",IF(COUNTIF($D$12:D100,D100)=1,IF(H100=1,I100*H100,IF(H100="X","X",0)),0))</f>
        <v/>
      </c>
      <c r="K100" s="253" t="str">
        <f t="shared" ca="1" si="16"/>
        <v/>
      </c>
      <c r="L100" s="202"/>
      <c r="M100" s="202"/>
      <c r="N100" s="202"/>
      <c r="O100" s="203"/>
      <c r="P100" s="202"/>
      <c r="Q100" s="204"/>
      <c r="R100" s="202"/>
      <c r="S100" s="202"/>
      <c r="T100" s="202"/>
      <c r="U100" s="202"/>
      <c r="V100" s="204"/>
      <c r="W100" s="204"/>
      <c r="X100" s="204"/>
      <c r="Y100" s="204"/>
      <c r="Z100" s="204"/>
      <c r="AA100" s="202"/>
      <c r="AB100" s="202"/>
      <c r="AC100" s="202"/>
      <c r="AD100" s="204"/>
      <c r="AE100" s="204"/>
      <c r="AF100" s="204"/>
      <c r="AG100" s="204"/>
      <c r="AH100" s="202"/>
      <c r="AI100" s="202"/>
      <c r="AJ100" s="202"/>
      <c r="AK100" s="202"/>
      <c r="AL100" s="202"/>
      <c r="AM100" s="204"/>
      <c r="AN100" s="204"/>
      <c r="AO100" s="202"/>
      <c r="AP100" s="202"/>
      <c r="AQ100" s="204"/>
      <c r="AR100" s="204"/>
      <c r="AS100" s="202"/>
    </row>
    <row r="101" spans="1:45" ht="15" customHeight="1" x14ac:dyDescent="0.25">
      <c r="A101" s="250" t="str">
        <f t="shared" si="17"/>
        <v/>
      </c>
      <c r="B101" s="251" t="str">
        <f t="shared" si="10"/>
        <v/>
      </c>
      <c r="C101" s="251" t="str">
        <f>IF(B101="","",VLOOKUP(D101,'Species Data'!B:D,4,FALSE))</f>
        <v/>
      </c>
      <c r="D101" s="251" t="str">
        <f t="shared" ca="1" si="11"/>
        <v/>
      </c>
      <c r="E101" s="251" t="str">
        <f t="shared" ca="1" si="12"/>
        <v/>
      </c>
      <c r="F101" s="251" t="str">
        <f t="shared" ca="1" si="13"/>
        <v/>
      </c>
      <c r="G101" s="251" t="str">
        <f t="shared" ca="1" si="14"/>
        <v/>
      </c>
      <c r="H101" s="208" t="str">
        <f ca="1">IF(G101="","",IF(VLOOKUP(VOC!F101,'Species Data'!D:E,3,FALSE)=0,"X",IF(G101&lt;44.1,2,1)))</f>
        <v/>
      </c>
      <c r="I101" s="208" t="str">
        <f t="shared" ca="1" si="15"/>
        <v/>
      </c>
      <c r="J101" s="252" t="str">
        <f ca="1">IF(I101="","",IF(COUNTIF($D$12:D101,D101)=1,IF(H101=1,I101*H101,IF(H101="X","X",0)),0))</f>
        <v/>
      </c>
      <c r="K101" s="253" t="str">
        <f t="shared" ca="1" si="16"/>
        <v/>
      </c>
      <c r="L101" s="202"/>
      <c r="M101" s="202"/>
      <c r="N101" s="202"/>
      <c r="O101" s="203"/>
      <c r="P101" s="202"/>
      <c r="Q101" s="204"/>
      <c r="R101" s="202"/>
      <c r="S101" s="202"/>
      <c r="T101" s="202"/>
      <c r="U101" s="202"/>
      <c r="V101" s="204"/>
      <c r="W101" s="204"/>
      <c r="X101" s="204"/>
      <c r="Y101" s="204"/>
      <c r="Z101" s="204"/>
      <c r="AA101" s="202"/>
      <c r="AB101" s="202"/>
      <c r="AC101" s="202"/>
      <c r="AD101" s="204"/>
      <c r="AE101" s="204"/>
      <c r="AF101" s="204"/>
      <c r="AG101" s="204"/>
      <c r="AH101" s="202"/>
      <c r="AI101" s="202"/>
      <c r="AJ101" s="202"/>
      <c r="AK101" s="202"/>
      <c r="AL101" s="202"/>
      <c r="AM101" s="204"/>
      <c r="AN101" s="204"/>
      <c r="AO101" s="202"/>
      <c r="AP101" s="202"/>
      <c r="AQ101" s="204"/>
      <c r="AR101" s="204"/>
      <c r="AS101" s="202"/>
    </row>
    <row r="102" spans="1:45" x14ac:dyDescent="0.25">
      <c r="A102" s="250" t="str">
        <f t="shared" si="17"/>
        <v/>
      </c>
      <c r="B102" s="251" t="str">
        <f t="shared" si="10"/>
        <v/>
      </c>
      <c r="C102" s="251" t="str">
        <f>IF(B102="","",VLOOKUP(D102,'Species Data'!B:D,4,FALSE))</f>
        <v/>
      </c>
      <c r="D102" s="251" t="str">
        <f t="shared" ca="1" si="11"/>
        <v/>
      </c>
      <c r="E102" s="251" t="str">
        <f t="shared" ca="1" si="12"/>
        <v/>
      </c>
      <c r="F102" s="251" t="str">
        <f t="shared" ca="1" si="13"/>
        <v/>
      </c>
      <c r="G102" s="251" t="str">
        <f t="shared" ca="1" si="14"/>
        <v/>
      </c>
      <c r="H102" s="208" t="str">
        <f ca="1">IF(G102="","",IF(VLOOKUP(VOC!F102,'Species Data'!D:E,3,FALSE)=0,"X",IF(G102&lt;44.1,2,1)))</f>
        <v/>
      </c>
      <c r="I102" s="208" t="str">
        <f t="shared" ca="1" si="15"/>
        <v/>
      </c>
      <c r="J102" s="252" t="str">
        <f ca="1">IF(I102="","",IF(COUNTIF($D$12:D102,D102)=1,IF(H102=1,I102*H102,IF(H102="X","X",0)),0))</f>
        <v/>
      </c>
      <c r="K102" s="253" t="str">
        <f t="shared" ca="1" si="16"/>
        <v/>
      </c>
      <c r="L102" s="202"/>
      <c r="M102" s="202"/>
      <c r="N102" s="202"/>
      <c r="O102" s="203"/>
      <c r="P102" s="202"/>
      <c r="Q102" s="204"/>
      <c r="R102" s="202"/>
      <c r="S102" s="202"/>
      <c r="T102" s="202"/>
      <c r="U102" s="202"/>
      <c r="V102" s="204"/>
      <c r="W102" s="204"/>
      <c r="X102" s="204"/>
      <c r="Y102" s="204"/>
      <c r="Z102" s="204"/>
      <c r="AA102" s="202"/>
      <c r="AB102" s="202"/>
      <c r="AC102" s="202"/>
      <c r="AD102" s="204"/>
      <c r="AE102" s="204"/>
      <c r="AF102" s="204"/>
      <c r="AG102" s="204"/>
      <c r="AH102" s="202"/>
      <c r="AI102" s="202"/>
      <c r="AJ102" s="202"/>
      <c r="AK102" s="202"/>
      <c r="AL102" s="202"/>
      <c r="AM102" s="204"/>
      <c r="AN102" s="204"/>
      <c r="AO102" s="202"/>
      <c r="AP102" s="202"/>
      <c r="AQ102" s="204"/>
      <c r="AR102" s="204"/>
      <c r="AS102" s="202"/>
    </row>
    <row r="103" spans="1:45" x14ac:dyDescent="0.25">
      <c r="A103" s="250" t="str">
        <f t="shared" si="17"/>
        <v/>
      </c>
      <c r="B103" s="251" t="str">
        <f t="shared" si="10"/>
        <v/>
      </c>
      <c r="C103" s="251" t="str">
        <f>IF(B103="","",VLOOKUP(D103,'Species Data'!B:D,4,FALSE))</f>
        <v/>
      </c>
      <c r="D103" s="251" t="str">
        <f t="shared" ca="1" si="11"/>
        <v/>
      </c>
      <c r="E103" s="251" t="str">
        <f t="shared" ca="1" si="12"/>
        <v/>
      </c>
      <c r="F103" s="251" t="str">
        <f t="shared" ca="1" si="13"/>
        <v/>
      </c>
      <c r="G103" s="251" t="str">
        <f t="shared" ca="1" si="14"/>
        <v/>
      </c>
      <c r="H103" s="208" t="str">
        <f ca="1">IF(G103="","",IF(VLOOKUP(VOC!F103,'Species Data'!D:E,3,FALSE)=0,"X",IF(G103&lt;44.1,2,1)))</f>
        <v/>
      </c>
      <c r="I103" s="208" t="str">
        <f t="shared" ca="1" si="15"/>
        <v/>
      </c>
      <c r="J103" s="252" t="str">
        <f ca="1">IF(I103="","",IF(COUNTIF($D$12:D103,D103)=1,IF(H103=1,I103*H103,IF(H103="X","X",0)),0))</f>
        <v/>
      </c>
      <c r="K103" s="253" t="str">
        <f t="shared" ca="1" si="16"/>
        <v/>
      </c>
      <c r="L103" s="202"/>
      <c r="M103" s="202"/>
      <c r="N103" s="202"/>
      <c r="O103" s="203"/>
      <c r="P103" s="202"/>
      <c r="Q103" s="204"/>
      <c r="R103" s="202"/>
      <c r="S103" s="202"/>
      <c r="T103" s="202"/>
      <c r="U103" s="202"/>
      <c r="V103" s="204"/>
      <c r="W103" s="204"/>
      <c r="X103" s="204"/>
      <c r="Y103" s="204"/>
      <c r="Z103" s="204"/>
      <c r="AA103" s="202"/>
      <c r="AB103" s="202"/>
      <c r="AC103" s="202"/>
      <c r="AD103" s="204"/>
      <c r="AE103" s="204"/>
      <c r="AF103" s="204"/>
      <c r="AG103" s="204"/>
      <c r="AH103" s="202"/>
      <c r="AI103" s="202"/>
      <c r="AJ103" s="202"/>
      <c r="AK103" s="202"/>
      <c r="AL103" s="202"/>
      <c r="AM103" s="204"/>
      <c r="AN103" s="204"/>
      <c r="AO103" s="202"/>
      <c r="AP103" s="202"/>
      <c r="AQ103" s="204"/>
      <c r="AR103" s="204"/>
      <c r="AS103" s="202"/>
    </row>
    <row r="104" spans="1:45" x14ac:dyDescent="0.25">
      <c r="A104" s="250" t="str">
        <f t="shared" si="17"/>
        <v/>
      </c>
      <c r="B104" s="251" t="str">
        <f t="shared" si="10"/>
        <v/>
      </c>
      <c r="C104" s="251" t="str">
        <f>IF(B104="","",VLOOKUP(D104,'Species Data'!B:D,4,FALSE))</f>
        <v/>
      </c>
      <c r="D104" s="251" t="str">
        <f t="shared" ca="1" si="11"/>
        <v/>
      </c>
      <c r="E104" s="251" t="str">
        <f t="shared" ca="1" si="12"/>
        <v/>
      </c>
      <c r="F104" s="251" t="str">
        <f t="shared" ca="1" si="13"/>
        <v/>
      </c>
      <c r="G104" s="251" t="str">
        <f t="shared" ca="1" si="14"/>
        <v/>
      </c>
      <c r="H104" s="208" t="str">
        <f ca="1">IF(G104="","",IF(VLOOKUP(VOC!F104,'Species Data'!D:E,3,FALSE)=0,"X",IF(G104&lt;44.1,2,1)))</f>
        <v/>
      </c>
      <c r="I104" s="208" t="str">
        <f t="shared" ca="1" si="15"/>
        <v/>
      </c>
      <c r="J104" s="252" t="str">
        <f ca="1">IF(I104="","",IF(COUNTIF($D$12:D104,D104)=1,IF(H104=1,I104*H104,IF(H104="X","X",0)),0))</f>
        <v/>
      </c>
      <c r="K104" s="253" t="str">
        <f t="shared" ca="1" si="16"/>
        <v/>
      </c>
      <c r="L104" s="202"/>
      <c r="M104" s="202"/>
      <c r="N104" s="202"/>
      <c r="O104" s="203"/>
      <c r="P104" s="202"/>
      <c r="Q104" s="204"/>
      <c r="R104" s="202"/>
      <c r="S104" s="202"/>
      <c r="T104" s="202"/>
      <c r="U104" s="202"/>
      <c r="V104" s="204"/>
      <c r="W104" s="204"/>
      <c r="X104" s="204"/>
      <c r="Y104" s="204"/>
      <c r="Z104" s="204"/>
      <c r="AA104" s="202"/>
      <c r="AB104" s="202"/>
      <c r="AC104" s="202"/>
      <c r="AD104" s="204"/>
      <c r="AE104" s="204"/>
      <c r="AF104" s="204"/>
      <c r="AG104" s="204"/>
      <c r="AH104" s="202"/>
      <c r="AI104" s="202"/>
      <c r="AJ104" s="202"/>
      <c r="AK104" s="202"/>
      <c r="AL104" s="202"/>
      <c r="AM104" s="204"/>
      <c r="AN104" s="204"/>
      <c r="AO104" s="202"/>
      <c r="AP104" s="202"/>
      <c r="AQ104" s="204"/>
      <c r="AR104" s="204"/>
      <c r="AS104" s="202"/>
    </row>
    <row r="105" spans="1:45" ht="15" customHeight="1" x14ac:dyDescent="0.25">
      <c r="A105" s="250" t="str">
        <f t="shared" si="17"/>
        <v/>
      </c>
      <c r="B105" s="251" t="str">
        <f t="shared" si="10"/>
        <v/>
      </c>
      <c r="C105" s="251" t="str">
        <f>IF(B105="","",VLOOKUP(D105,'Species Data'!B:D,4,FALSE))</f>
        <v/>
      </c>
      <c r="D105" s="251" t="str">
        <f t="shared" ca="1" si="11"/>
        <v/>
      </c>
      <c r="E105" s="251" t="str">
        <f t="shared" ca="1" si="12"/>
        <v/>
      </c>
      <c r="F105" s="251" t="str">
        <f t="shared" ca="1" si="13"/>
        <v/>
      </c>
      <c r="G105" s="251" t="str">
        <f t="shared" ca="1" si="14"/>
        <v/>
      </c>
      <c r="H105" s="208" t="str">
        <f ca="1">IF(G105="","",IF(VLOOKUP(VOC!F105,'Species Data'!D:E,3,FALSE)=0,"X",IF(G105&lt;44.1,2,1)))</f>
        <v/>
      </c>
      <c r="I105" s="208" t="str">
        <f t="shared" ca="1" si="15"/>
        <v/>
      </c>
      <c r="J105" s="252" t="str">
        <f ca="1">IF(I105="","",IF(COUNTIF($D$12:D105,D105)=1,IF(H105=1,I105*H105,IF(H105="X","X",0)),0))</f>
        <v/>
      </c>
      <c r="K105" s="253" t="str">
        <f t="shared" ca="1" si="16"/>
        <v/>
      </c>
      <c r="L105" s="202"/>
      <c r="M105" s="202"/>
      <c r="N105" s="202"/>
      <c r="O105" s="203"/>
      <c r="P105" s="202"/>
      <c r="Q105" s="204"/>
      <c r="R105" s="202"/>
      <c r="S105" s="202"/>
      <c r="T105" s="202"/>
      <c r="U105" s="202"/>
      <c r="V105" s="204"/>
      <c r="W105" s="204"/>
      <c r="X105" s="204"/>
      <c r="Y105" s="204"/>
      <c r="Z105" s="204"/>
      <c r="AA105" s="202"/>
      <c r="AB105" s="202"/>
      <c r="AC105" s="202"/>
      <c r="AD105" s="204"/>
      <c r="AE105" s="204"/>
      <c r="AF105" s="204"/>
      <c r="AG105" s="204"/>
      <c r="AH105" s="202"/>
      <c r="AI105" s="202"/>
      <c r="AJ105" s="202"/>
      <c r="AK105" s="202"/>
      <c r="AL105" s="202"/>
      <c r="AM105" s="204"/>
      <c r="AN105" s="204"/>
      <c r="AO105" s="202"/>
      <c r="AP105" s="202"/>
      <c r="AQ105" s="204"/>
      <c r="AR105" s="204"/>
      <c r="AS105" s="202"/>
    </row>
    <row r="106" spans="1:45" ht="15" customHeight="1" x14ac:dyDescent="0.25">
      <c r="A106" s="250" t="str">
        <f t="shared" si="17"/>
        <v/>
      </c>
      <c r="B106" s="251" t="str">
        <f t="shared" si="10"/>
        <v/>
      </c>
      <c r="C106" s="251" t="str">
        <f>IF(B106="","",VLOOKUP(D106,'Species Data'!B:D,4,FALSE))</f>
        <v/>
      </c>
      <c r="D106" s="251" t="str">
        <f t="shared" ca="1" si="11"/>
        <v/>
      </c>
      <c r="E106" s="251" t="str">
        <f t="shared" ca="1" si="12"/>
        <v/>
      </c>
      <c r="F106" s="251" t="str">
        <f t="shared" ca="1" si="13"/>
        <v/>
      </c>
      <c r="G106" s="251" t="str">
        <f t="shared" ca="1" si="14"/>
        <v/>
      </c>
      <c r="H106" s="208" t="str">
        <f ca="1">IF(G106="","",IF(VLOOKUP(VOC!F106,'Species Data'!D:E,3,FALSE)=0,"X",IF(G106&lt;44.1,2,1)))</f>
        <v/>
      </c>
      <c r="I106" s="208" t="str">
        <f t="shared" ca="1" si="15"/>
        <v/>
      </c>
      <c r="J106" s="252" t="str">
        <f ca="1">IF(I106="","",IF(COUNTIF($D$12:D106,D106)=1,IF(H106=1,I106*H106,IF(H106="X","X",0)),0))</f>
        <v/>
      </c>
      <c r="K106" s="253" t="str">
        <f t="shared" ca="1" si="16"/>
        <v/>
      </c>
      <c r="L106" s="202"/>
      <c r="M106" s="202"/>
      <c r="N106" s="202"/>
      <c r="O106" s="203"/>
      <c r="P106" s="202"/>
      <c r="Q106" s="204"/>
      <c r="R106" s="202"/>
      <c r="S106" s="202"/>
      <c r="T106" s="202"/>
      <c r="U106" s="202"/>
      <c r="V106" s="204"/>
      <c r="W106" s="204"/>
      <c r="X106" s="204"/>
      <c r="Y106" s="204"/>
      <c r="Z106" s="204"/>
      <c r="AA106" s="202"/>
      <c r="AB106" s="202"/>
      <c r="AC106" s="202"/>
      <c r="AD106" s="204"/>
      <c r="AE106" s="204"/>
      <c r="AF106" s="204"/>
      <c r="AG106" s="204"/>
      <c r="AH106" s="202"/>
      <c r="AI106" s="202"/>
      <c r="AJ106" s="202"/>
      <c r="AK106" s="202"/>
      <c r="AL106" s="202"/>
      <c r="AM106" s="204"/>
      <c r="AN106" s="204"/>
      <c r="AO106" s="202"/>
      <c r="AP106" s="202"/>
      <c r="AQ106" s="204"/>
      <c r="AR106" s="204"/>
      <c r="AS106" s="202"/>
    </row>
    <row r="107" spans="1:45" ht="15" customHeight="1" x14ac:dyDescent="0.25">
      <c r="A107" s="250" t="str">
        <f t="shared" si="17"/>
        <v/>
      </c>
      <c r="B107" s="251" t="str">
        <f t="shared" si="10"/>
        <v/>
      </c>
      <c r="C107" s="251" t="str">
        <f>IF(B107="","",VLOOKUP(D107,'Species Data'!B:D,4,FALSE))</f>
        <v/>
      </c>
      <c r="D107" s="251" t="str">
        <f t="shared" ca="1" si="11"/>
        <v/>
      </c>
      <c r="E107" s="251" t="str">
        <f t="shared" ca="1" si="12"/>
        <v/>
      </c>
      <c r="F107" s="251" t="str">
        <f t="shared" ca="1" si="13"/>
        <v/>
      </c>
      <c r="G107" s="251" t="str">
        <f t="shared" ca="1" si="14"/>
        <v/>
      </c>
      <c r="H107" s="208" t="str">
        <f ca="1">IF(G107="","",IF(VLOOKUP(VOC!F107,'Species Data'!D:E,3,FALSE)=0,"X",IF(G107&lt;44.1,2,1)))</f>
        <v/>
      </c>
      <c r="I107" s="208" t="str">
        <f t="shared" ca="1" si="15"/>
        <v/>
      </c>
      <c r="J107" s="252" t="str">
        <f ca="1">IF(I107="","",IF(COUNTIF($D$12:D107,D107)=1,IF(H107=1,I107*H107,IF(H107="X","X",0)),0))</f>
        <v/>
      </c>
      <c r="K107" s="253" t="str">
        <f t="shared" ca="1" si="16"/>
        <v/>
      </c>
      <c r="L107" s="202"/>
      <c r="M107" s="202"/>
      <c r="N107" s="202"/>
      <c r="O107" s="203"/>
      <c r="P107" s="202"/>
      <c r="Q107" s="204"/>
      <c r="R107" s="202"/>
      <c r="S107" s="202"/>
      <c r="T107" s="202"/>
      <c r="U107" s="202"/>
      <c r="V107" s="204"/>
      <c r="W107" s="204"/>
      <c r="X107" s="204"/>
      <c r="Y107" s="204"/>
      <c r="Z107" s="204"/>
      <c r="AA107" s="202"/>
      <c r="AB107" s="202"/>
      <c r="AC107" s="202"/>
      <c r="AD107" s="204"/>
      <c r="AE107" s="204"/>
      <c r="AF107" s="204"/>
      <c r="AG107" s="204"/>
      <c r="AH107" s="202"/>
      <c r="AI107" s="202"/>
      <c r="AJ107" s="202"/>
      <c r="AK107" s="202"/>
      <c r="AL107" s="202"/>
      <c r="AM107" s="204"/>
      <c r="AN107" s="204"/>
      <c r="AO107" s="202"/>
      <c r="AP107" s="202"/>
      <c r="AQ107" s="204"/>
      <c r="AR107" s="204"/>
      <c r="AS107" s="202"/>
    </row>
    <row r="108" spans="1:45" ht="15" customHeight="1" x14ac:dyDescent="0.25">
      <c r="A108" s="250" t="str">
        <f t="shared" si="17"/>
        <v/>
      </c>
      <c r="B108" s="251" t="str">
        <f t="shared" ref="B108:B139" si="18">IF(ROW(A108)-(ROW($A$12))&lt;$B$10,$B$9,"")</f>
        <v/>
      </c>
      <c r="C108" s="251" t="str">
        <f>IF(B108="","",VLOOKUP(D108,'Species Data'!B:D,4,FALSE))</f>
        <v/>
      </c>
      <c r="D108" s="251" t="str">
        <f t="shared" ca="1" si="11"/>
        <v/>
      </c>
      <c r="E108" s="251" t="str">
        <f t="shared" ca="1" si="12"/>
        <v/>
      </c>
      <c r="F108" s="251" t="str">
        <f t="shared" ca="1" si="13"/>
        <v/>
      </c>
      <c r="G108" s="251" t="str">
        <f t="shared" ca="1" si="14"/>
        <v/>
      </c>
      <c r="H108" s="208" t="str">
        <f ca="1">IF(G108="","",IF(VLOOKUP(VOC!F108,'Species Data'!D:E,3,FALSE)=0,"X",IF(G108&lt;44.1,2,1)))</f>
        <v/>
      </c>
      <c r="I108" s="208" t="str">
        <f t="shared" ca="1" si="15"/>
        <v/>
      </c>
      <c r="J108" s="252" t="str">
        <f ca="1">IF(I108="","",IF(COUNTIF($D$12:D108,D108)=1,IF(H108=1,I108*H108,IF(H108="X","X",0)),0))</f>
        <v/>
      </c>
      <c r="K108" s="253" t="str">
        <f t="shared" ca="1" si="16"/>
        <v/>
      </c>
      <c r="L108" s="202"/>
      <c r="M108" s="202"/>
      <c r="N108" s="202"/>
      <c r="O108" s="203"/>
      <c r="P108" s="202"/>
      <c r="Q108" s="204"/>
      <c r="R108" s="202"/>
      <c r="S108" s="202"/>
      <c r="T108" s="202"/>
      <c r="U108" s="202"/>
      <c r="V108" s="204"/>
      <c r="W108" s="204"/>
      <c r="X108" s="204"/>
      <c r="Y108" s="204"/>
      <c r="Z108" s="204"/>
      <c r="AA108" s="202"/>
      <c r="AB108" s="202"/>
      <c r="AC108" s="202"/>
      <c r="AD108" s="204"/>
      <c r="AE108" s="204"/>
      <c r="AF108" s="204"/>
      <c r="AG108" s="204"/>
      <c r="AH108" s="202"/>
      <c r="AI108" s="202"/>
      <c r="AJ108" s="202"/>
      <c r="AK108" s="202"/>
      <c r="AL108" s="202"/>
      <c r="AM108" s="204"/>
      <c r="AN108" s="204"/>
      <c r="AO108" s="202"/>
      <c r="AP108" s="202"/>
      <c r="AQ108" s="204"/>
      <c r="AR108" s="204"/>
      <c r="AS108" s="202"/>
    </row>
    <row r="109" spans="1:45" x14ac:dyDescent="0.25">
      <c r="A109" s="250" t="str">
        <f t="shared" ref="A109:A140" si="19">IF(B109="","",A108+1)</f>
        <v/>
      </c>
      <c r="B109" s="251" t="str">
        <f t="shared" si="18"/>
        <v/>
      </c>
      <c r="C109" s="251" t="str">
        <f>IF(B109="","",VLOOKUP(D109,'Species Data'!B:D,4,FALSE))</f>
        <v/>
      </c>
      <c r="D109" s="251" t="str">
        <f t="shared" ca="1" si="11"/>
        <v/>
      </c>
      <c r="E109" s="251" t="str">
        <f t="shared" ca="1" si="12"/>
        <v/>
      </c>
      <c r="F109" s="251" t="str">
        <f t="shared" ca="1" si="13"/>
        <v/>
      </c>
      <c r="G109" s="251" t="str">
        <f t="shared" ca="1" si="14"/>
        <v/>
      </c>
      <c r="H109" s="208" t="str">
        <f ca="1">IF(G109="","",IF(VLOOKUP(VOC!F109,'Species Data'!D:E,3,FALSE)=0,"X",IF(G109&lt;44.1,2,1)))</f>
        <v/>
      </c>
      <c r="I109" s="208" t="str">
        <f t="shared" ca="1" si="15"/>
        <v/>
      </c>
      <c r="J109" s="252" t="str">
        <f ca="1">IF(I109="","",IF(COUNTIF($D$12:D109,D109)=1,IF(H109=1,I109*H109,IF(H109="X","X",0)),0))</f>
        <v/>
      </c>
      <c r="K109" s="253" t="str">
        <f t="shared" ca="1" si="16"/>
        <v/>
      </c>
      <c r="L109" s="202"/>
      <c r="M109" s="202"/>
      <c r="N109" s="202"/>
      <c r="O109" s="203"/>
      <c r="P109" s="202"/>
      <c r="Q109" s="204"/>
      <c r="R109" s="202"/>
      <c r="S109" s="202"/>
      <c r="T109" s="202"/>
      <c r="U109" s="202"/>
      <c r="V109" s="204"/>
      <c r="W109" s="204"/>
      <c r="X109" s="204"/>
      <c r="Y109" s="204"/>
      <c r="Z109" s="204"/>
      <c r="AA109" s="202"/>
      <c r="AB109" s="202"/>
      <c r="AC109" s="202"/>
      <c r="AD109" s="204"/>
      <c r="AE109" s="204"/>
      <c r="AF109" s="204"/>
      <c r="AG109" s="204"/>
      <c r="AH109" s="202"/>
      <c r="AI109" s="202"/>
      <c r="AJ109" s="202"/>
      <c r="AK109" s="202"/>
      <c r="AL109" s="202"/>
      <c r="AM109" s="204"/>
      <c r="AN109" s="204"/>
      <c r="AO109" s="202"/>
      <c r="AP109" s="202"/>
      <c r="AQ109" s="204"/>
      <c r="AR109" s="204"/>
      <c r="AS109" s="202"/>
    </row>
    <row r="110" spans="1:45" ht="15" customHeight="1" x14ac:dyDescent="0.25">
      <c r="A110" s="250" t="str">
        <f t="shared" si="19"/>
        <v/>
      </c>
      <c r="B110" s="251" t="str">
        <f t="shared" si="18"/>
        <v/>
      </c>
      <c r="C110" s="251" t="str">
        <f>IF(B110="","",VLOOKUP(D110,'Species Data'!B:D,4,FALSE))</f>
        <v/>
      </c>
      <c r="D110" s="251" t="str">
        <f t="shared" ca="1" si="11"/>
        <v/>
      </c>
      <c r="E110" s="251" t="str">
        <f t="shared" ca="1" si="12"/>
        <v/>
      </c>
      <c r="F110" s="251" t="str">
        <f t="shared" ca="1" si="13"/>
        <v/>
      </c>
      <c r="G110" s="251" t="str">
        <f t="shared" ca="1" si="14"/>
        <v/>
      </c>
      <c r="H110" s="208" t="str">
        <f ca="1">IF(G110="","",IF(VLOOKUP(VOC!F110,'Species Data'!D:E,3,FALSE)=0,"X",IF(G110&lt;44.1,2,1)))</f>
        <v/>
      </c>
      <c r="I110" s="208" t="str">
        <f t="shared" ca="1" si="15"/>
        <v/>
      </c>
      <c r="J110" s="252" t="str">
        <f ca="1">IF(I110="","",IF(COUNTIF($D$12:D110,D110)=1,IF(H110=1,I110*H110,IF(H110="X","X",0)),0))</f>
        <v/>
      </c>
      <c r="K110" s="253" t="str">
        <f t="shared" ca="1" si="16"/>
        <v/>
      </c>
      <c r="L110" s="202"/>
      <c r="M110" s="202"/>
      <c r="N110" s="202"/>
      <c r="O110" s="203"/>
      <c r="P110" s="202"/>
      <c r="Q110" s="204"/>
      <c r="R110" s="202"/>
      <c r="S110" s="202"/>
      <c r="T110" s="202"/>
      <c r="U110" s="202"/>
      <c r="V110" s="204"/>
      <c r="W110" s="204"/>
      <c r="X110" s="204"/>
      <c r="Y110" s="204"/>
      <c r="Z110" s="204"/>
      <c r="AA110" s="202"/>
      <c r="AB110" s="202"/>
      <c r="AC110" s="202"/>
      <c r="AD110" s="204"/>
      <c r="AE110" s="204"/>
      <c r="AF110" s="204"/>
      <c r="AG110" s="204"/>
      <c r="AH110" s="202"/>
      <c r="AI110" s="202"/>
      <c r="AJ110" s="202"/>
      <c r="AK110" s="202"/>
      <c r="AL110" s="202"/>
      <c r="AM110" s="204"/>
      <c r="AN110" s="204"/>
      <c r="AO110" s="202"/>
      <c r="AP110" s="202"/>
      <c r="AQ110" s="204"/>
      <c r="AR110" s="204"/>
      <c r="AS110" s="202"/>
    </row>
    <row r="111" spans="1:45" x14ac:dyDescent="0.25">
      <c r="A111" s="250" t="str">
        <f t="shared" si="19"/>
        <v/>
      </c>
      <c r="B111" s="251" t="str">
        <f t="shared" si="18"/>
        <v/>
      </c>
      <c r="C111" s="251" t="str">
        <f>IF(B111="","",VLOOKUP(D111,'Species Data'!B:D,4,FALSE))</f>
        <v/>
      </c>
      <c r="D111" s="251" t="str">
        <f t="shared" ca="1" si="11"/>
        <v/>
      </c>
      <c r="E111" s="251" t="str">
        <f t="shared" ca="1" si="12"/>
        <v/>
      </c>
      <c r="F111" s="251" t="str">
        <f t="shared" ca="1" si="13"/>
        <v/>
      </c>
      <c r="G111" s="251" t="str">
        <f t="shared" ca="1" si="14"/>
        <v/>
      </c>
      <c r="H111" s="208" t="str">
        <f ca="1">IF(G111="","",IF(VLOOKUP(VOC!F111,'Species Data'!D:E,3,FALSE)=0,"X",IF(G111&lt;44.1,2,1)))</f>
        <v/>
      </c>
      <c r="I111" s="208" t="str">
        <f t="shared" ca="1" si="15"/>
        <v/>
      </c>
      <c r="J111" s="252" t="str">
        <f ca="1">IF(I111="","",IF(COUNTIF($D$12:D111,D111)=1,IF(H111=1,I111*H111,IF(H111="X","X",0)),0))</f>
        <v/>
      </c>
      <c r="K111" s="253" t="str">
        <f t="shared" ca="1" si="16"/>
        <v/>
      </c>
      <c r="L111" s="202"/>
      <c r="M111" s="202"/>
      <c r="N111" s="202"/>
      <c r="O111" s="203"/>
      <c r="P111" s="202"/>
      <c r="Q111" s="204"/>
      <c r="R111" s="202"/>
      <c r="S111" s="202"/>
      <c r="T111" s="202"/>
      <c r="U111" s="202"/>
      <c r="V111" s="204"/>
      <c r="W111" s="204"/>
      <c r="X111" s="204"/>
      <c r="Y111" s="204"/>
      <c r="Z111" s="204"/>
      <c r="AA111" s="202"/>
      <c r="AB111" s="202"/>
      <c r="AC111" s="202"/>
      <c r="AD111" s="204"/>
      <c r="AE111" s="204"/>
      <c r="AF111" s="204"/>
      <c r="AG111" s="204"/>
      <c r="AH111" s="202"/>
      <c r="AI111" s="202"/>
      <c r="AJ111" s="202"/>
      <c r="AK111" s="202"/>
      <c r="AL111" s="202"/>
      <c r="AM111" s="204"/>
      <c r="AN111" s="204"/>
      <c r="AO111" s="202"/>
      <c r="AP111" s="202"/>
      <c r="AQ111" s="204"/>
      <c r="AR111" s="204"/>
      <c r="AS111" s="202"/>
    </row>
    <row r="112" spans="1:45" x14ac:dyDescent="0.25">
      <c r="A112" s="250" t="str">
        <f t="shared" si="19"/>
        <v/>
      </c>
      <c r="B112" s="251" t="str">
        <f t="shared" si="18"/>
        <v/>
      </c>
      <c r="C112" s="251" t="str">
        <f>IF(B112="","",VLOOKUP(D112,'Species Data'!B:D,4,FALSE))</f>
        <v/>
      </c>
      <c r="D112" s="251" t="str">
        <f t="shared" ca="1" si="11"/>
        <v/>
      </c>
      <c r="E112" s="251" t="str">
        <f t="shared" ca="1" si="12"/>
        <v/>
      </c>
      <c r="F112" s="251" t="str">
        <f t="shared" ca="1" si="13"/>
        <v/>
      </c>
      <c r="G112" s="251" t="str">
        <f t="shared" ca="1" si="14"/>
        <v/>
      </c>
      <c r="H112" s="208" t="str">
        <f ca="1">IF(G112="","",IF(VLOOKUP(VOC!F112,'Species Data'!D:E,3,FALSE)=0,"X",IF(G112&lt;44.1,2,1)))</f>
        <v/>
      </c>
      <c r="I112" s="208" t="str">
        <f t="shared" ca="1" si="15"/>
        <v/>
      </c>
      <c r="J112" s="252" t="str">
        <f ca="1">IF(I112="","",IF(COUNTIF($D$12:D112,D112)=1,IF(H112=1,I112*H112,IF(H112="X","X",0)),0))</f>
        <v/>
      </c>
      <c r="K112" s="253" t="str">
        <f t="shared" ca="1" si="16"/>
        <v/>
      </c>
      <c r="L112" s="202"/>
      <c r="M112" s="202"/>
      <c r="N112" s="202"/>
      <c r="O112" s="203"/>
      <c r="P112" s="202"/>
      <c r="Q112" s="204"/>
      <c r="R112" s="202"/>
      <c r="S112" s="202"/>
      <c r="T112" s="202"/>
      <c r="U112" s="202"/>
      <c r="V112" s="204"/>
      <c r="W112" s="204"/>
      <c r="X112" s="204"/>
      <c r="Y112" s="204"/>
      <c r="Z112" s="204"/>
      <c r="AA112" s="202"/>
      <c r="AB112" s="202"/>
      <c r="AC112" s="202"/>
      <c r="AD112" s="204"/>
      <c r="AE112" s="204"/>
      <c r="AF112" s="204"/>
      <c r="AG112" s="204"/>
      <c r="AH112" s="202"/>
      <c r="AI112" s="202"/>
      <c r="AJ112" s="202"/>
      <c r="AK112" s="202"/>
      <c r="AL112" s="202"/>
      <c r="AM112" s="204"/>
      <c r="AN112" s="204"/>
      <c r="AO112" s="202"/>
      <c r="AP112" s="202"/>
      <c r="AQ112" s="204"/>
      <c r="AR112" s="204"/>
      <c r="AS112" s="202"/>
    </row>
    <row r="113" spans="1:45" x14ac:dyDescent="0.25">
      <c r="A113" s="250" t="str">
        <f t="shared" si="19"/>
        <v/>
      </c>
      <c r="B113" s="251" t="str">
        <f t="shared" si="18"/>
        <v/>
      </c>
      <c r="C113" s="251" t="str">
        <f>IF(B113="","",VLOOKUP(D113,'Species Data'!B:D,4,FALSE))</f>
        <v/>
      </c>
      <c r="D113" s="251" t="str">
        <f t="shared" ca="1" si="11"/>
        <v/>
      </c>
      <c r="E113" s="251" t="str">
        <f t="shared" ca="1" si="12"/>
        <v/>
      </c>
      <c r="F113" s="251" t="str">
        <f t="shared" ca="1" si="13"/>
        <v/>
      </c>
      <c r="G113" s="251" t="str">
        <f t="shared" ca="1" si="14"/>
        <v/>
      </c>
      <c r="H113" s="208" t="str">
        <f ca="1">IF(G113="","",IF(VLOOKUP(VOC!F113,'Species Data'!D:E,3,FALSE)=0,"X",IF(G113&lt;44.1,2,1)))</f>
        <v/>
      </c>
      <c r="I113" s="208" t="str">
        <f t="shared" ca="1" si="15"/>
        <v/>
      </c>
      <c r="J113" s="252" t="str">
        <f ca="1">IF(I113="","",IF(COUNTIF($D$12:D113,D113)=1,IF(H113=1,I113*H113,IF(H113="X","X",0)),0))</f>
        <v/>
      </c>
      <c r="K113" s="253" t="str">
        <f t="shared" ca="1" si="16"/>
        <v/>
      </c>
      <c r="L113" s="202"/>
      <c r="M113" s="202"/>
      <c r="N113" s="202"/>
      <c r="O113" s="203"/>
      <c r="P113" s="202"/>
      <c r="Q113" s="204"/>
      <c r="R113" s="202"/>
      <c r="S113" s="202"/>
      <c r="T113" s="202"/>
      <c r="U113" s="202"/>
      <c r="V113" s="204"/>
      <c r="W113" s="204"/>
      <c r="X113" s="204"/>
      <c r="Y113" s="204"/>
      <c r="Z113" s="204"/>
      <c r="AA113" s="202"/>
      <c r="AB113" s="202"/>
      <c r="AC113" s="202"/>
      <c r="AD113" s="204"/>
      <c r="AE113" s="204"/>
      <c r="AF113" s="204"/>
      <c r="AG113" s="204"/>
      <c r="AH113" s="202"/>
      <c r="AI113" s="202"/>
      <c r="AJ113" s="202"/>
      <c r="AK113" s="202"/>
      <c r="AL113" s="202"/>
      <c r="AM113" s="204"/>
      <c r="AN113" s="204"/>
      <c r="AO113" s="202"/>
      <c r="AP113" s="202"/>
      <c r="AQ113" s="204"/>
      <c r="AR113" s="204"/>
      <c r="AS113" s="202"/>
    </row>
    <row r="114" spans="1:45" ht="15" customHeight="1" x14ac:dyDescent="0.25">
      <c r="A114" s="250" t="str">
        <f t="shared" si="19"/>
        <v/>
      </c>
      <c r="B114" s="251" t="str">
        <f t="shared" si="18"/>
        <v/>
      </c>
      <c r="C114" s="251" t="str">
        <f>IF(B114="","",VLOOKUP(D114,'Species Data'!B:D,4,FALSE))</f>
        <v/>
      </c>
      <c r="D114" s="251" t="str">
        <f t="shared" ca="1" si="11"/>
        <v/>
      </c>
      <c r="E114" s="251" t="str">
        <f t="shared" ca="1" si="12"/>
        <v/>
      </c>
      <c r="F114" s="251" t="str">
        <f t="shared" ca="1" si="13"/>
        <v/>
      </c>
      <c r="G114" s="251" t="str">
        <f t="shared" ca="1" si="14"/>
        <v/>
      </c>
      <c r="H114" s="208" t="str">
        <f ca="1">IF(G114="","",IF(VLOOKUP(VOC!F114,'Species Data'!D:E,3,FALSE)=0,"X",IF(G114&lt;44.1,2,1)))</f>
        <v/>
      </c>
      <c r="I114" s="208" t="str">
        <f t="shared" ca="1" si="15"/>
        <v/>
      </c>
      <c r="J114" s="252" t="str">
        <f ca="1">IF(I114="","",IF(COUNTIF($D$12:D114,D114)=1,IF(H114=1,I114*H114,IF(H114="X","X",0)),0))</f>
        <v/>
      </c>
      <c r="K114" s="253" t="str">
        <f t="shared" ca="1" si="16"/>
        <v/>
      </c>
      <c r="L114" s="202"/>
      <c r="M114" s="202"/>
      <c r="N114" s="202"/>
      <c r="O114" s="203"/>
      <c r="P114" s="202"/>
      <c r="Q114" s="204"/>
      <c r="R114" s="202"/>
      <c r="S114" s="202"/>
      <c r="T114" s="202"/>
      <c r="U114" s="202"/>
      <c r="V114" s="204"/>
      <c r="W114" s="204"/>
      <c r="X114" s="204"/>
      <c r="Y114" s="204"/>
      <c r="Z114" s="204"/>
      <c r="AA114" s="202"/>
      <c r="AB114" s="202"/>
      <c r="AC114" s="202"/>
      <c r="AD114" s="204"/>
      <c r="AE114" s="204"/>
      <c r="AF114" s="204"/>
      <c r="AG114" s="204"/>
      <c r="AH114" s="202"/>
      <c r="AI114" s="202"/>
      <c r="AJ114" s="202"/>
      <c r="AK114" s="202"/>
      <c r="AL114" s="202"/>
      <c r="AM114" s="204"/>
      <c r="AN114" s="204"/>
      <c r="AO114" s="202"/>
      <c r="AP114" s="202"/>
      <c r="AQ114" s="204"/>
      <c r="AR114" s="204"/>
      <c r="AS114" s="202"/>
    </row>
    <row r="115" spans="1:45" x14ac:dyDescent="0.25">
      <c r="A115" s="250" t="str">
        <f t="shared" si="19"/>
        <v/>
      </c>
      <c r="B115" s="251" t="str">
        <f t="shared" si="18"/>
        <v/>
      </c>
      <c r="C115" s="251" t="str">
        <f>IF(B115="","",VLOOKUP(D115,'Species Data'!B:D,4,FALSE))</f>
        <v/>
      </c>
      <c r="D115" s="251" t="str">
        <f t="shared" ca="1" si="11"/>
        <v/>
      </c>
      <c r="E115" s="251" t="str">
        <f t="shared" ca="1" si="12"/>
        <v/>
      </c>
      <c r="F115" s="251" t="str">
        <f t="shared" ca="1" si="13"/>
        <v/>
      </c>
      <c r="G115" s="251" t="str">
        <f t="shared" ca="1" si="14"/>
        <v/>
      </c>
      <c r="H115" s="208" t="str">
        <f ca="1">IF(G115="","",IF(VLOOKUP(VOC!F115,'Species Data'!D:E,3,FALSE)=0,"X",IF(G115&lt;44.1,2,1)))</f>
        <v/>
      </c>
      <c r="I115" s="208" t="str">
        <f t="shared" ca="1" si="15"/>
        <v/>
      </c>
      <c r="J115" s="252" t="str">
        <f ca="1">IF(I115="","",IF(COUNTIF($D$12:D115,D115)=1,IF(H115=1,I115*H115,IF(H115="X","X",0)),0))</f>
        <v/>
      </c>
      <c r="K115" s="253" t="str">
        <f t="shared" ca="1" si="16"/>
        <v/>
      </c>
      <c r="L115" s="202"/>
      <c r="M115" s="202"/>
      <c r="N115" s="202"/>
      <c r="O115" s="203"/>
      <c r="P115" s="202"/>
      <c r="Q115" s="204"/>
      <c r="R115" s="202"/>
      <c r="S115" s="202"/>
      <c r="T115" s="202"/>
      <c r="U115" s="202"/>
      <c r="V115" s="204"/>
      <c r="W115" s="204"/>
      <c r="X115" s="204"/>
      <c r="Y115" s="204"/>
      <c r="Z115" s="204"/>
      <c r="AA115" s="202"/>
      <c r="AB115" s="202"/>
      <c r="AC115" s="202"/>
      <c r="AD115" s="204"/>
      <c r="AE115" s="204"/>
      <c r="AF115" s="204"/>
      <c r="AG115" s="204"/>
      <c r="AH115" s="202"/>
      <c r="AI115" s="202"/>
      <c r="AJ115" s="202"/>
      <c r="AK115" s="202"/>
      <c r="AL115" s="202"/>
      <c r="AM115" s="204"/>
      <c r="AN115" s="204"/>
      <c r="AO115" s="202"/>
      <c r="AP115" s="202"/>
      <c r="AQ115" s="204"/>
      <c r="AR115" s="204"/>
      <c r="AS115" s="202"/>
    </row>
    <row r="116" spans="1:45" ht="15" customHeight="1" x14ac:dyDescent="0.25">
      <c r="A116" s="250" t="str">
        <f t="shared" si="19"/>
        <v/>
      </c>
      <c r="B116" s="251" t="str">
        <f t="shared" si="18"/>
        <v/>
      </c>
      <c r="C116" s="251" t="str">
        <f>IF(B116="","",VLOOKUP(D116,'Species Data'!B:D,4,FALSE))</f>
        <v/>
      </c>
      <c r="D116" s="251" t="str">
        <f t="shared" ca="1" si="11"/>
        <v/>
      </c>
      <c r="E116" s="251" t="str">
        <f t="shared" ca="1" si="12"/>
        <v/>
      </c>
      <c r="F116" s="251" t="str">
        <f t="shared" ca="1" si="13"/>
        <v/>
      </c>
      <c r="G116" s="251" t="str">
        <f t="shared" ca="1" si="14"/>
        <v/>
      </c>
      <c r="H116" s="208" t="str">
        <f ca="1">IF(G116="","",IF(VLOOKUP(VOC!F116,'Species Data'!D:E,3,FALSE)=0,"X",IF(G116&lt;44.1,2,1)))</f>
        <v/>
      </c>
      <c r="I116" s="208" t="str">
        <f t="shared" ca="1" si="15"/>
        <v/>
      </c>
      <c r="J116" s="252" t="str">
        <f ca="1">IF(I116="","",IF(COUNTIF($D$12:D116,D116)=1,IF(H116=1,I116*H116,IF(H116="X","X",0)),0))</f>
        <v/>
      </c>
      <c r="K116" s="253" t="str">
        <f t="shared" ca="1" si="16"/>
        <v/>
      </c>
      <c r="L116" s="202"/>
      <c r="M116" s="202"/>
      <c r="N116" s="202"/>
      <c r="O116" s="203"/>
      <c r="P116" s="202"/>
      <c r="Q116" s="204"/>
      <c r="R116" s="202"/>
      <c r="S116" s="202"/>
      <c r="T116" s="202"/>
      <c r="U116" s="202"/>
      <c r="V116" s="204"/>
      <c r="W116" s="204"/>
      <c r="X116" s="204"/>
      <c r="Y116" s="204"/>
      <c r="Z116" s="204"/>
      <c r="AA116" s="202"/>
      <c r="AB116" s="202"/>
      <c r="AC116" s="202"/>
      <c r="AD116" s="204"/>
      <c r="AE116" s="204"/>
      <c r="AF116" s="204"/>
      <c r="AG116" s="204"/>
      <c r="AH116" s="202"/>
      <c r="AI116" s="202"/>
      <c r="AJ116" s="202"/>
      <c r="AK116" s="202"/>
      <c r="AL116" s="202"/>
      <c r="AM116" s="204"/>
      <c r="AN116" s="204"/>
      <c r="AO116" s="202"/>
      <c r="AP116" s="202"/>
      <c r="AQ116" s="204"/>
      <c r="AR116" s="204"/>
      <c r="AS116" s="202"/>
    </row>
    <row r="117" spans="1:45" x14ac:dyDescent="0.25">
      <c r="A117" s="250" t="str">
        <f t="shared" si="19"/>
        <v/>
      </c>
      <c r="B117" s="251" t="str">
        <f t="shared" si="18"/>
        <v/>
      </c>
      <c r="C117" s="251" t="str">
        <f>IF(B117="","",VLOOKUP(D117,'Species Data'!B:D,4,FALSE))</f>
        <v/>
      </c>
      <c r="D117" s="251" t="str">
        <f t="shared" ca="1" si="11"/>
        <v/>
      </c>
      <c r="E117" s="251" t="str">
        <f t="shared" ca="1" si="12"/>
        <v/>
      </c>
      <c r="F117" s="251" t="str">
        <f t="shared" ca="1" si="13"/>
        <v/>
      </c>
      <c r="G117" s="251" t="str">
        <f t="shared" ca="1" si="14"/>
        <v/>
      </c>
      <c r="H117" s="208" t="str">
        <f ca="1">IF(G117="","",IF(VLOOKUP(VOC!F117,'Species Data'!D:E,3,FALSE)=0,"X",IF(G117&lt;44.1,2,1)))</f>
        <v/>
      </c>
      <c r="I117" s="208" t="str">
        <f t="shared" ca="1" si="15"/>
        <v/>
      </c>
      <c r="J117" s="252" t="str">
        <f ca="1">IF(I117="","",IF(COUNTIF($D$12:D117,D117)=1,IF(H117=1,I117*H117,IF(H117="X","X",0)),0))</f>
        <v/>
      </c>
      <c r="K117" s="253" t="str">
        <f t="shared" ca="1" si="16"/>
        <v/>
      </c>
      <c r="L117" s="202"/>
      <c r="M117" s="202"/>
      <c r="N117" s="202"/>
      <c r="O117" s="203"/>
      <c r="P117" s="202"/>
      <c r="Q117" s="204"/>
      <c r="R117" s="202"/>
      <c r="S117" s="202"/>
      <c r="T117" s="202"/>
      <c r="U117" s="202"/>
      <c r="V117" s="204"/>
      <c r="W117" s="204"/>
      <c r="X117" s="204"/>
      <c r="Y117" s="204"/>
      <c r="Z117" s="204"/>
      <c r="AA117" s="202"/>
      <c r="AB117" s="202"/>
      <c r="AC117" s="202"/>
      <c r="AD117" s="204"/>
      <c r="AE117" s="204"/>
      <c r="AF117" s="204"/>
      <c r="AG117" s="204"/>
      <c r="AH117" s="202"/>
      <c r="AI117" s="202"/>
      <c r="AJ117" s="202"/>
      <c r="AK117" s="202"/>
      <c r="AL117" s="202"/>
      <c r="AM117" s="204"/>
      <c r="AN117" s="204"/>
      <c r="AO117" s="202"/>
      <c r="AP117" s="202"/>
      <c r="AQ117" s="204"/>
      <c r="AR117" s="204"/>
      <c r="AS117" s="202"/>
    </row>
    <row r="118" spans="1:45" x14ac:dyDescent="0.25">
      <c r="A118" s="250" t="str">
        <f t="shared" si="19"/>
        <v/>
      </c>
      <c r="B118" s="251" t="str">
        <f t="shared" si="18"/>
        <v/>
      </c>
      <c r="C118" s="251" t="str">
        <f>IF(B118="","",VLOOKUP(D118,'Species Data'!B:D,4,FALSE))</f>
        <v/>
      </c>
      <c r="D118" s="251" t="str">
        <f t="shared" ca="1" si="11"/>
        <v/>
      </c>
      <c r="E118" s="251" t="str">
        <f t="shared" ca="1" si="12"/>
        <v/>
      </c>
      <c r="F118" s="251" t="str">
        <f t="shared" ca="1" si="13"/>
        <v/>
      </c>
      <c r="G118" s="251" t="str">
        <f t="shared" ca="1" si="14"/>
        <v/>
      </c>
      <c r="H118" s="208" t="str">
        <f ca="1">IF(G118="","",IF(VLOOKUP(VOC!F118,'Species Data'!D:E,3,FALSE)=0,"X",IF(G118&lt;44.1,2,1)))</f>
        <v/>
      </c>
      <c r="I118" s="208" t="str">
        <f t="shared" ca="1" si="15"/>
        <v/>
      </c>
      <c r="J118" s="252" t="str">
        <f ca="1">IF(I118="","",IF(COUNTIF($D$12:D118,D118)=1,IF(H118=1,I118*H118,IF(H118="X","X",0)),0))</f>
        <v/>
      </c>
      <c r="K118" s="253" t="str">
        <f t="shared" ca="1" si="16"/>
        <v/>
      </c>
      <c r="L118" s="202"/>
      <c r="M118" s="202"/>
      <c r="N118" s="202"/>
      <c r="O118" s="203"/>
      <c r="P118" s="202"/>
      <c r="Q118" s="204"/>
      <c r="R118" s="202"/>
      <c r="S118" s="202"/>
      <c r="T118" s="202"/>
      <c r="U118" s="202"/>
      <c r="V118" s="204"/>
      <c r="W118" s="204"/>
      <c r="X118" s="204"/>
      <c r="Y118" s="204"/>
      <c r="Z118" s="204"/>
      <c r="AA118" s="202"/>
      <c r="AB118" s="202"/>
      <c r="AC118" s="202"/>
      <c r="AD118" s="204"/>
      <c r="AE118" s="204"/>
      <c r="AF118" s="204"/>
      <c r="AG118" s="204"/>
      <c r="AH118" s="202"/>
      <c r="AI118" s="202"/>
      <c r="AJ118" s="202"/>
      <c r="AK118" s="202"/>
      <c r="AL118" s="202"/>
      <c r="AM118" s="204"/>
      <c r="AN118" s="204"/>
      <c r="AO118" s="202"/>
      <c r="AP118" s="202"/>
      <c r="AQ118" s="204"/>
      <c r="AR118" s="204"/>
      <c r="AS118" s="202"/>
    </row>
    <row r="119" spans="1:45" x14ac:dyDescent="0.25">
      <c r="A119" s="250" t="str">
        <f t="shared" si="19"/>
        <v/>
      </c>
      <c r="B119" s="251" t="str">
        <f t="shared" si="18"/>
        <v/>
      </c>
      <c r="C119" s="251" t="str">
        <f>IF(B119="","",VLOOKUP(D119,'Species Data'!B:D,4,FALSE))</f>
        <v/>
      </c>
      <c r="D119" s="251" t="str">
        <f t="shared" ca="1" si="11"/>
        <v/>
      </c>
      <c r="E119" s="251" t="str">
        <f t="shared" ca="1" si="12"/>
        <v/>
      </c>
      <c r="F119" s="251" t="str">
        <f t="shared" ca="1" si="13"/>
        <v/>
      </c>
      <c r="G119" s="251" t="str">
        <f t="shared" ca="1" si="14"/>
        <v/>
      </c>
      <c r="H119" s="208" t="str">
        <f ca="1">IF(G119="","",IF(VLOOKUP(VOC!F119,'Species Data'!D:E,3,FALSE)=0,"X",IF(G119&lt;44.1,2,1)))</f>
        <v/>
      </c>
      <c r="I119" s="208" t="str">
        <f t="shared" ca="1" si="15"/>
        <v/>
      </c>
      <c r="J119" s="252" t="str">
        <f ca="1">IF(I119="","",IF(COUNTIF($D$12:D119,D119)=1,IF(H119=1,I119*H119,IF(H119="X","X",0)),0))</f>
        <v/>
      </c>
      <c r="K119" s="253" t="str">
        <f t="shared" ca="1" si="16"/>
        <v/>
      </c>
      <c r="L119" s="202"/>
      <c r="M119" s="202"/>
      <c r="N119" s="202"/>
      <c r="O119" s="203"/>
      <c r="P119" s="202"/>
      <c r="Q119" s="204"/>
      <c r="R119" s="202"/>
      <c r="S119" s="202"/>
      <c r="T119" s="202"/>
      <c r="U119" s="202"/>
      <c r="V119" s="204"/>
      <c r="W119" s="204"/>
      <c r="X119" s="204"/>
      <c r="Y119" s="204"/>
      <c r="Z119" s="204"/>
      <c r="AA119" s="202"/>
      <c r="AB119" s="202"/>
      <c r="AC119" s="202"/>
      <c r="AD119" s="204"/>
      <c r="AE119" s="204"/>
      <c r="AF119" s="204"/>
      <c r="AG119" s="204"/>
      <c r="AH119" s="202"/>
      <c r="AI119" s="202"/>
      <c r="AJ119" s="202"/>
      <c r="AK119" s="202"/>
      <c r="AL119" s="202"/>
      <c r="AM119" s="204"/>
      <c r="AN119" s="204"/>
      <c r="AO119" s="202"/>
      <c r="AP119" s="202"/>
      <c r="AQ119" s="204"/>
      <c r="AR119" s="204"/>
      <c r="AS119" s="202"/>
    </row>
    <row r="120" spans="1:45" x14ac:dyDescent="0.25">
      <c r="A120" s="250" t="str">
        <f t="shared" si="19"/>
        <v/>
      </c>
      <c r="B120" s="251" t="str">
        <f t="shared" si="18"/>
        <v/>
      </c>
      <c r="C120" s="251" t="str">
        <f>IF(B120="","",VLOOKUP(D120,'Species Data'!B:D,4,FALSE))</f>
        <v/>
      </c>
      <c r="D120" s="251" t="str">
        <f t="shared" ca="1" si="11"/>
        <v/>
      </c>
      <c r="E120" s="251" t="str">
        <f t="shared" ca="1" si="12"/>
        <v/>
      </c>
      <c r="F120" s="251" t="str">
        <f t="shared" ca="1" si="13"/>
        <v/>
      </c>
      <c r="G120" s="251" t="str">
        <f t="shared" ca="1" si="14"/>
        <v/>
      </c>
      <c r="H120" s="208" t="str">
        <f ca="1">IF(G120="","",IF(VLOOKUP(VOC!F120,'Species Data'!D:E,3,FALSE)=0,"X",IF(G120&lt;44.1,2,1)))</f>
        <v/>
      </c>
      <c r="I120" s="208" t="str">
        <f t="shared" ca="1" si="15"/>
        <v/>
      </c>
      <c r="J120" s="252" t="str">
        <f ca="1">IF(I120="","",IF(COUNTIF($D$12:D120,D120)=1,IF(H120=1,I120*H120,IF(H120="X","X",0)),0))</f>
        <v/>
      </c>
      <c r="K120" s="253" t="str">
        <f t="shared" ca="1" si="16"/>
        <v/>
      </c>
      <c r="L120" s="202"/>
      <c r="M120" s="202"/>
      <c r="N120" s="202"/>
      <c r="O120" s="203"/>
      <c r="P120" s="202"/>
      <c r="Q120" s="204"/>
      <c r="R120" s="202"/>
      <c r="S120" s="202"/>
      <c r="T120" s="202"/>
      <c r="U120" s="202"/>
      <c r="V120" s="204"/>
      <c r="W120" s="204"/>
      <c r="X120" s="204"/>
      <c r="Y120" s="204"/>
      <c r="Z120" s="204"/>
      <c r="AA120" s="202"/>
      <c r="AB120" s="202"/>
      <c r="AC120" s="202"/>
      <c r="AD120" s="204"/>
      <c r="AE120" s="204"/>
      <c r="AF120" s="204"/>
      <c r="AG120" s="204"/>
      <c r="AH120" s="202"/>
      <c r="AI120" s="202"/>
      <c r="AJ120" s="202"/>
      <c r="AK120" s="202"/>
      <c r="AL120" s="202"/>
      <c r="AM120" s="204"/>
      <c r="AN120" s="204"/>
      <c r="AO120" s="202"/>
      <c r="AP120" s="202"/>
      <c r="AQ120" s="204"/>
      <c r="AR120" s="204"/>
      <c r="AS120" s="202"/>
    </row>
    <row r="121" spans="1:45" x14ac:dyDescent="0.25">
      <c r="A121" s="250" t="str">
        <f t="shared" si="19"/>
        <v/>
      </c>
      <c r="B121" s="251" t="str">
        <f t="shared" si="18"/>
        <v/>
      </c>
      <c r="C121" s="251" t="str">
        <f>IF(B121="","",VLOOKUP(D121,'Species Data'!B:D,4,FALSE))</f>
        <v/>
      </c>
      <c r="D121" s="251" t="str">
        <f t="shared" ca="1" si="11"/>
        <v/>
      </c>
      <c r="E121" s="251" t="str">
        <f t="shared" ca="1" si="12"/>
        <v/>
      </c>
      <c r="F121" s="251" t="str">
        <f t="shared" ca="1" si="13"/>
        <v/>
      </c>
      <c r="G121" s="251" t="str">
        <f t="shared" ca="1" si="14"/>
        <v/>
      </c>
      <c r="H121" s="208" t="str">
        <f ca="1">IF(G121="","",IF(VLOOKUP(VOC!F121,'Species Data'!D:E,3,FALSE)=0,"X",IF(G121&lt;44.1,2,1)))</f>
        <v/>
      </c>
      <c r="I121" s="208" t="str">
        <f t="shared" ca="1" si="15"/>
        <v/>
      </c>
      <c r="J121" s="252" t="str">
        <f ca="1">IF(I121="","",IF(COUNTIF($D$12:D121,D121)=1,IF(H121=1,I121*H121,IF(H121="X","X",0)),0))</f>
        <v/>
      </c>
      <c r="K121" s="253" t="str">
        <f t="shared" ca="1" si="16"/>
        <v/>
      </c>
      <c r="L121" s="202"/>
      <c r="M121" s="202"/>
      <c r="N121" s="202"/>
      <c r="O121" s="203"/>
      <c r="P121" s="202"/>
      <c r="Q121" s="204"/>
      <c r="R121" s="202"/>
      <c r="S121" s="202"/>
      <c r="T121" s="202"/>
      <c r="U121" s="202"/>
      <c r="V121" s="204"/>
      <c r="W121" s="204"/>
      <c r="X121" s="204"/>
      <c r="Y121" s="204"/>
      <c r="Z121" s="204"/>
      <c r="AA121" s="202"/>
      <c r="AB121" s="202"/>
      <c r="AC121" s="202"/>
      <c r="AD121" s="204"/>
      <c r="AE121" s="204"/>
      <c r="AF121" s="204"/>
      <c r="AG121" s="204"/>
      <c r="AH121" s="202"/>
      <c r="AI121" s="202"/>
      <c r="AJ121" s="202"/>
      <c r="AK121" s="202"/>
      <c r="AL121" s="202"/>
      <c r="AM121" s="204"/>
      <c r="AN121" s="204"/>
      <c r="AO121" s="202"/>
      <c r="AP121" s="202"/>
      <c r="AQ121" s="204"/>
      <c r="AR121" s="204"/>
      <c r="AS121" s="202"/>
    </row>
    <row r="122" spans="1:45" x14ac:dyDescent="0.25">
      <c r="A122" s="250" t="str">
        <f t="shared" si="19"/>
        <v/>
      </c>
      <c r="B122" s="251" t="str">
        <f t="shared" si="18"/>
        <v/>
      </c>
      <c r="C122" s="251" t="str">
        <f>IF(B122="","",VLOOKUP(D122,'Species Data'!B:D,4,FALSE))</f>
        <v/>
      </c>
      <c r="D122" s="251" t="str">
        <f t="shared" ca="1" si="11"/>
        <v/>
      </c>
      <c r="E122" s="251" t="str">
        <f t="shared" ca="1" si="12"/>
        <v/>
      </c>
      <c r="F122" s="251" t="str">
        <f t="shared" ca="1" si="13"/>
        <v/>
      </c>
      <c r="G122" s="251" t="str">
        <f t="shared" ca="1" si="14"/>
        <v/>
      </c>
      <c r="H122" s="208" t="str">
        <f ca="1">IF(G122="","",IF(VLOOKUP(VOC!F122,'Species Data'!D:E,3,FALSE)=0,"X",IF(G122&lt;44.1,2,1)))</f>
        <v/>
      </c>
      <c r="I122" s="208" t="str">
        <f t="shared" ca="1" si="15"/>
        <v/>
      </c>
      <c r="J122" s="252" t="str">
        <f ca="1">IF(I122="","",IF(COUNTIF($D$12:D122,D122)=1,IF(H122=1,I122*H122,IF(H122="X","X",0)),0))</f>
        <v/>
      </c>
      <c r="K122" s="253" t="str">
        <f t="shared" ca="1" si="16"/>
        <v/>
      </c>
      <c r="L122" s="202"/>
      <c r="M122" s="202"/>
      <c r="N122" s="202"/>
      <c r="O122" s="203"/>
      <c r="P122" s="202"/>
      <c r="Q122" s="204"/>
      <c r="R122" s="202"/>
      <c r="S122" s="202"/>
      <c r="T122" s="202"/>
      <c r="U122" s="202"/>
      <c r="V122" s="204"/>
      <c r="W122" s="204"/>
      <c r="X122" s="204"/>
      <c r="Y122" s="204"/>
      <c r="Z122" s="204"/>
      <c r="AA122" s="202"/>
      <c r="AB122" s="202"/>
      <c r="AC122" s="202"/>
      <c r="AD122" s="204"/>
      <c r="AE122" s="204"/>
      <c r="AF122" s="204"/>
      <c r="AG122" s="204"/>
      <c r="AH122" s="202"/>
      <c r="AI122" s="202"/>
      <c r="AJ122" s="202"/>
      <c r="AK122" s="202"/>
      <c r="AL122" s="202"/>
      <c r="AM122" s="204"/>
      <c r="AN122" s="204"/>
      <c r="AO122" s="202"/>
      <c r="AP122" s="202"/>
      <c r="AQ122" s="204"/>
      <c r="AR122" s="204"/>
      <c r="AS122" s="202"/>
    </row>
    <row r="123" spans="1:45" x14ac:dyDescent="0.25">
      <c r="A123" s="250" t="str">
        <f t="shared" si="19"/>
        <v/>
      </c>
      <c r="B123" s="251" t="str">
        <f t="shared" si="18"/>
        <v/>
      </c>
      <c r="C123" s="251" t="str">
        <f>IF(B123="","",VLOOKUP(D123,'Species Data'!B:D,4,FALSE))</f>
        <v/>
      </c>
      <c r="D123" s="251" t="str">
        <f t="shared" ca="1" si="11"/>
        <v/>
      </c>
      <c r="E123" s="251" t="str">
        <f t="shared" ca="1" si="12"/>
        <v/>
      </c>
      <c r="F123" s="251" t="str">
        <f t="shared" ca="1" si="13"/>
        <v/>
      </c>
      <c r="G123" s="251" t="str">
        <f t="shared" ca="1" si="14"/>
        <v/>
      </c>
      <c r="H123" s="208" t="str">
        <f ca="1">IF(G123="","",IF(VLOOKUP(VOC!F123,'Species Data'!D:E,3,FALSE)=0,"X",IF(G123&lt;44.1,2,1)))</f>
        <v/>
      </c>
      <c r="I123" s="208" t="str">
        <f t="shared" ca="1" si="15"/>
        <v/>
      </c>
      <c r="J123" s="252" t="str">
        <f ca="1">IF(I123="","",IF(COUNTIF($D$12:D123,D123)=1,IF(H123=1,I123*H123,IF(H123="X","X",0)),0))</f>
        <v/>
      </c>
      <c r="K123" s="253" t="str">
        <f t="shared" ca="1" si="16"/>
        <v/>
      </c>
      <c r="L123" s="202"/>
      <c r="M123" s="202"/>
      <c r="N123" s="202"/>
      <c r="O123" s="203"/>
      <c r="P123" s="202"/>
      <c r="Q123" s="204"/>
      <c r="R123" s="202"/>
      <c r="S123" s="202"/>
      <c r="T123" s="202"/>
      <c r="U123" s="202"/>
      <c r="V123" s="204"/>
      <c r="W123" s="204"/>
      <c r="X123" s="204"/>
      <c r="Y123" s="204"/>
      <c r="Z123" s="204"/>
      <c r="AA123" s="202"/>
      <c r="AB123" s="202"/>
      <c r="AC123" s="202"/>
      <c r="AD123" s="204"/>
      <c r="AE123" s="204"/>
      <c r="AF123" s="204"/>
      <c r="AG123" s="204"/>
      <c r="AH123" s="202"/>
      <c r="AI123" s="202"/>
      <c r="AJ123" s="202"/>
      <c r="AK123" s="202"/>
      <c r="AL123" s="202"/>
      <c r="AM123" s="204"/>
      <c r="AN123" s="204"/>
      <c r="AO123" s="202"/>
      <c r="AP123" s="202"/>
      <c r="AQ123" s="204"/>
      <c r="AR123" s="204"/>
      <c r="AS123" s="202"/>
    </row>
    <row r="124" spans="1:45" x14ac:dyDescent="0.25">
      <c r="A124" s="250" t="str">
        <f t="shared" si="19"/>
        <v/>
      </c>
      <c r="B124" s="251" t="str">
        <f t="shared" si="18"/>
        <v/>
      </c>
      <c r="C124" s="251" t="str">
        <f>IF(B124="","",VLOOKUP(D124,'Species Data'!B:D,4,FALSE))</f>
        <v/>
      </c>
      <c r="D124" s="251" t="str">
        <f t="shared" ca="1" si="11"/>
        <v/>
      </c>
      <c r="E124" s="251" t="str">
        <f t="shared" ca="1" si="12"/>
        <v/>
      </c>
      <c r="F124" s="251" t="str">
        <f t="shared" ca="1" si="13"/>
        <v/>
      </c>
      <c r="G124" s="251" t="str">
        <f t="shared" ca="1" si="14"/>
        <v/>
      </c>
      <c r="H124" s="208" t="str">
        <f ca="1">IF(G124="","",IF(VLOOKUP(VOC!F124,'Species Data'!D:E,3,FALSE)=0,"X",IF(G124&lt;44.1,2,1)))</f>
        <v/>
      </c>
      <c r="I124" s="208" t="str">
        <f t="shared" ca="1" si="15"/>
        <v/>
      </c>
      <c r="J124" s="252" t="str">
        <f ca="1">IF(I124="","",IF(COUNTIF($D$12:D124,D124)=1,IF(H124=1,I124*H124,IF(H124="X","X",0)),0))</f>
        <v/>
      </c>
      <c r="K124" s="253" t="str">
        <f t="shared" ca="1" si="16"/>
        <v/>
      </c>
      <c r="L124" s="202"/>
      <c r="M124" s="202"/>
      <c r="N124" s="202"/>
      <c r="O124" s="203"/>
      <c r="P124" s="202"/>
      <c r="Q124" s="204"/>
      <c r="R124" s="202"/>
      <c r="S124" s="202"/>
      <c r="T124" s="202"/>
      <c r="U124" s="202"/>
      <c r="V124" s="204"/>
      <c r="W124" s="204"/>
      <c r="X124" s="204"/>
      <c r="Y124" s="204"/>
      <c r="Z124" s="204"/>
      <c r="AA124" s="202"/>
      <c r="AB124" s="202"/>
      <c r="AC124" s="202"/>
      <c r="AD124" s="204"/>
      <c r="AE124" s="204"/>
      <c r="AF124" s="204"/>
      <c r="AG124" s="204"/>
      <c r="AH124" s="202"/>
      <c r="AI124" s="202"/>
      <c r="AJ124" s="202"/>
      <c r="AK124" s="202"/>
      <c r="AL124" s="202"/>
      <c r="AM124" s="204"/>
      <c r="AN124" s="204"/>
      <c r="AO124" s="202"/>
      <c r="AP124" s="202"/>
      <c r="AQ124" s="204"/>
      <c r="AR124" s="204"/>
      <c r="AS124" s="202"/>
    </row>
    <row r="125" spans="1:45" x14ac:dyDescent="0.25">
      <c r="A125" s="250" t="str">
        <f t="shared" si="19"/>
        <v/>
      </c>
      <c r="B125" s="251" t="str">
        <f t="shared" si="18"/>
        <v/>
      </c>
      <c r="C125" s="251" t="str">
        <f>IF(B125="","",VLOOKUP(D125,'Species Data'!B:D,4,FALSE))</f>
        <v/>
      </c>
      <c r="D125" s="251" t="str">
        <f t="shared" ca="1" si="11"/>
        <v/>
      </c>
      <c r="E125" s="251" t="str">
        <f t="shared" ca="1" si="12"/>
        <v/>
      </c>
      <c r="F125" s="251" t="str">
        <f t="shared" ca="1" si="13"/>
        <v/>
      </c>
      <c r="G125" s="251" t="str">
        <f t="shared" ca="1" si="14"/>
        <v/>
      </c>
      <c r="H125" s="208" t="str">
        <f ca="1">IF(G125="","",IF(VLOOKUP(VOC!F125,'Species Data'!D:E,3,FALSE)=0,"X",IF(G125&lt;44.1,2,1)))</f>
        <v/>
      </c>
      <c r="I125" s="208" t="str">
        <f t="shared" ca="1" si="15"/>
        <v/>
      </c>
      <c r="J125" s="252" t="str">
        <f ca="1">IF(I125="","",IF(COUNTIF($D$12:D125,D125)=1,IF(H125=1,I125*H125,IF(H125="X","X",0)),0))</f>
        <v/>
      </c>
      <c r="K125" s="253" t="str">
        <f t="shared" ca="1" si="16"/>
        <v/>
      </c>
      <c r="L125" s="202"/>
      <c r="M125" s="202"/>
      <c r="N125" s="202"/>
      <c r="O125" s="203"/>
      <c r="P125" s="202"/>
      <c r="Q125" s="204"/>
      <c r="R125" s="202"/>
      <c r="S125" s="202"/>
      <c r="T125" s="202"/>
      <c r="U125" s="202"/>
      <c r="V125" s="204"/>
      <c r="W125" s="204"/>
      <c r="X125" s="204"/>
      <c r="Y125" s="204"/>
      <c r="Z125" s="204"/>
      <c r="AA125" s="202"/>
      <c r="AB125" s="202"/>
      <c r="AC125" s="202"/>
      <c r="AD125" s="204"/>
      <c r="AE125" s="204"/>
      <c r="AF125" s="204"/>
      <c r="AG125" s="204"/>
      <c r="AH125" s="202"/>
      <c r="AI125" s="202"/>
      <c r="AJ125" s="202"/>
      <c r="AK125" s="202"/>
      <c r="AL125" s="202"/>
      <c r="AM125" s="204"/>
      <c r="AN125" s="204"/>
      <c r="AO125" s="202"/>
      <c r="AP125" s="202"/>
      <c r="AQ125" s="204"/>
      <c r="AR125" s="204"/>
      <c r="AS125" s="202"/>
    </row>
    <row r="126" spans="1:45" x14ac:dyDescent="0.25">
      <c r="A126" s="250" t="str">
        <f t="shared" si="19"/>
        <v/>
      </c>
      <c r="B126" s="251" t="str">
        <f t="shared" si="18"/>
        <v/>
      </c>
      <c r="C126" s="251" t="str">
        <f>IF(B126="","",VLOOKUP(D126,'Species Data'!B:D,4,FALSE))</f>
        <v/>
      </c>
      <c r="D126" s="251" t="str">
        <f t="shared" ca="1" si="11"/>
        <v/>
      </c>
      <c r="E126" s="251" t="str">
        <f t="shared" ca="1" si="12"/>
        <v/>
      </c>
      <c r="F126" s="251" t="str">
        <f t="shared" ca="1" si="13"/>
        <v/>
      </c>
      <c r="G126" s="251" t="str">
        <f t="shared" ca="1" si="14"/>
        <v/>
      </c>
      <c r="H126" s="208" t="str">
        <f ca="1">IF(G126="","",IF(VLOOKUP(VOC!F126,'Species Data'!D:E,3,FALSE)=0,"X",IF(G126&lt;44.1,2,1)))</f>
        <v/>
      </c>
      <c r="I126" s="208" t="str">
        <f t="shared" ca="1" si="15"/>
        <v/>
      </c>
      <c r="J126" s="252" t="str">
        <f ca="1">IF(I126="","",IF(COUNTIF($D$12:D126,D126)=1,IF(H126=1,I126*H126,IF(H126="X","X",0)),0))</f>
        <v/>
      </c>
      <c r="K126" s="253" t="str">
        <f t="shared" ca="1" si="16"/>
        <v/>
      </c>
      <c r="L126" s="202"/>
      <c r="M126" s="202"/>
      <c r="N126" s="202"/>
      <c r="O126" s="203"/>
      <c r="P126" s="202"/>
      <c r="Q126" s="204"/>
      <c r="R126" s="202"/>
      <c r="S126" s="202"/>
      <c r="T126" s="202"/>
      <c r="U126" s="202"/>
      <c r="V126" s="204"/>
      <c r="W126" s="204"/>
      <c r="X126" s="204"/>
      <c r="Y126" s="204"/>
      <c r="Z126" s="204"/>
      <c r="AA126" s="202"/>
      <c r="AB126" s="202"/>
      <c r="AC126" s="202"/>
      <c r="AD126" s="204"/>
      <c r="AE126" s="204"/>
      <c r="AF126" s="204"/>
      <c r="AG126" s="204"/>
      <c r="AH126" s="202"/>
      <c r="AI126" s="202"/>
      <c r="AJ126" s="202"/>
      <c r="AK126" s="202"/>
      <c r="AL126" s="202"/>
      <c r="AM126" s="204"/>
      <c r="AN126" s="204"/>
      <c r="AO126" s="202"/>
      <c r="AP126" s="202"/>
      <c r="AQ126" s="204"/>
      <c r="AR126" s="204"/>
      <c r="AS126" s="202"/>
    </row>
    <row r="127" spans="1:45" x14ac:dyDescent="0.25">
      <c r="A127" s="250" t="str">
        <f t="shared" si="19"/>
        <v/>
      </c>
      <c r="B127" s="251" t="str">
        <f t="shared" si="18"/>
        <v/>
      </c>
      <c r="C127" s="251" t="str">
        <f>IF(B127="","",VLOOKUP(D127,'Species Data'!B:D,4,FALSE))</f>
        <v/>
      </c>
      <c r="D127" s="251" t="str">
        <f t="shared" ca="1" si="11"/>
        <v/>
      </c>
      <c r="E127" s="251" t="str">
        <f t="shared" ca="1" si="12"/>
        <v/>
      </c>
      <c r="F127" s="251" t="str">
        <f t="shared" ca="1" si="13"/>
        <v/>
      </c>
      <c r="G127" s="251" t="str">
        <f t="shared" ca="1" si="14"/>
        <v/>
      </c>
      <c r="H127" s="208" t="str">
        <f ca="1">IF(G127="","",IF(VLOOKUP(VOC!F127,'Species Data'!D:E,3,FALSE)=0,"X",IF(G127&lt;44.1,2,1)))</f>
        <v/>
      </c>
      <c r="I127" s="208" t="str">
        <f t="shared" ca="1" si="15"/>
        <v/>
      </c>
      <c r="J127" s="252" t="str">
        <f ca="1">IF(I127="","",IF(COUNTIF($D$12:D127,D127)=1,IF(H127=1,I127*H127,IF(H127="X","X",0)),0))</f>
        <v/>
      </c>
      <c r="K127" s="253" t="str">
        <f t="shared" ca="1" si="16"/>
        <v/>
      </c>
      <c r="L127" s="202"/>
      <c r="M127" s="202"/>
      <c r="N127" s="202"/>
      <c r="O127" s="203"/>
      <c r="P127" s="202"/>
      <c r="Q127" s="204"/>
      <c r="R127" s="202"/>
      <c r="S127" s="202"/>
      <c r="T127" s="202"/>
      <c r="U127" s="202"/>
      <c r="V127" s="204"/>
      <c r="W127" s="204"/>
      <c r="X127" s="204"/>
      <c r="Y127" s="204"/>
      <c r="Z127" s="204"/>
      <c r="AA127" s="202"/>
      <c r="AB127" s="202"/>
      <c r="AC127" s="202"/>
      <c r="AD127" s="204"/>
      <c r="AE127" s="204"/>
      <c r="AF127" s="204"/>
      <c r="AG127" s="204"/>
      <c r="AH127" s="202"/>
      <c r="AI127" s="202"/>
      <c r="AJ127" s="202"/>
      <c r="AK127" s="202"/>
      <c r="AL127" s="202"/>
      <c r="AM127" s="204"/>
      <c r="AN127" s="204"/>
      <c r="AO127" s="202"/>
      <c r="AP127" s="202"/>
      <c r="AQ127" s="204"/>
      <c r="AR127" s="204"/>
      <c r="AS127" s="202"/>
    </row>
    <row r="128" spans="1:45" x14ac:dyDescent="0.25">
      <c r="A128" s="250" t="str">
        <f t="shared" si="19"/>
        <v/>
      </c>
      <c r="B128" s="251" t="str">
        <f t="shared" si="18"/>
        <v/>
      </c>
      <c r="C128" s="251" t="str">
        <f>IF(B128="","",VLOOKUP(D128,'Species Data'!B:D,4,FALSE))</f>
        <v/>
      </c>
      <c r="D128" s="251" t="str">
        <f t="shared" ca="1" si="11"/>
        <v/>
      </c>
      <c r="E128" s="251" t="str">
        <f t="shared" ca="1" si="12"/>
        <v/>
      </c>
      <c r="F128" s="251" t="str">
        <f t="shared" ca="1" si="13"/>
        <v/>
      </c>
      <c r="G128" s="251" t="str">
        <f t="shared" ca="1" si="14"/>
        <v/>
      </c>
      <c r="H128" s="208" t="str">
        <f ca="1">IF(G128="","",IF(VLOOKUP(VOC!F128,'Species Data'!D:E,3,FALSE)=0,"X",IF(G128&lt;44.1,2,1)))</f>
        <v/>
      </c>
      <c r="I128" s="208" t="str">
        <f t="shared" ca="1" si="15"/>
        <v/>
      </c>
      <c r="J128" s="252" t="str">
        <f ca="1">IF(I128="","",IF(COUNTIF($D$12:D128,D128)=1,IF(H128=1,I128*H128,IF(H128="X","X",0)),0))</f>
        <v/>
      </c>
      <c r="K128" s="253" t="str">
        <f t="shared" ca="1" si="16"/>
        <v/>
      </c>
      <c r="L128" s="202"/>
      <c r="M128" s="202"/>
      <c r="N128" s="202"/>
      <c r="O128" s="203"/>
      <c r="P128" s="202"/>
      <c r="Q128" s="204"/>
      <c r="R128" s="202"/>
      <c r="S128" s="202"/>
      <c r="T128" s="202"/>
      <c r="U128" s="202"/>
      <c r="V128" s="204"/>
      <c r="W128" s="204"/>
      <c r="X128" s="204"/>
      <c r="Y128" s="204"/>
      <c r="Z128" s="204"/>
      <c r="AA128" s="202"/>
      <c r="AB128" s="202"/>
      <c r="AC128" s="202"/>
      <c r="AD128" s="204"/>
      <c r="AE128" s="204"/>
      <c r="AF128" s="204"/>
      <c r="AG128" s="204"/>
      <c r="AH128" s="202"/>
      <c r="AI128" s="202"/>
      <c r="AJ128" s="202"/>
      <c r="AK128" s="202"/>
      <c r="AL128" s="202"/>
      <c r="AM128" s="204"/>
      <c r="AN128" s="204"/>
      <c r="AO128" s="202"/>
      <c r="AP128" s="202"/>
      <c r="AQ128" s="204"/>
      <c r="AR128" s="204"/>
      <c r="AS128" s="202"/>
    </row>
    <row r="129" spans="1:45" x14ac:dyDescent="0.25">
      <c r="A129" s="250" t="str">
        <f t="shared" si="19"/>
        <v/>
      </c>
      <c r="B129" s="251" t="str">
        <f t="shared" si="18"/>
        <v/>
      </c>
      <c r="C129" s="251" t="str">
        <f>IF(B129="","",VLOOKUP(D129,'Species Data'!B:D,4,FALSE))</f>
        <v/>
      </c>
      <c r="D129" s="251" t="str">
        <f t="shared" ca="1" si="11"/>
        <v/>
      </c>
      <c r="E129" s="251" t="str">
        <f t="shared" ca="1" si="12"/>
        <v/>
      </c>
      <c r="F129" s="251" t="str">
        <f t="shared" ca="1" si="13"/>
        <v/>
      </c>
      <c r="G129" s="251" t="str">
        <f t="shared" ca="1" si="14"/>
        <v/>
      </c>
      <c r="H129" s="208" t="str">
        <f ca="1">IF(G129="","",IF(VLOOKUP(VOC!F129,'Species Data'!D:E,3,FALSE)=0,"X",IF(G129&lt;44.1,2,1)))</f>
        <v/>
      </c>
      <c r="I129" s="208" t="str">
        <f t="shared" ca="1" si="15"/>
        <v/>
      </c>
      <c r="J129" s="252" t="str">
        <f ca="1">IF(I129="","",IF(COUNTIF($D$12:D129,D129)=1,IF(H129=1,I129*H129,IF(H129="X","X",0)),0))</f>
        <v/>
      </c>
      <c r="K129" s="253" t="str">
        <f t="shared" ca="1" si="16"/>
        <v/>
      </c>
      <c r="L129" s="202"/>
      <c r="M129" s="202"/>
      <c r="N129" s="202"/>
      <c r="O129" s="203"/>
      <c r="P129" s="202"/>
      <c r="Q129" s="204"/>
      <c r="R129" s="202"/>
      <c r="S129" s="202"/>
      <c r="T129" s="202"/>
      <c r="U129" s="202"/>
      <c r="V129" s="204"/>
      <c r="W129" s="204"/>
      <c r="X129" s="204"/>
      <c r="Y129" s="204"/>
      <c r="Z129" s="204"/>
      <c r="AA129" s="202"/>
      <c r="AB129" s="202"/>
      <c r="AC129" s="202"/>
      <c r="AD129" s="204"/>
      <c r="AE129" s="204"/>
      <c r="AF129" s="204"/>
      <c r="AG129" s="204"/>
      <c r="AH129" s="202"/>
      <c r="AI129" s="202"/>
      <c r="AJ129" s="202"/>
      <c r="AK129" s="202"/>
      <c r="AL129" s="202"/>
      <c r="AM129" s="204"/>
      <c r="AN129" s="204"/>
      <c r="AO129" s="202"/>
      <c r="AP129" s="202"/>
      <c r="AQ129" s="204"/>
      <c r="AR129" s="204"/>
      <c r="AS129" s="202"/>
    </row>
    <row r="130" spans="1:45" ht="15" customHeight="1" x14ac:dyDescent="0.25">
      <c r="A130" s="250" t="str">
        <f t="shared" si="19"/>
        <v/>
      </c>
      <c r="B130" s="251" t="str">
        <f t="shared" si="18"/>
        <v/>
      </c>
      <c r="C130" s="251" t="str">
        <f>IF(B130="","",VLOOKUP(D130,'Species Data'!B:D,4,FALSE))</f>
        <v/>
      </c>
      <c r="D130" s="251" t="str">
        <f t="shared" ca="1" si="11"/>
        <v/>
      </c>
      <c r="E130" s="251" t="str">
        <f t="shared" ca="1" si="12"/>
        <v/>
      </c>
      <c r="F130" s="251" t="str">
        <f t="shared" ca="1" si="13"/>
        <v/>
      </c>
      <c r="G130" s="251" t="str">
        <f t="shared" ca="1" si="14"/>
        <v/>
      </c>
      <c r="H130" s="208" t="str">
        <f ca="1">IF(G130="","",IF(VLOOKUP(VOC!F130,'Species Data'!D:E,3,FALSE)=0,"X",IF(G130&lt;44.1,2,1)))</f>
        <v/>
      </c>
      <c r="I130" s="208" t="str">
        <f t="shared" ca="1" si="15"/>
        <v/>
      </c>
      <c r="J130" s="252" t="str">
        <f ca="1">IF(I130="","",IF(COUNTIF($D$12:D130,D130)=1,IF(H130=1,I130*H130,IF(H130="X","X",0)),0))</f>
        <v/>
      </c>
      <c r="K130" s="253" t="str">
        <f t="shared" ca="1" si="16"/>
        <v/>
      </c>
      <c r="L130" s="202"/>
      <c r="M130" s="202"/>
      <c r="N130" s="202"/>
      <c r="O130" s="203"/>
      <c r="P130" s="202"/>
      <c r="Q130" s="204"/>
      <c r="R130" s="202"/>
      <c r="S130" s="202"/>
      <c r="T130" s="202"/>
      <c r="U130" s="202"/>
      <c r="V130" s="204"/>
      <c r="W130" s="204"/>
      <c r="X130" s="204"/>
      <c r="Y130" s="204"/>
      <c r="Z130" s="204"/>
      <c r="AA130" s="202"/>
      <c r="AB130" s="202"/>
      <c r="AC130" s="202"/>
      <c r="AD130" s="204"/>
      <c r="AE130" s="204"/>
      <c r="AF130" s="204"/>
      <c r="AG130" s="204"/>
      <c r="AH130" s="202"/>
      <c r="AI130" s="202"/>
      <c r="AJ130" s="202"/>
      <c r="AK130" s="202"/>
      <c r="AL130" s="202"/>
      <c r="AM130" s="204"/>
      <c r="AN130" s="204"/>
      <c r="AO130" s="202"/>
      <c r="AP130" s="202"/>
      <c r="AQ130" s="204"/>
      <c r="AR130" s="204"/>
      <c r="AS130" s="202"/>
    </row>
    <row r="131" spans="1:45" x14ac:dyDescent="0.25">
      <c r="A131" s="250" t="str">
        <f t="shared" si="19"/>
        <v/>
      </c>
      <c r="B131" s="251" t="str">
        <f t="shared" si="18"/>
        <v/>
      </c>
      <c r="C131" s="251" t="str">
        <f>IF(B131="","",VLOOKUP(D131,'Species Data'!B:D,4,FALSE))</f>
        <v/>
      </c>
      <c r="D131" s="251" t="str">
        <f t="shared" ca="1" si="11"/>
        <v/>
      </c>
      <c r="E131" s="251" t="str">
        <f t="shared" ca="1" si="12"/>
        <v/>
      </c>
      <c r="F131" s="251" t="str">
        <f t="shared" ca="1" si="13"/>
        <v/>
      </c>
      <c r="G131" s="251" t="str">
        <f t="shared" ca="1" si="14"/>
        <v/>
      </c>
      <c r="H131" s="208" t="str">
        <f ca="1">IF(G131="","",IF(VLOOKUP(VOC!F131,'Species Data'!D:E,3,FALSE)=0,"X",IF(G131&lt;44.1,2,1)))</f>
        <v/>
      </c>
      <c r="I131" s="208" t="str">
        <f t="shared" ca="1" si="15"/>
        <v/>
      </c>
      <c r="J131" s="252" t="str">
        <f ca="1">IF(I131="","",IF(COUNTIF($D$12:D131,D131)=1,IF(H131=1,I131*H131,IF(H131="X","X",0)),0))</f>
        <v/>
      </c>
      <c r="K131" s="253" t="str">
        <f t="shared" ca="1" si="16"/>
        <v/>
      </c>
      <c r="L131" s="202"/>
      <c r="M131" s="202"/>
      <c r="N131" s="202"/>
      <c r="O131" s="203"/>
      <c r="P131" s="202"/>
      <c r="Q131" s="204"/>
      <c r="R131" s="202"/>
      <c r="S131" s="202"/>
      <c r="T131" s="202"/>
      <c r="U131" s="202"/>
      <c r="V131" s="204"/>
      <c r="W131" s="204"/>
      <c r="X131" s="204"/>
      <c r="Y131" s="204"/>
      <c r="Z131" s="204"/>
      <c r="AA131" s="202"/>
      <c r="AB131" s="202"/>
      <c r="AC131" s="202"/>
      <c r="AD131" s="204"/>
      <c r="AE131" s="204"/>
      <c r="AF131" s="204"/>
      <c r="AG131" s="204"/>
      <c r="AH131" s="202"/>
      <c r="AI131" s="202"/>
      <c r="AJ131" s="202"/>
      <c r="AK131" s="202"/>
      <c r="AL131" s="202"/>
      <c r="AM131" s="204"/>
      <c r="AN131" s="204"/>
      <c r="AO131" s="202"/>
      <c r="AP131" s="202"/>
      <c r="AQ131" s="204"/>
      <c r="AR131" s="204"/>
      <c r="AS131" s="202"/>
    </row>
    <row r="132" spans="1:45" x14ac:dyDescent="0.25">
      <c r="A132" s="250" t="str">
        <f t="shared" si="19"/>
        <v/>
      </c>
      <c r="B132" s="251" t="str">
        <f t="shared" si="18"/>
        <v/>
      </c>
      <c r="C132" s="251" t="str">
        <f>IF(B132="","",VLOOKUP(D132,'Species Data'!B:D,4,FALSE))</f>
        <v/>
      </c>
      <c r="D132" s="251" t="str">
        <f t="shared" ca="1" si="11"/>
        <v/>
      </c>
      <c r="E132" s="251" t="str">
        <f t="shared" ca="1" si="12"/>
        <v/>
      </c>
      <c r="F132" s="251" t="str">
        <f t="shared" ca="1" si="13"/>
        <v/>
      </c>
      <c r="G132" s="251" t="str">
        <f t="shared" ca="1" si="14"/>
        <v/>
      </c>
      <c r="H132" s="208" t="str">
        <f ca="1">IF(G132="","",IF(VLOOKUP(VOC!F132,'Species Data'!D:E,3,FALSE)=0,"X",IF(G132&lt;44.1,2,1)))</f>
        <v/>
      </c>
      <c r="I132" s="208" t="str">
        <f t="shared" ca="1" si="15"/>
        <v/>
      </c>
      <c r="J132" s="252" t="str">
        <f ca="1">IF(I132="","",IF(COUNTIF($D$12:D132,D132)=1,IF(H132=1,I132*H132,IF(H132="X","X",0)),0))</f>
        <v/>
      </c>
      <c r="K132" s="253" t="str">
        <f t="shared" ca="1" si="16"/>
        <v/>
      </c>
      <c r="L132" s="202"/>
      <c r="M132" s="202"/>
      <c r="N132" s="202"/>
      <c r="O132" s="203"/>
      <c r="P132" s="202"/>
      <c r="Q132" s="204"/>
      <c r="R132" s="202"/>
      <c r="S132" s="202"/>
      <c r="T132" s="202"/>
      <c r="U132" s="202"/>
      <c r="V132" s="204"/>
      <c r="W132" s="204"/>
      <c r="X132" s="204"/>
      <c r="Y132" s="204"/>
      <c r="Z132" s="204"/>
      <c r="AA132" s="202"/>
      <c r="AB132" s="202"/>
      <c r="AC132" s="202"/>
      <c r="AD132" s="204"/>
      <c r="AE132" s="204"/>
      <c r="AF132" s="204"/>
      <c r="AG132" s="204"/>
      <c r="AH132" s="202"/>
      <c r="AI132" s="202"/>
      <c r="AJ132" s="202"/>
      <c r="AK132" s="202"/>
      <c r="AL132" s="202"/>
      <c r="AM132" s="204"/>
      <c r="AN132" s="204"/>
      <c r="AO132" s="202"/>
      <c r="AP132" s="202"/>
      <c r="AQ132" s="204"/>
      <c r="AR132" s="204"/>
      <c r="AS132" s="202"/>
    </row>
    <row r="133" spans="1:45" x14ac:dyDescent="0.25">
      <c r="A133" s="250" t="str">
        <f t="shared" si="19"/>
        <v/>
      </c>
      <c r="B133" s="251" t="str">
        <f t="shared" si="18"/>
        <v/>
      </c>
      <c r="C133" s="251" t="str">
        <f>IF(B133="","",VLOOKUP(D133,'Species Data'!B:D,4,FALSE))</f>
        <v/>
      </c>
      <c r="D133" s="251" t="str">
        <f t="shared" ca="1" si="11"/>
        <v/>
      </c>
      <c r="E133" s="251" t="str">
        <f t="shared" ca="1" si="12"/>
        <v/>
      </c>
      <c r="F133" s="251" t="str">
        <f t="shared" ca="1" si="13"/>
        <v/>
      </c>
      <c r="G133" s="251" t="str">
        <f t="shared" ca="1" si="14"/>
        <v/>
      </c>
      <c r="H133" s="208" t="str">
        <f ca="1">IF(G133="","",IF(VLOOKUP(VOC!F133,'Species Data'!D:E,3,FALSE)=0,"X",IF(G133&lt;44.1,2,1)))</f>
        <v/>
      </c>
      <c r="I133" s="208" t="str">
        <f t="shared" ca="1" si="15"/>
        <v/>
      </c>
      <c r="J133" s="252" t="str">
        <f ca="1">IF(I133="","",IF(COUNTIF($D$12:D133,D133)=1,IF(H133=1,I133*H133,IF(H133="X","X",0)),0))</f>
        <v/>
      </c>
      <c r="K133" s="253" t="str">
        <f t="shared" ca="1" si="16"/>
        <v/>
      </c>
      <c r="L133" s="202"/>
      <c r="M133" s="202"/>
      <c r="N133" s="202"/>
      <c r="O133" s="203"/>
      <c r="P133" s="202"/>
      <c r="Q133" s="204"/>
      <c r="R133" s="202"/>
      <c r="S133" s="202"/>
      <c r="T133" s="202"/>
      <c r="U133" s="202"/>
      <c r="V133" s="204"/>
      <c r="W133" s="204"/>
      <c r="X133" s="204"/>
      <c r="Y133" s="204"/>
      <c r="Z133" s="204"/>
      <c r="AA133" s="202"/>
      <c r="AB133" s="202"/>
      <c r="AC133" s="202"/>
      <c r="AD133" s="204"/>
      <c r="AE133" s="204"/>
      <c r="AF133" s="204"/>
      <c r="AG133" s="204"/>
      <c r="AH133" s="202"/>
      <c r="AI133" s="202"/>
      <c r="AJ133" s="202"/>
      <c r="AK133" s="202"/>
      <c r="AL133" s="202"/>
      <c r="AM133" s="204"/>
      <c r="AN133" s="204"/>
      <c r="AO133" s="202"/>
      <c r="AP133" s="202"/>
      <c r="AQ133" s="204"/>
      <c r="AR133" s="204"/>
      <c r="AS133" s="202"/>
    </row>
    <row r="134" spans="1:45" x14ac:dyDescent="0.25">
      <c r="A134" s="250" t="str">
        <f t="shared" si="19"/>
        <v/>
      </c>
      <c r="B134" s="251" t="str">
        <f t="shared" si="18"/>
        <v/>
      </c>
      <c r="C134" s="251" t="str">
        <f>IF(B134="","",VLOOKUP(D134,'Species Data'!B:D,4,FALSE))</f>
        <v/>
      </c>
      <c r="D134" s="251" t="str">
        <f t="shared" ca="1" si="11"/>
        <v/>
      </c>
      <c r="E134" s="251" t="str">
        <f t="shared" ca="1" si="12"/>
        <v/>
      </c>
      <c r="F134" s="251" t="str">
        <f t="shared" ca="1" si="13"/>
        <v/>
      </c>
      <c r="G134" s="251" t="str">
        <f t="shared" ca="1" si="14"/>
        <v/>
      </c>
      <c r="H134" s="208" t="str">
        <f ca="1">IF(G134="","",IF(VLOOKUP(VOC!F134,'Species Data'!D:E,3,FALSE)=0,"X",IF(G134&lt;44.1,2,1)))</f>
        <v/>
      </c>
      <c r="I134" s="208" t="str">
        <f t="shared" ca="1" si="15"/>
        <v/>
      </c>
      <c r="J134" s="252" t="str">
        <f ca="1">IF(I134="","",IF(COUNTIF($D$12:D134,D134)=1,IF(H134=1,I134*H134,IF(H134="X","X",0)),0))</f>
        <v/>
      </c>
      <c r="K134" s="253" t="str">
        <f t="shared" ca="1" si="16"/>
        <v/>
      </c>
      <c r="L134" s="202"/>
      <c r="M134" s="202"/>
      <c r="N134" s="202"/>
      <c r="O134" s="203"/>
      <c r="P134" s="202"/>
      <c r="Q134" s="204"/>
      <c r="R134" s="202"/>
      <c r="S134" s="202"/>
      <c r="T134" s="202"/>
      <c r="U134" s="202"/>
      <c r="V134" s="204"/>
      <c r="W134" s="204"/>
      <c r="X134" s="204"/>
      <c r="Y134" s="204"/>
      <c r="Z134" s="204"/>
      <c r="AA134" s="202"/>
      <c r="AB134" s="202"/>
      <c r="AC134" s="202"/>
      <c r="AD134" s="204"/>
      <c r="AE134" s="204"/>
      <c r="AF134" s="204"/>
      <c r="AG134" s="204"/>
      <c r="AH134" s="202"/>
      <c r="AI134" s="202"/>
      <c r="AJ134" s="202"/>
      <c r="AK134" s="202"/>
      <c r="AL134" s="202"/>
      <c r="AM134" s="204"/>
      <c r="AN134" s="204"/>
      <c r="AO134" s="202"/>
      <c r="AP134" s="202"/>
      <c r="AQ134" s="204"/>
      <c r="AR134" s="204"/>
      <c r="AS134" s="202"/>
    </row>
    <row r="135" spans="1:45" x14ac:dyDescent="0.25">
      <c r="A135" s="250" t="str">
        <f t="shared" si="19"/>
        <v/>
      </c>
      <c r="B135" s="251" t="str">
        <f t="shared" si="18"/>
        <v/>
      </c>
      <c r="C135" s="251" t="str">
        <f>IF(B135="","",VLOOKUP(D135,'Species Data'!B:D,4,FALSE))</f>
        <v/>
      </c>
      <c r="D135" s="251" t="str">
        <f t="shared" ca="1" si="11"/>
        <v/>
      </c>
      <c r="E135" s="251" t="str">
        <f t="shared" ca="1" si="12"/>
        <v/>
      </c>
      <c r="F135" s="251" t="str">
        <f t="shared" ca="1" si="13"/>
        <v/>
      </c>
      <c r="G135" s="251" t="str">
        <f t="shared" ca="1" si="14"/>
        <v/>
      </c>
      <c r="H135" s="208" t="str">
        <f ca="1">IF(G135="","",IF(VLOOKUP(VOC!F135,'Species Data'!D:E,3,FALSE)=0,"X",IF(G135&lt;44.1,2,1)))</f>
        <v/>
      </c>
      <c r="I135" s="208" t="str">
        <f t="shared" ca="1" si="15"/>
        <v/>
      </c>
      <c r="J135" s="252" t="str">
        <f ca="1">IF(I135="","",IF(COUNTIF($D$12:D135,D135)=1,IF(H135=1,I135*H135,IF(H135="X","X",0)),0))</f>
        <v/>
      </c>
      <c r="K135" s="253" t="str">
        <f t="shared" ca="1" si="16"/>
        <v/>
      </c>
      <c r="L135" s="202"/>
      <c r="M135" s="202"/>
      <c r="N135" s="202"/>
      <c r="O135" s="203"/>
      <c r="P135" s="202"/>
      <c r="Q135" s="204"/>
      <c r="R135" s="202"/>
      <c r="S135" s="202"/>
      <c r="T135" s="202"/>
      <c r="U135" s="202"/>
      <c r="V135" s="204"/>
      <c r="W135" s="204"/>
      <c r="X135" s="204"/>
      <c r="Y135" s="204"/>
      <c r="Z135" s="204"/>
      <c r="AA135" s="202"/>
      <c r="AB135" s="202"/>
      <c r="AC135" s="202"/>
      <c r="AD135" s="204"/>
      <c r="AE135" s="204"/>
      <c r="AF135" s="204"/>
      <c r="AG135" s="204"/>
      <c r="AH135" s="202"/>
      <c r="AI135" s="202"/>
      <c r="AJ135" s="202"/>
      <c r="AK135" s="202"/>
      <c r="AL135" s="202"/>
      <c r="AM135" s="204"/>
      <c r="AN135" s="204"/>
      <c r="AO135" s="202"/>
      <c r="AP135" s="202"/>
      <c r="AQ135" s="204"/>
      <c r="AR135" s="204"/>
      <c r="AS135" s="202"/>
    </row>
    <row r="136" spans="1:45" x14ac:dyDescent="0.25">
      <c r="A136" s="250" t="str">
        <f t="shared" si="19"/>
        <v/>
      </c>
      <c r="B136" s="251" t="str">
        <f t="shared" si="18"/>
        <v/>
      </c>
      <c r="C136" s="251" t="str">
        <f>IF(B136="","",VLOOKUP(D136,'Species Data'!B:D,4,FALSE))</f>
        <v/>
      </c>
      <c r="D136" s="251" t="str">
        <f t="shared" ca="1" si="11"/>
        <v/>
      </c>
      <c r="E136" s="251" t="str">
        <f t="shared" ca="1" si="12"/>
        <v/>
      </c>
      <c r="F136" s="251" t="str">
        <f t="shared" ca="1" si="13"/>
        <v/>
      </c>
      <c r="G136" s="251" t="str">
        <f t="shared" ca="1" si="14"/>
        <v/>
      </c>
      <c r="H136" s="208" t="str">
        <f ca="1">IF(G136="","",IF(VLOOKUP(VOC!F136,'Species Data'!D:E,3,FALSE)=0,"X",IF(G136&lt;44.1,2,1)))</f>
        <v/>
      </c>
      <c r="I136" s="208" t="str">
        <f t="shared" ca="1" si="15"/>
        <v/>
      </c>
      <c r="J136" s="252" t="str">
        <f ca="1">IF(I136="","",IF(COUNTIF($D$12:D136,D136)=1,IF(H136=1,I136*H136,IF(H136="X","X",0)),0))</f>
        <v/>
      </c>
      <c r="K136" s="253" t="str">
        <f t="shared" ca="1" si="16"/>
        <v/>
      </c>
      <c r="L136" s="202"/>
      <c r="M136" s="202"/>
      <c r="N136" s="202"/>
      <c r="O136" s="203"/>
      <c r="P136" s="202"/>
      <c r="Q136" s="204"/>
      <c r="R136" s="202"/>
      <c r="S136" s="202"/>
      <c r="T136" s="202"/>
      <c r="U136" s="202"/>
      <c r="V136" s="204"/>
      <c r="W136" s="204"/>
      <c r="X136" s="204"/>
      <c r="Y136" s="204"/>
      <c r="Z136" s="204"/>
      <c r="AA136" s="202"/>
      <c r="AB136" s="202"/>
      <c r="AC136" s="202"/>
      <c r="AD136" s="204"/>
      <c r="AE136" s="204"/>
      <c r="AF136" s="204"/>
      <c r="AG136" s="204"/>
      <c r="AH136" s="202"/>
      <c r="AI136" s="202"/>
      <c r="AJ136" s="202"/>
      <c r="AK136" s="202"/>
      <c r="AL136" s="202"/>
      <c r="AM136" s="204"/>
      <c r="AN136" s="204"/>
      <c r="AO136" s="202"/>
      <c r="AP136" s="202"/>
      <c r="AQ136" s="204"/>
      <c r="AR136" s="204"/>
      <c r="AS136" s="202"/>
    </row>
    <row r="137" spans="1:45" x14ac:dyDescent="0.25">
      <c r="A137" s="250" t="str">
        <f t="shared" si="19"/>
        <v/>
      </c>
      <c r="B137" s="251" t="str">
        <f t="shared" si="18"/>
        <v/>
      </c>
      <c r="C137" s="251" t="str">
        <f>IF(B137="","",VLOOKUP(D137,'Species Data'!B:D,4,FALSE))</f>
        <v/>
      </c>
      <c r="D137" s="251" t="str">
        <f t="shared" ca="1" si="11"/>
        <v/>
      </c>
      <c r="E137" s="251" t="str">
        <f t="shared" ca="1" si="12"/>
        <v/>
      </c>
      <c r="F137" s="251" t="str">
        <f t="shared" ca="1" si="13"/>
        <v/>
      </c>
      <c r="G137" s="251" t="str">
        <f t="shared" ca="1" si="14"/>
        <v/>
      </c>
      <c r="H137" s="208" t="str">
        <f ca="1">IF(G137="","",IF(VLOOKUP(VOC!F137,'Species Data'!D:E,3,FALSE)=0,"X",IF(G137&lt;44.1,2,1)))</f>
        <v/>
      </c>
      <c r="I137" s="208" t="str">
        <f t="shared" ca="1" si="15"/>
        <v/>
      </c>
      <c r="J137" s="252" t="str">
        <f ca="1">IF(I137="","",IF(COUNTIF($D$12:D137,D137)=1,IF(H137=1,I137*H137,IF(H137="X","X",0)),0))</f>
        <v/>
      </c>
      <c r="K137" s="253" t="str">
        <f t="shared" ca="1" si="16"/>
        <v/>
      </c>
      <c r="L137" s="202"/>
      <c r="M137" s="202"/>
      <c r="N137" s="202"/>
      <c r="O137" s="203"/>
      <c r="P137" s="202"/>
      <c r="Q137" s="204"/>
      <c r="R137" s="202"/>
      <c r="S137" s="202"/>
      <c r="T137" s="202"/>
      <c r="U137" s="202"/>
      <c r="V137" s="204"/>
      <c r="W137" s="204"/>
      <c r="X137" s="204"/>
      <c r="Y137" s="204"/>
      <c r="Z137" s="204"/>
      <c r="AA137" s="202"/>
      <c r="AB137" s="202"/>
      <c r="AC137" s="202"/>
      <c r="AD137" s="204"/>
      <c r="AE137" s="204"/>
      <c r="AF137" s="204"/>
      <c r="AG137" s="204"/>
      <c r="AH137" s="202"/>
      <c r="AI137" s="202"/>
      <c r="AJ137" s="202"/>
      <c r="AK137" s="202"/>
      <c r="AL137" s="202"/>
      <c r="AM137" s="204"/>
      <c r="AN137" s="204"/>
      <c r="AO137" s="202"/>
      <c r="AP137" s="202"/>
      <c r="AQ137" s="204"/>
      <c r="AR137" s="204"/>
      <c r="AS137" s="202"/>
    </row>
    <row r="138" spans="1:45" x14ac:dyDescent="0.25">
      <c r="A138" s="250" t="str">
        <f t="shared" si="19"/>
        <v/>
      </c>
      <c r="B138" s="251" t="str">
        <f t="shared" si="18"/>
        <v/>
      </c>
      <c r="C138" s="251" t="str">
        <f>IF(B138="","",VLOOKUP(D138,'Species Data'!B:D,4,FALSE))</f>
        <v/>
      </c>
      <c r="D138" s="251" t="str">
        <f t="shared" ca="1" si="11"/>
        <v/>
      </c>
      <c r="E138" s="251" t="str">
        <f t="shared" ca="1" si="12"/>
        <v/>
      </c>
      <c r="F138" s="251" t="str">
        <f t="shared" ca="1" si="13"/>
        <v/>
      </c>
      <c r="G138" s="251" t="str">
        <f t="shared" ca="1" si="14"/>
        <v/>
      </c>
      <c r="H138" s="208" t="str">
        <f ca="1">IF(G138="","",IF(VLOOKUP(VOC!F138,'Species Data'!D:E,3,FALSE)=0,"X",IF(G138&lt;44.1,2,1)))</f>
        <v/>
      </c>
      <c r="I138" s="208" t="str">
        <f t="shared" ca="1" si="15"/>
        <v/>
      </c>
      <c r="J138" s="252" t="str">
        <f ca="1">IF(I138="","",IF(COUNTIF($D$12:D138,D138)=1,IF(H138=1,I138*H138,IF(H138="X","X",0)),0))</f>
        <v/>
      </c>
      <c r="K138" s="253" t="str">
        <f t="shared" ca="1" si="16"/>
        <v/>
      </c>
      <c r="L138" s="202"/>
      <c r="M138" s="202"/>
      <c r="N138" s="202"/>
      <c r="O138" s="203"/>
      <c r="P138" s="202"/>
      <c r="Q138" s="204"/>
      <c r="R138" s="202"/>
      <c r="S138" s="202"/>
      <c r="T138" s="202"/>
      <c r="U138" s="202"/>
      <c r="V138" s="204"/>
      <c r="W138" s="204"/>
      <c r="X138" s="204"/>
      <c r="Y138" s="204"/>
      <c r="Z138" s="204"/>
      <c r="AA138" s="202"/>
      <c r="AB138" s="202"/>
      <c r="AC138" s="202"/>
      <c r="AD138" s="204"/>
      <c r="AE138" s="204"/>
      <c r="AF138" s="204"/>
      <c r="AG138" s="204"/>
      <c r="AH138" s="202"/>
      <c r="AI138" s="202"/>
      <c r="AJ138" s="202"/>
      <c r="AK138" s="202"/>
      <c r="AL138" s="202"/>
      <c r="AM138" s="204"/>
      <c r="AN138" s="204"/>
      <c r="AO138" s="202"/>
      <c r="AP138" s="202"/>
      <c r="AQ138" s="204"/>
      <c r="AR138" s="204"/>
      <c r="AS138" s="202"/>
    </row>
    <row r="139" spans="1:45" ht="15" customHeight="1" x14ac:dyDescent="0.25">
      <c r="A139" s="250" t="str">
        <f t="shared" si="19"/>
        <v/>
      </c>
      <c r="B139" s="251" t="str">
        <f t="shared" si="18"/>
        <v/>
      </c>
      <c r="C139" s="251" t="str">
        <f>IF(B139="","",VLOOKUP(D139,'Species Data'!B:D,4,FALSE))</f>
        <v/>
      </c>
      <c r="D139" s="251" t="str">
        <f t="shared" ca="1" si="11"/>
        <v/>
      </c>
      <c r="E139" s="251" t="str">
        <f t="shared" ca="1" si="12"/>
        <v/>
      </c>
      <c r="F139" s="251" t="str">
        <f t="shared" ca="1" si="13"/>
        <v/>
      </c>
      <c r="G139" s="251" t="str">
        <f t="shared" ca="1" si="14"/>
        <v/>
      </c>
      <c r="H139" s="208" t="str">
        <f ca="1">IF(G139="","",IF(VLOOKUP(VOC!F139,'Species Data'!D:E,3,FALSE)=0,"X",IF(G139&lt;44.1,2,1)))</f>
        <v/>
      </c>
      <c r="I139" s="208" t="str">
        <f t="shared" ca="1" si="15"/>
        <v/>
      </c>
      <c r="J139" s="252" t="str">
        <f ca="1">IF(I139="","",IF(COUNTIF($D$12:D139,D139)=1,IF(H139=1,I139*H139,IF(H139="X","X",0)),0))</f>
        <v/>
      </c>
      <c r="K139" s="253" t="str">
        <f t="shared" ca="1" si="16"/>
        <v/>
      </c>
      <c r="L139" s="202"/>
      <c r="M139" s="202"/>
      <c r="N139" s="202"/>
      <c r="O139" s="203"/>
      <c r="P139" s="202"/>
      <c r="Q139" s="204"/>
      <c r="R139" s="202"/>
      <c r="S139" s="202"/>
      <c r="T139" s="202"/>
      <c r="U139" s="202"/>
      <c r="V139" s="204"/>
      <c r="W139" s="204"/>
      <c r="X139" s="204"/>
      <c r="Y139" s="204"/>
      <c r="Z139" s="204"/>
      <c r="AA139" s="202"/>
      <c r="AB139" s="202"/>
      <c r="AC139" s="202"/>
      <c r="AD139" s="204"/>
      <c r="AE139" s="204"/>
      <c r="AF139" s="204"/>
      <c r="AG139" s="204"/>
      <c r="AH139" s="202"/>
      <c r="AI139" s="202"/>
      <c r="AJ139" s="202"/>
      <c r="AK139" s="202"/>
      <c r="AL139" s="202"/>
      <c r="AM139" s="204"/>
      <c r="AN139" s="204"/>
      <c r="AO139" s="202"/>
      <c r="AP139" s="202"/>
      <c r="AQ139" s="204"/>
      <c r="AR139" s="204"/>
      <c r="AS139" s="202"/>
    </row>
    <row r="140" spans="1:45" x14ac:dyDescent="0.25">
      <c r="A140" s="250" t="str">
        <f t="shared" si="19"/>
        <v/>
      </c>
      <c r="B140" s="251" t="str">
        <f t="shared" ref="B140:B203" si="20">IF(ROW(A140)-(ROW($A$12))&lt;$B$10,$B$9,"")</f>
        <v/>
      </c>
      <c r="C140" s="251" t="str">
        <f>IF(B140="","",VLOOKUP(D140,'Species Data'!B:D,4,FALSE))</f>
        <v/>
      </c>
      <c r="D140" s="251" t="str">
        <f t="shared" ref="D140:D203" ca="1" si="21">IF(B140="","",INDIRECT("AE"&amp;$A140))</f>
        <v/>
      </c>
      <c r="E140" s="251" t="str">
        <f t="shared" ref="E140:E203" ca="1" si="22">IF(D140="","",INDIRECT("AF"&amp;$A140))</f>
        <v/>
      </c>
      <c r="F140" s="251" t="str">
        <f t="shared" ref="F140:F203" ca="1" si="23">IF(E140="","",INDIRECT("AO"&amp;$A140))</f>
        <v/>
      </c>
      <c r="G140" s="251" t="str">
        <f t="shared" ref="G140:G203" ca="1" si="24">IF(F140="","",INDIRECT("AQ"&amp;$A140))</f>
        <v/>
      </c>
      <c r="H140" s="208" t="str">
        <f ca="1">IF(G140="","",IF(VLOOKUP(VOC!F140,'Species Data'!D:E,3,FALSE)=0,"X",IF(G140&lt;44.1,2,1)))</f>
        <v/>
      </c>
      <c r="I140" s="208" t="str">
        <f t="shared" ref="I140:I203" ca="1" si="25">IF(H140="","",SUMIF(D:D,D140,E:E)/($E$9/100))</f>
        <v/>
      </c>
      <c r="J140" s="252" t="str">
        <f ca="1">IF(I140="","",IF(COUNTIF($D$12:D140,D140)=1,IF(H140=1,I140*H140,IF(H140="X","X",0)),0))</f>
        <v/>
      </c>
      <c r="K140" s="253" t="str">
        <f t="shared" ref="K140:K203" ca="1" si="26">IF(J140="","",IF(J140="X",0,J140/$J$9*100))</f>
        <v/>
      </c>
      <c r="L140" s="202"/>
      <c r="M140" s="202"/>
      <c r="N140" s="202"/>
      <c r="O140" s="203"/>
      <c r="P140" s="202"/>
      <c r="Q140" s="204"/>
      <c r="R140" s="202"/>
      <c r="S140" s="202"/>
      <c r="T140" s="202"/>
      <c r="U140" s="202"/>
      <c r="V140" s="204"/>
      <c r="W140" s="204"/>
      <c r="X140" s="204"/>
      <c r="Y140" s="204"/>
      <c r="Z140" s="204"/>
      <c r="AA140" s="202"/>
      <c r="AB140" s="202"/>
      <c r="AC140" s="202"/>
      <c r="AD140" s="204"/>
      <c r="AE140" s="204"/>
      <c r="AF140" s="204"/>
      <c r="AG140" s="204"/>
      <c r="AH140" s="202"/>
      <c r="AI140" s="202"/>
      <c r="AJ140" s="202"/>
      <c r="AK140" s="202"/>
      <c r="AL140" s="202"/>
      <c r="AM140" s="204"/>
      <c r="AN140" s="204"/>
      <c r="AO140" s="202"/>
      <c r="AP140" s="202"/>
      <c r="AQ140" s="204"/>
      <c r="AR140" s="204"/>
      <c r="AS140" s="202"/>
    </row>
    <row r="141" spans="1:45" x14ac:dyDescent="0.25">
      <c r="A141" s="250" t="str">
        <f t="shared" ref="A141" si="27">IF(B141="","",A140+1)</f>
        <v/>
      </c>
      <c r="B141" s="251" t="str">
        <f t="shared" si="20"/>
        <v/>
      </c>
      <c r="C141" s="251" t="str">
        <f>IF(B141="","",VLOOKUP(D141,'Species Data'!B:D,4,FALSE))</f>
        <v/>
      </c>
      <c r="D141" s="251" t="str">
        <f t="shared" ca="1" si="21"/>
        <v/>
      </c>
      <c r="E141" s="251" t="str">
        <f t="shared" ca="1" si="22"/>
        <v/>
      </c>
      <c r="F141" s="251" t="str">
        <f t="shared" ca="1" si="23"/>
        <v/>
      </c>
      <c r="G141" s="251" t="str">
        <f t="shared" ca="1" si="24"/>
        <v/>
      </c>
      <c r="H141" s="208" t="str">
        <f ca="1">IF(G141="","",IF(VLOOKUP(VOC!F141,'Species Data'!D:E,3,FALSE)=0,"X",IF(G141&lt;44.1,2,1)))</f>
        <v/>
      </c>
      <c r="I141" s="208" t="str">
        <f t="shared" ca="1" si="25"/>
        <v/>
      </c>
      <c r="J141" s="252" t="str">
        <f ca="1">IF(I141="","",IF(COUNTIF($D$12:D141,D141)=1,IF(H141=1,I141*H141,IF(H141="X","X",0)),0))</f>
        <v/>
      </c>
      <c r="K141" s="253" t="str">
        <f t="shared" ca="1" si="26"/>
        <v/>
      </c>
      <c r="L141" s="202"/>
      <c r="M141" s="202"/>
      <c r="N141" s="202"/>
      <c r="O141" s="203"/>
      <c r="P141" s="202"/>
      <c r="Q141" s="204"/>
      <c r="R141" s="202"/>
      <c r="S141" s="202"/>
      <c r="T141" s="202"/>
      <c r="U141" s="202"/>
      <c r="V141" s="204"/>
      <c r="W141" s="204"/>
      <c r="X141" s="204"/>
      <c r="Y141" s="204"/>
      <c r="Z141" s="204"/>
      <c r="AA141" s="202"/>
      <c r="AB141" s="202"/>
      <c r="AC141" s="202"/>
      <c r="AD141" s="204"/>
      <c r="AE141" s="204"/>
      <c r="AF141" s="204"/>
      <c r="AG141" s="204"/>
      <c r="AH141" s="202"/>
      <c r="AI141" s="202"/>
      <c r="AJ141" s="202"/>
      <c r="AK141" s="202"/>
      <c r="AL141" s="202"/>
      <c r="AM141" s="204"/>
      <c r="AN141" s="204"/>
      <c r="AO141" s="202"/>
      <c r="AP141" s="202"/>
      <c r="AQ141" s="204"/>
      <c r="AR141" s="204"/>
      <c r="AS141" s="202"/>
    </row>
    <row r="142" spans="1:45" x14ac:dyDescent="0.25">
      <c r="A142" s="250" t="str">
        <f t="shared" ref="A142:A205" si="28">IF(B142="","",A141+1)</f>
        <v/>
      </c>
      <c r="B142" s="251" t="str">
        <f t="shared" si="20"/>
        <v/>
      </c>
      <c r="C142" s="251" t="str">
        <f>IF(B142="","",VLOOKUP(D142,'Species Data'!B:D,4,FALSE))</f>
        <v/>
      </c>
      <c r="D142" s="251" t="str">
        <f t="shared" ca="1" si="21"/>
        <v/>
      </c>
      <c r="E142" s="251" t="str">
        <f t="shared" ca="1" si="22"/>
        <v/>
      </c>
      <c r="F142" s="251" t="str">
        <f t="shared" ca="1" si="23"/>
        <v/>
      </c>
      <c r="G142" s="251" t="str">
        <f t="shared" ca="1" si="24"/>
        <v/>
      </c>
      <c r="H142" s="208" t="str">
        <f ca="1">IF(G142="","",IF(VLOOKUP(VOC!F142,'Species Data'!D:E,3,FALSE)=0,"X",IF(G142&lt;44.1,2,1)))</f>
        <v/>
      </c>
      <c r="I142" s="208" t="str">
        <f t="shared" ca="1" si="25"/>
        <v/>
      </c>
      <c r="J142" s="252" t="str">
        <f ca="1">IF(I142="","",IF(COUNTIF($D$12:D142,D142)=1,IF(H142=1,I142*H142,IF(H142="X","X",0)),0))</f>
        <v/>
      </c>
      <c r="K142" s="253" t="str">
        <f t="shared" ca="1" si="26"/>
        <v/>
      </c>
      <c r="L142" s="202"/>
      <c r="M142" s="202"/>
      <c r="N142" s="202"/>
      <c r="O142" s="203"/>
      <c r="P142" s="202"/>
      <c r="Q142" s="204"/>
      <c r="R142" s="202"/>
      <c r="S142" s="202"/>
      <c r="T142" s="202"/>
      <c r="U142" s="202"/>
      <c r="V142" s="204"/>
      <c r="W142" s="204"/>
      <c r="X142" s="204"/>
      <c r="Y142" s="204"/>
      <c r="Z142" s="204"/>
      <c r="AA142" s="202"/>
      <c r="AB142" s="202"/>
      <c r="AC142" s="202"/>
      <c r="AD142" s="204"/>
      <c r="AE142" s="204"/>
      <c r="AF142" s="204"/>
      <c r="AG142" s="204"/>
      <c r="AH142" s="202"/>
      <c r="AI142" s="202"/>
      <c r="AJ142" s="202"/>
      <c r="AK142" s="202"/>
      <c r="AL142" s="202"/>
      <c r="AM142" s="204"/>
      <c r="AN142" s="204"/>
      <c r="AO142" s="202"/>
      <c r="AP142" s="202"/>
      <c r="AQ142" s="204"/>
      <c r="AR142" s="204"/>
      <c r="AS142" s="202"/>
    </row>
    <row r="143" spans="1:45" ht="15" customHeight="1" x14ac:dyDescent="0.25">
      <c r="A143" s="250" t="str">
        <f t="shared" si="28"/>
        <v/>
      </c>
      <c r="B143" s="251" t="str">
        <f t="shared" si="20"/>
        <v/>
      </c>
      <c r="C143" s="251" t="str">
        <f>IF(B143="","",VLOOKUP(D143,'Species Data'!B:D,4,FALSE))</f>
        <v/>
      </c>
      <c r="D143" s="251" t="str">
        <f t="shared" ca="1" si="21"/>
        <v/>
      </c>
      <c r="E143" s="251" t="str">
        <f t="shared" ca="1" si="22"/>
        <v/>
      </c>
      <c r="F143" s="251" t="str">
        <f t="shared" ca="1" si="23"/>
        <v/>
      </c>
      <c r="G143" s="251" t="str">
        <f t="shared" ca="1" si="24"/>
        <v/>
      </c>
      <c r="H143" s="208" t="str">
        <f ca="1">IF(G143="","",IF(VLOOKUP(VOC!F143,'Species Data'!D:E,3,FALSE)=0,"X",IF(G143&lt;44.1,2,1)))</f>
        <v/>
      </c>
      <c r="I143" s="208" t="str">
        <f t="shared" ca="1" si="25"/>
        <v/>
      </c>
      <c r="J143" s="252" t="str">
        <f ca="1">IF(I143="","",IF(COUNTIF($D$12:D143,D143)=1,IF(H143=1,I143*H143,IF(H143="X","X",0)),0))</f>
        <v/>
      </c>
      <c r="K143" s="253" t="str">
        <f t="shared" ca="1" si="26"/>
        <v/>
      </c>
      <c r="L143" s="202"/>
      <c r="M143" s="202"/>
      <c r="N143" s="202"/>
      <c r="O143" s="203"/>
      <c r="P143" s="202"/>
      <c r="Q143" s="204"/>
      <c r="R143" s="202"/>
      <c r="S143" s="202"/>
      <c r="T143" s="202"/>
      <c r="U143" s="202"/>
      <c r="V143" s="204"/>
      <c r="W143" s="204"/>
      <c r="X143" s="204"/>
      <c r="Y143" s="204"/>
      <c r="Z143" s="204"/>
      <c r="AA143" s="202"/>
      <c r="AB143" s="202"/>
      <c r="AC143" s="202"/>
      <c r="AD143" s="204"/>
      <c r="AE143" s="204"/>
      <c r="AF143" s="204"/>
      <c r="AG143" s="204"/>
      <c r="AH143" s="202"/>
      <c r="AI143" s="202"/>
      <c r="AJ143" s="202"/>
      <c r="AK143" s="202"/>
      <c r="AL143" s="202"/>
      <c r="AM143" s="204"/>
      <c r="AN143" s="204"/>
      <c r="AO143" s="202"/>
      <c r="AP143" s="202"/>
      <c r="AQ143" s="204"/>
      <c r="AR143" s="204"/>
      <c r="AS143" s="202"/>
    </row>
    <row r="144" spans="1:45" ht="15" customHeight="1" x14ac:dyDescent="0.25">
      <c r="A144" s="250" t="str">
        <f t="shared" si="28"/>
        <v/>
      </c>
      <c r="B144" s="251" t="str">
        <f t="shared" si="20"/>
        <v/>
      </c>
      <c r="C144" s="251" t="str">
        <f>IF(B144="","",VLOOKUP(D144,'Species Data'!B:D,4,FALSE))</f>
        <v/>
      </c>
      <c r="D144" s="251" t="str">
        <f t="shared" ca="1" si="21"/>
        <v/>
      </c>
      <c r="E144" s="251" t="str">
        <f t="shared" ca="1" si="22"/>
        <v/>
      </c>
      <c r="F144" s="251" t="str">
        <f t="shared" ca="1" si="23"/>
        <v/>
      </c>
      <c r="G144" s="251" t="str">
        <f t="shared" ca="1" si="24"/>
        <v/>
      </c>
      <c r="H144" s="208" t="str">
        <f ca="1">IF(G144="","",IF(VLOOKUP(VOC!F144,'Species Data'!D:E,3,FALSE)=0,"X",IF(G144&lt;44.1,2,1)))</f>
        <v/>
      </c>
      <c r="I144" s="208" t="str">
        <f t="shared" ca="1" si="25"/>
        <v/>
      </c>
      <c r="J144" s="252" t="str">
        <f ca="1">IF(I144="","",IF(COUNTIF($D$12:D144,D144)=1,IF(H144=1,I144*H144,IF(H144="X","X",0)),0))</f>
        <v/>
      </c>
      <c r="K144" s="253" t="str">
        <f t="shared" ca="1" si="26"/>
        <v/>
      </c>
      <c r="L144" s="202"/>
      <c r="M144" s="202"/>
      <c r="N144" s="202"/>
      <c r="O144" s="203"/>
      <c r="P144" s="202"/>
      <c r="Q144" s="204"/>
      <c r="R144" s="202"/>
      <c r="S144" s="202"/>
      <c r="T144" s="202"/>
      <c r="U144" s="202"/>
      <c r="V144" s="204"/>
      <c r="W144" s="204"/>
      <c r="X144" s="204"/>
      <c r="Y144" s="204"/>
      <c r="Z144" s="204"/>
      <c r="AA144" s="202"/>
      <c r="AB144" s="202"/>
      <c r="AC144" s="202"/>
      <c r="AD144" s="204"/>
      <c r="AE144" s="204"/>
      <c r="AF144" s="204"/>
      <c r="AG144" s="204"/>
      <c r="AH144" s="202"/>
      <c r="AI144" s="202"/>
      <c r="AJ144" s="202"/>
      <c r="AK144" s="202"/>
      <c r="AL144" s="202"/>
      <c r="AM144" s="204"/>
      <c r="AN144" s="204"/>
      <c r="AO144" s="202"/>
      <c r="AP144" s="202"/>
      <c r="AQ144" s="204"/>
      <c r="AR144" s="204"/>
      <c r="AS144" s="202"/>
    </row>
    <row r="145" spans="1:45" ht="15" customHeight="1" x14ac:dyDescent="0.25">
      <c r="A145" s="250" t="str">
        <f t="shared" si="28"/>
        <v/>
      </c>
      <c r="B145" s="251" t="str">
        <f t="shared" si="20"/>
        <v/>
      </c>
      <c r="C145" s="251" t="str">
        <f>IF(B145="","",VLOOKUP(D145,'Species Data'!B:D,4,FALSE))</f>
        <v/>
      </c>
      <c r="D145" s="251" t="str">
        <f t="shared" ca="1" si="21"/>
        <v/>
      </c>
      <c r="E145" s="251" t="str">
        <f t="shared" ca="1" si="22"/>
        <v/>
      </c>
      <c r="F145" s="251" t="str">
        <f t="shared" ca="1" si="23"/>
        <v/>
      </c>
      <c r="G145" s="251" t="str">
        <f t="shared" ca="1" si="24"/>
        <v/>
      </c>
      <c r="H145" s="208" t="str">
        <f ca="1">IF(G145="","",IF(VLOOKUP(VOC!F145,'Species Data'!D:E,3,FALSE)=0,"X",IF(G145&lt;44.1,2,1)))</f>
        <v/>
      </c>
      <c r="I145" s="208" t="str">
        <f t="shared" ca="1" si="25"/>
        <v/>
      </c>
      <c r="J145" s="252" t="str">
        <f ca="1">IF(I145="","",IF(COUNTIF($D$12:D145,D145)=1,IF(H145=1,I145*H145,IF(H145="X","X",0)),0))</f>
        <v/>
      </c>
      <c r="K145" s="253" t="str">
        <f t="shared" ca="1" si="26"/>
        <v/>
      </c>
      <c r="L145" s="243"/>
      <c r="M145" s="212"/>
      <c r="N145" s="212"/>
      <c r="O145" s="213"/>
      <c r="P145" s="212"/>
      <c r="Q145" s="214"/>
      <c r="R145" s="212"/>
      <c r="S145" s="212"/>
      <c r="T145" s="212"/>
      <c r="U145" s="212"/>
      <c r="V145" s="214"/>
      <c r="W145" s="214"/>
      <c r="X145" s="214"/>
      <c r="Y145" s="214"/>
      <c r="Z145" s="214"/>
      <c r="AA145" s="212"/>
      <c r="AB145" s="212"/>
      <c r="AC145" s="212"/>
      <c r="AD145" s="214"/>
      <c r="AE145" s="214"/>
      <c r="AF145" s="214"/>
      <c r="AG145" s="214"/>
      <c r="AH145" s="212"/>
      <c r="AI145" s="212"/>
      <c r="AJ145" s="212"/>
      <c r="AK145" s="212"/>
      <c r="AL145" s="212"/>
      <c r="AM145" s="214"/>
      <c r="AN145" s="214"/>
      <c r="AO145" s="212"/>
      <c r="AP145" s="212"/>
      <c r="AQ145" s="214"/>
      <c r="AR145" s="214"/>
      <c r="AS145" s="212"/>
    </row>
    <row r="146" spans="1:45" ht="15" customHeight="1" x14ac:dyDescent="0.25">
      <c r="A146" s="250" t="str">
        <f t="shared" si="28"/>
        <v/>
      </c>
      <c r="B146" s="251" t="str">
        <f t="shared" si="20"/>
        <v/>
      </c>
      <c r="C146" s="251" t="str">
        <f>IF(B146="","",VLOOKUP(D146,'Species Data'!B:D,4,FALSE))</f>
        <v/>
      </c>
      <c r="D146" s="251" t="str">
        <f t="shared" ca="1" si="21"/>
        <v/>
      </c>
      <c r="E146" s="251" t="str">
        <f t="shared" ca="1" si="22"/>
        <v/>
      </c>
      <c r="F146" s="251" t="str">
        <f t="shared" ca="1" si="23"/>
        <v/>
      </c>
      <c r="G146" s="251" t="str">
        <f t="shared" ca="1" si="24"/>
        <v/>
      </c>
      <c r="H146" s="208" t="str">
        <f ca="1">IF(G146="","",IF(VLOOKUP(VOC!F146,'Species Data'!D:E,3,FALSE)=0,"X",IF(G146&lt;44.1,2,1)))</f>
        <v/>
      </c>
      <c r="I146" s="208" t="str">
        <f t="shared" ca="1" si="25"/>
        <v/>
      </c>
      <c r="J146" s="252" t="str">
        <f ca="1">IF(I146="","",IF(COUNTIF($D$12:D146,D146)=1,IF(H146=1,I146*H146,IF(H146="X","X",0)),0))</f>
        <v/>
      </c>
      <c r="K146" s="253" t="str">
        <f t="shared" ca="1" si="26"/>
        <v/>
      </c>
      <c r="L146" s="243"/>
      <c r="M146" s="212"/>
      <c r="N146" s="212"/>
      <c r="O146" s="213"/>
      <c r="P146" s="212"/>
      <c r="Q146" s="214"/>
      <c r="R146" s="212"/>
      <c r="S146" s="212"/>
      <c r="T146" s="212"/>
      <c r="U146" s="212"/>
      <c r="V146" s="214"/>
      <c r="W146" s="214"/>
      <c r="X146" s="214"/>
      <c r="Y146" s="214"/>
      <c r="Z146" s="214"/>
      <c r="AA146" s="212"/>
      <c r="AB146" s="212"/>
      <c r="AC146" s="212"/>
      <c r="AD146" s="214"/>
      <c r="AE146" s="214"/>
      <c r="AF146" s="214"/>
      <c r="AG146" s="214"/>
      <c r="AH146" s="212"/>
      <c r="AI146" s="212"/>
      <c r="AJ146" s="212"/>
      <c r="AK146" s="212"/>
      <c r="AL146" s="212"/>
      <c r="AM146" s="214"/>
      <c r="AN146" s="214"/>
      <c r="AO146" s="212"/>
      <c r="AP146" s="212"/>
      <c r="AQ146" s="214"/>
      <c r="AR146" s="214"/>
      <c r="AS146" s="212"/>
    </row>
    <row r="147" spans="1:45" x14ac:dyDescent="0.25">
      <c r="A147" s="250" t="str">
        <f t="shared" si="28"/>
        <v/>
      </c>
      <c r="B147" s="251" t="str">
        <f t="shared" si="20"/>
        <v/>
      </c>
      <c r="C147" s="251" t="str">
        <f>IF(B147="","",VLOOKUP(D147,'Species Data'!B:D,4,FALSE))</f>
        <v/>
      </c>
      <c r="D147" s="251" t="str">
        <f t="shared" ca="1" si="21"/>
        <v/>
      </c>
      <c r="E147" s="251" t="str">
        <f t="shared" ca="1" si="22"/>
        <v/>
      </c>
      <c r="F147" s="251" t="str">
        <f t="shared" ca="1" si="23"/>
        <v/>
      </c>
      <c r="G147" s="251" t="str">
        <f t="shared" ca="1" si="24"/>
        <v/>
      </c>
      <c r="H147" s="208" t="str">
        <f ca="1">IF(G147="","",IF(VLOOKUP(VOC!F147,'Species Data'!D:E,3,FALSE)=0,"X",IF(G147&lt;44.1,2,1)))</f>
        <v/>
      </c>
      <c r="I147" s="208" t="str">
        <f t="shared" ca="1" si="25"/>
        <v/>
      </c>
      <c r="J147" s="252" t="str">
        <f ca="1">IF(I147="","",IF(COUNTIF($D$12:D147,D147)=1,IF(H147=1,I147*H147,IF(H147="X","X",0)),0))</f>
        <v/>
      </c>
      <c r="K147" s="253" t="str">
        <f t="shared" ca="1" si="26"/>
        <v/>
      </c>
      <c r="L147" s="243"/>
      <c r="M147" s="212"/>
      <c r="N147" s="212"/>
      <c r="O147" s="213"/>
      <c r="P147" s="212"/>
      <c r="Q147" s="214"/>
      <c r="R147" s="212"/>
      <c r="S147" s="212"/>
      <c r="T147" s="212"/>
      <c r="U147" s="212"/>
      <c r="V147" s="214"/>
      <c r="W147" s="214"/>
      <c r="X147" s="214"/>
      <c r="Y147" s="214"/>
      <c r="Z147" s="214"/>
      <c r="AA147" s="212"/>
      <c r="AB147" s="212"/>
      <c r="AC147" s="212"/>
      <c r="AD147" s="214"/>
      <c r="AE147" s="214"/>
      <c r="AF147" s="214"/>
      <c r="AG147" s="214"/>
      <c r="AH147" s="212"/>
      <c r="AI147" s="212"/>
      <c r="AJ147" s="212"/>
      <c r="AK147" s="212"/>
      <c r="AL147" s="212"/>
      <c r="AM147" s="214"/>
      <c r="AN147" s="214"/>
      <c r="AO147" s="212"/>
      <c r="AP147" s="212"/>
      <c r="AQ147" s="214"/>
      <c r="AR147" s="214"/>
      <c r="AS147" s="212"/>
    </row>
    <row r="148" spans="1:45" ht="15" customHeight="1" x14ac:dyDescent="0.25">
      <c r="A148" s="250" t="str">
        <f t="shared" si="28"/>
        <v/>
      </c>
      <c r="B148" s="251" t="str">
        <f t="shared" si="20"/>
        <v/>
      </c>
      <c r="C148" s="251" t="str">
        <f>IF(B148="","",VLOOKUP(D148,'Species Data'!B:D,4,FALSE))</f>
        <v/>
      </c>
      <c r="D148" s="251" t="str">
        <f t="shared" ca="1" si="21"/>
        <v/>
      </c>
      <c r="E148" s="251" t="str">
        <f t="shared" ca="1" si="22"/>
        <v/>
      </c>
      <c r="F148" s="251" t="str">
        <f t="shared" ca="1" si="23"/>
        <v/>
      </c>
      <c r="G148" s="251" t="str">
        <f t="shared" ca="1" si="24"/>
        <v/>
      </c>
      <c r="H148" s="208" t="str">
        <f ca="1">IF(G148="","",IF(VLOOKUP(VOC!F148,'Species Data'!D:E,3,FALSE)=0,"X",IF(G148&lt;44.1,2,1)))</f>
        <v/>
      </c>
      <c r="I148" s="208" t="str">
        <f t="shared" ca="1" si="25"/>
        <v/>
      </c>
      <c r="J148" s="252" t="str">
        <f ca="1">IF(I148="","",IF(COUNTIF($D$12:D148,D148)=1,IF(H148=1,I148*H148,IF(H148="X","X",0)),0))</f>
        <v/>
      </c>
      <c r="K148" s="253" t="str">
        <f t="shared" ca="1" si="26"/>
        <v/>
      </c>
      <c r="L148" s="243"/>
      <c r="M148" s="212"/>
      <c r="N148" s="212"/>
      <c r="O148" s="213"/>
      <c r="P148" s="212"/>
      <c r="Q148" s="214"/>
      <c r="R148" s="212"/>
      <c r="S148" s="212"/>
      <c r="T148" s="212"/>
      <c r="U148" s="212"/>
      <c r="V148" s="214"/>
      <c r="W148" s="214"/>
      <c r="X148" s="214"/>
      <c r="Y148" s="214"/>
      <c r="Z148" s="214"/>
      <c r="AA148" s="212"/>
      <c r="AB148" s="212"/>
      <c r="AC148" s="212"/>
      <c r="AD148" s="214"/>
      <c r="AE148" s="214"/>
      <c r="AF148" s="214"/>
      <c r="AG148" s="214"/>
      <c r="AH148" s="212"/>
      <c r="AI148" s="212"/>
      <c r="AJ148" s="212"/>
      <c r="AK148" s="212"/>
      <c r="AL148" s="212"/>
      <c r="AM148" s="214"/>
      <c r="AN148" s="214"/>
      <c r="AO148" s="212"/>
      <c r="AP148" s="212"/>
      <c r="AQ148" s="214"/>
      <c r="AR148" s="214"/>
      <c r="AS148" s="212"/>
    </row>
    <row r="149" spans="1:45" x14ac:dyDescent="0.25">
      <c r="A149" s="250" t="str">
        <f t="shared" si="28"/>
        <v/>
      </c>
      <c r="B149" s="251" t="str">
        <f t="shared" si="20"/>
        <v/>
      </c>
      <c r="C149" s="251" t="str">
        <f>IF(B149="","",VLOOKUP(D149,'Species Data'!B:D,4,FALSE))</f>
        <v/>
      </c>
      <c r="D149" s="251" t="str">
        <f t="shared" ca="1" si="21"/>
        <v/>
      </c>
      <c r="E149" s="251" t="str">
        <f t="shared" ca="1" si="22"/>
        <v/>
      </c>
      <c r="F149" s="251" t="str">
        <f t="shared" ca="1" si="23"/>
        <v/>
      </c>
      <c r="G149" s="251" t="str">
        <f t="shared" ca="1" si="24"/>
        <v/>
      </c>
      <c r="H149" s="208" t="str">
        <f ca="1">IF(G149="","",IF(VLOOKUP(VOC!F149,'Species Data'!D:E,3,FALSE)=0,"X",IF(G149&lt;44.1,2,1)))</f>
        <v/>
      </c>
      <c r="I149" s="208" t="str">
        <f t="shared" ca="1" si="25"/>
        <v/>
      </c>
      <c r="J149" s="252" t="str">
        <f ca="1">IF(I149="","",IF(COUNTIF($D$12:D149,D149)=1,IF(H149=1,I149*H149,IF(H149="X","X",0)),0))</f>
        <v/>
      </c>
      <c r="K149" s="253" t="str">
        <f t="shared" ca="1" si="26"/>
        <v/>
      </c>
      <c r="L149" s="243"/>
      <c r="M149" s="212"/>
      <c r="N149" s="212"/>
      <c r="O149" s="213"/>
      <c r="P149" s="212"/>
      <c r="Q149" s="214"/>
      <c r="R149" s="212"/>
      <c r="S149" s="212"/>
      <c r="T149" s="212"/>
      <c r="U149" s="212"/>
      <c r="V149" s="214"/>
      <c r="W149" s="214"/>
      <c r="X149" s="214"/>
      <c r="Y149" s="214"/>
      <c r="Z149" s="214"/>
      <c r="AA149" s="212"/>
      <c r="AB149" s="212"/>
      <c r="AC149" s="212"/>
      <c r="AD149" s="214"/>
      <c r="AE149" s="214"/>
      <c r="AF149" s="214"/>
      <c r="AG149" s="214"/>
      <c r="AH149" s="212"/>
      <c r="AI149" s="212"/>
      <c r="AJ149" s="212"/>
      <c r="AK149" s="212"/>
      <c r="AL149" s="212"/>
      <c r="AM149" s="214"/>
      <c r="AN149" s="214"/>
      <c r="AO149" s="212"/>
      <c r="AP149" s="212"/>
      <c r="AQ149" s="214"/>
      <c r="AR149" s="214"/>
      <c r="AS149" s="212"/>
    </row>
    <row r="150" spans="1:45" x14ac:dyDescent="0.25">
      <c r="A150" s="250" t="str">
        <f t="shared" si="28"/>
        <v/>
      </c>
      <c r="B150" s="251" t="str">
        <f t="shared" si="20"/>
        <v/>
      </c>
      <c r="C150" s="251" t="str">
        <f>IF(B150="","",VLOOKUP(D150,'Species Data'!B:D,4,FALSE))</f>
        <v/>
      </c>
      <c r="D150" s="251" t="str">
        <f t="shared" ca="1" si="21"/>
        <v/>
      </c>
      <c r="E150" s="251" t="str">
        <f t="shared" ca="1" si="22"/>
        <v/>
      </c>
      <c r="F150" s="251" t="str">
        <f t="shared" ca="1" si="23"/>
        <v/>
      </c>
      <c r="G150" s="251" t="str">
        <f t="shared" ca="1" si="24"/>
        <v/>
      </c>
      <c r="H150" s="208" t="str">
        <f ca="1">IF(G150="","",IF(VLOOKUP(VOC!F150,'Species Data'!D:E,3,FALSE)=0,"X",IF(G150&lt;44.1,2,1)))</f>
        <v/>
      </c>
      <c r="I150" s="208" t="str">
        <f t="shared" ca="1" si="25"/>
        <v/>
      </c>
      <c r="J150" s="252" t="str">
        <f ca="1">IF(I150="","",IF(COUNTIF($D$12:D150,D150)=1,IF(H150=1,I150*H150,IF(H150="X","X",0)),0))</f>
        <v/>
      </c>
      <c r="K150" s="253" t="str">
        <f t="shared" ca="1" si="26"/>
        <v/>
      </c>
      <c r="L150" s="243"/>
      <c r="M150" s="212"/>
      <c r="N150" s="212"/>
      <c r="O150" s="213"/>
      <c r="P150" s="212"/>
      <c r="Q150" s="214"/>
      <c r="R150" s="212"/>
      <c r="S150" s="212"/>
      <c r="T150" s="212"/>
      <c r="U150" s="212"/>
      <c r="V150" s="214"/>
      <c r="W150" s="214"/>
      <c r="X150" s="214"/>
      <c r="Y150" s="214"/>
      <c r="Z150" s="214"/>
      <c r="AA150" s="212"/>
      <c r="AB150" s="212"/>
      <c r="AC150" s="212"/>
      <c r="AD150" s="214"/>
      <c r="AE150" s="214"/>
      <c r="AF150" s="214"/>
      <c r="AG150" s="214"/>
      <c r="AH150" s="212"/>
      <c r="AI150" s="212"/>
      <c r="AJ150" s="212"/>
      <c r="AK150" s="212"/>
      <c r="AL150" s="212"/>
      <c r="AM150" s="214"/>
      <c r="AN150" s="214"/>
      <c r="AO150" s="212"/>
      <c r="AP150" s="212"/>
      <c r="AQ150" s="214"/>
      <c r="AR150" s="214"/>
      <c r="AS150" s="212"/>
    </row>
    <row r="151" spans="1:45" x14ac:dyDescent="0.25">
      <c r="A151" s="250" t="str">
        <f t="shared" si="28"/>
        <v/>
      </c>
      <c r="B151" s="251" t="str">
        <f t="shared" si="20"/>
        <v/>
      </c>
      <c r="C151" s="251" t="str">
        <f>IF(B151="","",VLOOKUP(D151,'Species Data'!B:D,4,FALSE))</f>
        <v/>
      </c>
      <c r="D151" s="251" t="str">
        <f t="shared" ca="1" si="21"/>
        <v/>
      </c>
      <c r="E151" s="251" t="str">
        <f t="shared" ca="1" si="22"/>
        <v/>
      </c>
      <c r="F151" s="251" t="str">
        <f t="shared" ca="1" si="23"/>
        <v/>
      </c>
      <c r="G151" s="251" t="str">
        <f t="shared" ca="1" si="24"/>
        <v/>
      </c>
      <c r="H151" s="208" t="str">
        <f ca="1">IF(G151="","",IF(VLOOKUP(VOC!F151,'Species Data'!D:E,3,FALSE)=0,"X",IF(G151&lt;44.1,2,1)))</f>
        <v/>
      </c>
      <c r="I151" s="208" t="str">
        <f t="shared" ca="1" si="25"/>
        <v/>
      </c>
      <c r="J151" s="252" t="str">
        <f ca="1">IF(I151="","",IF(COUNTIF($D$12:D151,D151)=1,IF(H151=1,I151*H151,IF(H151="X","X",0)),0))</f>
        <v/>
      </c>
      <c r="K151" s="253" t="str">
        <f t="shared" ca="1" si="26"/>
        <v/>
      </c>
      <c r="L151" s="243"/>
      <c r="M151" s="212"/>
      <c r="N151" s="212"/>
      <c r="O151" s="213"/>
      <c r="P151" s="212"/>
      <c r="Q151" s="214"/>
      <c r="R151" s="212"/>
      <c r="S151" s="212"/>
      <c r="T151" s="212"/>
      <c r="U151" s="212"/>
      <c r="V151" s="214"/>
      <c r="W151" s="214"/>
      <c r="X151" s="214"/>
      <c r="Y151" s="214"/>
      <c r="Z151" s="214"/>
      <c r="AA151" s="212"/>
      <c r="AB151" s="212"/>
      <c r="AC151" s="212"/>
      <c r="AD151" s="214"/>
      <c r="AE151" s="214"/>
      <c r="AF151" s="214"/>
      <c r="AG151" s="214"/>
      <c r="AH151" s="212"/>
      <c r="AI151" s="212"/>
      <c r="AJ151" s="212"/>
      <c r="AK151" s="212"/>
      <c r="AL151" s="212"/>
      <c r="AM151" s="214"/>
      <c r="AN151" s="214"/>
      <c r="AO151" s="212"/>
      <c r="AP151" s="212"/>
      <c r="AQ151" s="214"/>
      <c r="AR151" s="214"/>
      <c r="AS151" s="212"/>
    </row>
    <row r="152" spans="1:45" ht="15" customHeight="1" x14ac:dyDescent="0.25">
      <c r="A152" s="250" t="str">
        <f t="shared" si="28"/>
        <v/>
      </c>
      <c r="B152" s="251" t="str">
        <f t="shared" si="20"/>
        <v/>
      </c>
      <c r="C152" s="251" t="str">
        <f>IF(B152="","",VLOOKUP(D152,'Species Data'!B:D,4,FALSE))</f>
        <v/>
      </c>
      <c r="D152" s="251" t="str">
        <f t="shared" ca="1" si="21"/>
        <v/>
      </c>
      <c r="E152" s="251" t="str">
        <f t="shared" ca="1" si="22"/>
        <v/>
      </c>
      <c r="F152" s="251" t="str">
        <f t="shared" ca="1" si="23"/>
        <v/>
      </c>
      <c r="G152" s="251" t="str">
        <f t="shared" ca="1" si="24"/>
        <v/>
      </c>
      <c r="H152" s="208" t="str">
        <f ca="1">IF(G152="","",IF(VLOOKUP(VOC!F152,'Species Data'!D:E,3,FALSE)=0,"X",IF(G152&lt;44.1,2,1)))</f>
        <v/>
      </c>
      <c r="I152" s="208" t="str">
        <f t="shared" ca="1" si="25"/>
        <v/>
      </c>
      <c r="J152" s="252" t="str">
        <f ca="1">IF(I152="","",IF(COUNTIF($D$12:D152,D152)=1,IF(H152=1,I152*H152,IF(H152="X","X",0)),0))</f>
        <v/>
      </c>
      <c r="K152" s="253" t="str">
        <f t="shared" ca="1" si="26"/>
        <v/>
      </c>
      <c r="L152" s="243"/>
      <c r="M152" s="212"/>
      <c r="N152" s="212"/>
      <c r="O152" s="213"/>
      <c r="P152" s="212"/>
      <c r="Q152" s="214"/>
      <c r="R152" s="212"/>
      <c r="S152" s="212"/>
      <c r="T152" s="212"/>
      <c r="U152" s="212"/>
      <c r="V152" s="214"/>
      <c r="W152" s="214"/>
      <c r="X152" s="214"/>
      <c r="Y152" s="214"/>
      <c r="Z152" s="214"/>
      <c r="AA152" s="212"/>
      <c r="AB152" s="212"/>
      <c r="AC152" s="212"/>
      <c r="AD152" s="214"/>
      <c r="AE152" s="214"/>
      <c r="AF152" s="214"/>
      <c r="AG152" s="214"/>
      <c r="AH152" s="212"/>
      <c r="AI152" s="212"/>
      <c r="AJ152" s="212"/>
      <c r="AK152" s="212"/>
      <c r="AL152" s="212"/>
      <c r="AM152" s="214"/>
      <c r="AN152" s="214"/>
      <c r="AO152" s="212"/>
      <c r="AP152" s="212"/>
      <c r="AQ152" s="214"/>
      <c r="AR152" s="214"/>
      <c r="AS152" s="212"/>
    </row>
    <row r="153" spans="1:45" x14ac:dyDescent="0.25">
      <c r="A153" s="250" t="str">
        <f t="shared" si="28"/>
        <v/>
      </c>
      <c r="B153" s="251" t="str">
        <f t="shared" si="20"/>
        <v/>
      </c>
      <c r="C153" s="251" t="str">
        <f>IF(B153="","",VLOOKUP(D153,'Species Data'!B:D,4,FALSE))</f>
        <v/>
      </c>
      <c r="D153" s="251" t="str">
        <f t="shared" ca="1" si="21"/>
        <v/>
      </c>
      <c r="E153" s="251" t="str">
        <f t="shared" ca="1" si="22"/>
        <v/>
      </c>
      <c r="F153" s="251" t="str">
        <f t="shared" ca="1" si="23"/>
        <v/>
      </c>
      <c r="G153" s="251" t="str">
        <f t="shared" ca="1" si="24"/>
        <v/>
      </c>
      <c r="H153" s="208" t="str">
        <f ca="1">IF(G153="","",IF(VLOOKUP(VOC!F153,'Species Data'!D:E,3,FALSE)=0,"X",IF(G153&lt;44.1,2,1)))</f>
        <v/>
      </c>
      <c r="I153" s="208" t="str">
        <f t="shared" ca="1" si="25"/>
        <v/>
      </c>
      <c r="J153" s="252" t="str">
        <f ca="1">IF(I153="","",IF(COUNTIF($D$12:D153,D153)=1,IF(H153=1,I153*H153,IF(H153="X","X",0)),0))</f>
        <v/>
      </c>
      <c r="K153" s="253" t="str">
        <f t="shared" ca="1" si="26"/>
        <v/>
      </c>
      <c r="L153" s="243"/>
      <c r="M153" s="212"/>
      <c r="N153" s="212"/>
      <c r="O153" s="213"/>
      <c r="P153" s="212"/>
      <c r="Q153" s="214"/>
      <c r="R153" s="212"/>
      <c r="S153" s="212"/>
      <c r="T153" s="212"/>
      <c r="U153" s="212"/>
      <c r="V153" s="214"/>
      <c r="W153" s="214"/>
      <c r="X153" s="214"/>
      <c r="Y153" s="214"/>
      <c r="Z153" s="214"/>
      <c r="AA153" s="212"/>
      <c r="AB153" s="212"/>
      <c r="AC153" s="212"/>
      <c r="AD153" s="214"/>
      <c r="AE153" s="214"/>
      <c r="AF153" s="214"/>
      <c r="AG153" s="214"/>
      <c r="AH153" s="212"/>
      <c r="AI153" s="212"/>
      <c r="AJ153" s="212"/>
      <c r="AK153" s="212"/>
      <c r="AL153" s="212"/>
      <c r="AM153" s="214"/>
      <c r="AN153" s="214"/>
      <c r="AO153" s="212"/>
      <c r="AP153" s="212"/>
      <c r="AQ153" s="214"/>
      <c r="AR153" s="214"/>
      <c r="AS153" s="212"/>
    </row>
    <row r="154" spans="1:45" ht="15" customHeight="1" x14ac:dyDescent="0.25">
      <c r="A154" s="250" t="str">
        <f t="shared" si="28"/>
        <v/>
      </c>
      <c r="B154" s="251" t="str">
        <f t="shared" si="20"/>
        <v/>
      </c>
      <c r="C154" s="251" t="str">
        <f>IF(B154="","",VLOOKUP(D154,'Species Data'!B:D,4,FALSE))</f>
        <v/>
      </c>
      <c r="D154" s="251" t="str">
        <f t="shared" ca="1" si="21"/>
        <v/>
      </c>
      <c r="E154" s="251" t="str">
        <f t="shared" ca="1" si="22"/>
        <v/>
      </c>
      <c r="F154" s="251" t="str">
        <f t="shared" ca="1" si="23"/>
        <v/>
      </c>
      <c r="G154" s="251" t="str">
        <f t="shared" ca="1" si="24"/>
        <v/>
      </c>
      <c r="H154" s="208" t="str">
        <f ca="1">IF(G154="","",IF(VLOOKUP(VOC!F154,'Species Data'!D:E,3,FALSE)=0,"X",IF(G154&lt;44.1,2,1)))</f>
        <v/>
      </c>
      <c r="I154" s="208" t="str">
        <f t="shared" ca="1" si="25"/>
        <v/>
      </c>
      <c r="J154" s="252" t="str">
        <f ca="1">IF(I154="","",IF(COUNTIF($D$12:D154,D154)=1,IF(H154=1,I154*H154,IF(H154="X","X",0)),0))</f>
        <v/>
      </c>
      <c r="K154" s="253" t="str">
        <f t="shared" ca="1" si="26"/>
        <v/>
      </c>
      <c r="L154" s="243"/>
      <c r="M154" s="212"/>
      <c r="N154" s="212"/>
      <c r="O154" s="213"/>
      <c r="P154" s="212"/>
      <c r="Q154" s="214"/>
      <c r="R154" s="212"/>
      <c r="S154" s="212"/>
      <c r="T154" s="212"/>
      <c r="U154" s="212"/>
      <c r="V154" s="214"/>
      <c r="W154" s="214"/>
      <c r="X154" s="214"/>
      <c r="Y154" s="214"/>
      <c r="Z154" s="214"/>
      <c r="AA154" s="212"/>
      <c r="AB154" s="212"/>
      <c r="AC154" s="212"/>
      <c r="AD154" s="214"/>
      <c r="AE154" s="214"/>
      <c r="AF154" s="214"/>
      <c r="AG154" s="214"/>
      <c r="AH154" s="212"/>
      <c r="AI154" s="212"/>
      <c r="AJ154" s="212"/>
      <c r="AK154" s="212"/>
      <c r="AL154" s="212"/>
      <c r="AM154" s="214"/>
      <c r="AN154" s="214"/>
      <c r="AO154" s="212"/>
      <c r="AP154" s="212"/>
      <c r="AQ154" s="214"/>
      <c r="AR154" s="214"/>
      <c r="AS154" s="212"/>
    </row>
    <row r="155" spans="1:45" x14ac:dyDescent="0.25">
      <c r="A155" s="250" t="str">
        <f t="shared" si="28"/>
        <v/>
      </c>
      <c r="B155" s="251" t="str">
        <f t="shared" si="20"/>
        <v/>
      </c>
      <c r="C155" s="251" t="str">
        <f>IF(B155="","",VLOOKUP(D155,'Species Data'!B:D,4,FALSE))</f>
        <v/>
      </c>
      <c r="D155" s="251" t="str">
        <f t="shared" ca="1" si="21"/>
        <v/>
      </c>
      <c r="E155" s="251" t="str">
        <f t="shared" ca="1" si="22"/>
        <v/>
      </c>
      <c r="F155" s="251" t="str">
        <f t="shared" ca="1" si="23"/>
        <v/>
      </c>
      <c r="G155" s="251" t="str">
        <f t="shared" ca="1" si="24"/>
        <v/>
      </c>
      <c r="H155" s="208" t="str">
        <f ca="1">IF(G155="","",IF(VLOOKUP(VOC!F155,'Species Data'!D:E,3,FALSE)=0,"X",IF(G155&lt;44.1,2,1)))</f>
        <v/>
      </c>
      <c r="I155" s="208" t="str">
        <f t="shared" ca="1" si="25"/>
        <v/>
      </c>
      <c r="J155" s="252" t="str">
        <f ca="1">IF(I155="","",IF(COUNTIF($D$12:D155,D155)=1,IF(H155=1,I155*H155,IF(H155="X","X",0)),0))</f>
        <v/>
      </c>
      <c r="K155" s="253" t="str">
        <f t="shared" ca="1" si="26"/>
        <v/>
      </c>
      <c r="L155" s="243"/>
      <c r="M155" s="212"/>
      <c r="N155" s="212"/>
      <c r="O155" s="213"/>
      <c r="P155" s="212"/>
      <c r="Q155" s="214"/>
      <c r="R155" s="212"/>
      <c r="S155" s="212"/>
      <c r="T155" s="212"/>
      <c r="U155" s="212"/>
      <c r="V155" s="214"/>
      <c r="W155" s="214"/>
      <c r="X155" s="214"/>
      <c r="Y155" s="214"/>
      <c r="Z155" s="214"/>
      <c r="AA155" s="212"/>
      <c r="AB155" s="212"/>
      <c r="AC155" s="212"/>
      <c r="AD155" s="214"/>
      <c r="AE155" s="214"/>
      <c r="AF155" s="214"/>
      <c r="AG155" s="214"/>
      <c r="AH155" s="212"/>
      <c r="AI155" s="212"/>
      <c r="AJ155" s="212"/>
      <c r="AK155" s="212"/>
      <c r="AL155" s="212"/>
      <c r="AM155" s="214"/>
      <c r="AN155" s="214"/>
      <c r="AO155" s="212"/>
      <c r="AP155" s="212"/>
      <c r="AQ155" s="214"/>
      <c r="AR155" s="214"/>
      <c r="AS155" s="212"/>
    </row>
    <row r="156" spans="1:45" x14ac:dyDescent="0.25">
      <c r="A156" s="250" t="str">
        <f t="shared" si="28"/>
        <v/>
      </c>
      <c r="B156" s="251" t="str">
        <f t="shared" si="20"/>
        <v/>
      </c>
      <c r="C156" s="251" t="str">
        <f>IF(B156="","",VLOOKUP(D156,'Species Data'!B:D,4,FALSE))</f>
        <v/>
      </c>
      <c r="D156" s="251" t="str">
        <f t="shared" ca="1" si="21"/>
        <v/>
      </c>
      <c r="E156" s="251" t="str">
        <f t="shared" ca="1" si="22"/>
        <v/>
      </c>
      <c r="F156" s="251" t="str">
        <f t="shared" ca="1" si="23"/>
        <v/>
      </c>
      <c r="G156" s="251" t="str">
        <f t="shared" ca="1" si="24"/>
        <v/>
      </c>
      <c r="H156" s="208" t="str">
        <f ca="1">IF(G156="","",IF(VLOOKUP(VOC!F156,'Species Data'!D:E,3,FALSE)=0,"X",IF(G156&lt;44.1,2,1)))</f>
        <v/>
      </c>
      <c r="I156" s="208" t="str">
        <f t="shared" ca="1" si="25"/>
        <v/>
      </c>
      <c r="J156" s="252" t="str">
        <f ca="1">IF(I156="","",IF(COUNTIF($D$12:D156,D156)=1,IF(H156=1,I156*H156,IF(H156="X","X",0)),0))</f>
        <v/>
      </c>
      <c r="K156" s="253" t="str">
        <f t="shared" ca="1" si="26"/>
        <v/>
      </c>
      <c r="L156" s="243"/>
      <c r="M156" s="212"/>
      <c r="N156" s="212"/>
      <c r="O156" s="213"/>
      <c r="P156" s="212"/>
      <c r="Q156" s="214"/>
      <c r="R156" s="212"/>
      <c r="S156" s="212"/>
      <c r="T156" s="212"/>
      <c r="U156" s="212"/>
      <c r="V156" s="214"/>
      <c r="W156" s="214"/>
      <c r="X156" s="214"/>
      <c r="Y156" s="214"/>
      <c r="Z156" s="214"/>
      <c r="AA156" s="212"/>
      <c r="AB156" s="212"/>
      <c r="AC156" s="212"/>
      <c r="AD156" s="214"/>
      <c r="AE156" s="214"/>
      <c r="AF156" s="214"/>
      <c r="AG156" s="214"/>
      <c r="AH156" s="212"/>
      <c r="AI156" s="212"/>
      <c r="AJ156" s="212"/>
      <c r="AK156" s="212"/>
      <c r="AL156" s="212"/>
      <c r="AM156" s="214"/>
      <c r="AN156" s="214"/>
      <c r="AO156" s="212"/>
      <c r="AP156" s="212"/>
      <c r="AQ156" s="214"/>
      <c r="AR156" s="214"/>
      <c r="AS156" s="212"/>
    </row>
    <row r="157" spans="1:45" x14ac:dyDescent="0.25">
      <c r="A157" s="250" t="str">
        <f t="shared" si="28"/>
        <v/>
      </c>
      <c r="B157" s="251" t="str">
        <f t="shared" si="20"/>
        <v/>
      </c>
      <c r="C157" s="251" t="str">
        <f>IF(B157="","",VLOOKUP(D157,'Species Data'!B:D,4,FALSE))</f>
        <v/>
      </c>
      <c r="D157" s="251" t="str">
        <f t="shared" ca="1" si="21"/>
        <v/>
      </c>
      <c r="E157" s="251" t="str">
        <f t="shared" ca="1" si="22"/>
        <v/>
      </c>
      <c r="F157" s="251" t="str">
        <f t="shared" ca="1" si="23"/>
        <v/>
      </c>
      <c r="G157" s="251" t="str">
        <f t="shared" ca="1" si="24"/>
        <v/>
      </c>
      <c r="H157" s="208" t="str">
        <f ca="1">IF(G157="","",IF(VLOOKUP(VOC!F157,'Species Data'!D:E,3,FALSE)=0,"X",IF(G157&lt;44.1,2,1)))</f>
        <v/>
      </c>
      <c r="I157" s="208" t="str">
        <f t="shared" ca="1" si="25"/>
        <v/>
      </c>
      <c r="J157" s="252" t="str">
        <f ca="1">IF(I157="","",IF(COUNTIF($D$12:D157,D157)=1,IF(H157=1,I157*H157,IF(H157="X","X",0)),0))</f>
        <v/>
      </c>
      <c r="K157" s="253" t="str">
        <f t="shared" ca="1" si="26"/>
        <v/>
      </c>
      <c r="L157" s="243"/>
      <c r="M157" s="212"/>
      <c r="N157" s="212"/>
      <c r="O157" s="213"/>
      <c r="P157" s="212"/>
      <c r="Q157" s="214"/>
      <c r="R157" s="212"/>
      <c r="S157" s="212"/>
      <c r="T157" s="212"/>
      <c r="U157" s="212"/>
      <c r="V157" s="214"/>
      <c r="W157" s="214"/>
      <c r="X157" s="214"/>
      <c r="Y157" s="214"/>
      <c r="Z157" s="214"/>
      <c r="AA157" s="212"/>
      <c r="AB157" s="212"/>
      <c r="AC157" s="212"/>
      <c r="AD157" s="214"/>
      <c r="AE157" s="214"/>
      <c r="AF157" s="214"/>
      <c r="AG157" s="214"/>
      <c r="AH157" s="212"/>
      <c r="AI157" s="212"/>
      <c r="AJ157" s="212"/>
      <c r="AK157" s="212"/>
      <c r="AL157" s="212"/>
      <c r="AM157" s="214"/>
      <c r="AN157" s="214"/>
      <c r="AO157" s="212"/>
      <c r="AP157" s="212"/>
      <c r="AQ157" s="214"/>
      <c r="AR157" s="214"/>
      <c r="AS157" s="212"/>
    </row>
    <row r="158" spans="1:45" x14ac:dyDescent="0.25">
      <c r="A158" s="250" t="str">
        <f t="shared" si="28"/>
        <v/>
      </c>
      <c r="B158" s="251" t="str">
        <f t="shared" si="20"/>
        <v/>
      </c>
      <c r="C158" s="251" t="str">
        <f>IF(B158="","",VLOOKUP(D158,'Species Data'!B:D,4,FALSE))</f>
        <v/>
      </c>
      <c r="D158" s="251" t="str">
        <f t="shared" ca="1" si="21"/>
        <v/>
      </c>
      <c r="E158" s="251" t="str">
        <f t="shared" ca="1" si="22"/>
        <v/>
      </c>
      <c r="F158" s="251" t="str">
        <f t="shared" ca="1" si="23"/>
        <v/>
      </c>
      <c r="G158" s="251" t="str">
        <f t="shared" ca="1" si="24"/>
        <v/>
      </c>
      <c r="H158" s="208" t="str">
        <f ca="1">IF(G158="","",IF(VLOOKUP(VOC!F158,'Species Data'!D:E,3,FALSE)=0,"X",IF(G158&lt;44.1,2,1)))</f>
        <v/>
      </c>
      <c r="I158" s="208" t="str">
        <f t="shared" ca="1" si="25"/>
        <v/>
      </c>
      <c r="J158" s="252" t="str">
        <f ca="1">IF(I158="","",IF(COUNTIF($D$12:D158,D158)=1,IF(H158=1,I158*H158,IF(H158="X","X",0)),0))</f>
        <v/>
      </c>
      <c r="K158" s="253" t="str">
        <f t="shared" ca="1" si="26"/>
        <v/>
      </c>
      <c r="L158" s="243"/>
      <c r="M158" s="212"/>
      <c r="N158" s="212"/>
      <c r="O158" s="213"/>
      <c r="P158" s="212"/>
      <c r="Q158" s="214"/>
      <c r="R158" s="212"/>
      <c r="S158" s="212"/>
      <c r="T158" s="212"/>
      <c r="U158" s="212"/>
      <c r="V158" s="214"/>
      <c r="W158" s="214"/>
      <c r="X158" s="214"/>
      <c r="Y158" s="214"/>
      <c r="Z158" s="214"/>
      <c r="AA158" s="212"/>
      <c r="AB158" s="212"/>
      <c r="AC158" s="212"/>
      <c r="AD158" s="214"/>
      <c r="AE158" s="214"/>
      <c r="AF158" s="214"/>
      <c r="AG158" s="214"/>
      <c r="AH158" s="212"/>
      <c r="AI158" s="212"/>
      <c r="AJ158" s="212"/>
      <c r="AK158" s="212"/>
      <c r="AL158" s="212"/>
      <c r="AM158" s="214"/>
      <c r="AN158" s="214"/>
      <c r="AO158" s="212"/>
      <c r="AP158" s="212"/>
      <c r="AQ158" s="214"/>
      <c r="AR158" s="214"/>
      <c r="AS158" s="212"/>
    </row>
    <row r="159" spans="1:45" x14ac:dyDescent="0.25">
      <c r="A159" s="250" t="str">
        <f t="shared" si="28"/>
        <v/>
      </c>
      <c r="B159" s="251" t="str">
        <f t="shared" si="20"/>
        <v/>
      </c>
      <c r="C159" s="251" t="str">
        <f>IF(B159="","",VLOOKUP(D159,'Species Data'!B:D,4,FALSE))</f>
        <v/>
      </c>
      <c r="D159" s="251" t="str">
        <f t="shared" ca="1" si="21"/>
        <v/>
      </c>
      <c r="E159" s="251" t="str">
        <f t="shared" ca="1" si="22"/>
        <v/>
      </c>
      <c r="F159" s="251" t="str">
        <f t="shared" ca="1" si="23"/>
        <v/>
      </c>
      <c r="G159" s="251" t="str">
        <f t="shared" ca="1" si="24"/>
        <v/>
      </c>
      <c r="H159" s="208" t="str">
        <f ca="1">IF(G159="","",IF(VLOOKUP(VOC!F159,'Species Data'!D:E,3,FALSE)=0,"X",IF(G159&lt;44.1,2,1)))</f>
        <v/>
      </c>
      <c r="I159" s="208" t="str">
        <f t="shared" ca="1" si="25"/>
        <v/>
      </c>
      <c r="J159" s="252" t="str">
        <f ca="1">IF(I159="","",IF(COUNTIF($D$12:D159,D159)=1,IF(H159=1,I159*H159,IF(H159="X","X",0)),0))</f>
        <v/>
      </c>
      <c r="K159" s="253" t="str">
        <f t="shared" ca="1" si="26"/>
        <v/>
      </c>
      <c r="L159" s="243"/>
      <c r="M159" s="212"/>
      <c r="N159" s="212"/>
      <c r="O159" s="213"/>
      <c r="P159" s="212"/>
      <c r="Q159" s="214"/>
      <c r="R159" s="212"/>
      <c r="S159" s="212"/>
      <c r="T159" s="212"/>
      <c r="U159" s="212"/>
      <c r="V159" s="214"/>
      <c r="W159" s="214"/>
      <c r="X159" s="214"/>
      <c r="Y159" s="214"/>
      <c r="Z159" s="214"/>
      <c r="AA159" s="212"/>
      <c r="AB159" s="212"/>
      <c r="AC159" s="212"/>
      <c r="AD159" s="214"/>
      <c r="AE159" s="214"/>
      <c r="AF159" s="214"/>
      <c r="AG159" s="214"/>
      <c r="AH159" s="212"/>
      <c r="AI159" s="212"/>
      <c r="AJ159" s="212"/>
      <c r="AK159" s="212"/>
      <c r="AL159" s="212"/>
      <c r="AM159" s="214"/>
      <c r="AN159" s="214"/>
      <c r="AO159" s="212"/>
      <c r="AP159" s="212"/>
      <c r="AQ159" s="214"/>
      <c r="AR159" s="214"/>
      <c r="AS159" s="212"/>
    </row>
    <row r="160" spans="1:45" x14ac:dyDescent="0.25">
      <c r="A160" s="250" t="str">
        <f t="shared" si="28"/>
        <v/>
      </c>
      <c r="B160" s="251" t="str">
        <f t="shared" si="20"/>
        <v/>
      </c>
      <c r="C160" s="251" t="str">
        <f>IF(B160="","",VLOOKUP(D160,'Species Data'!B:D,4,FALSE))</f>
        <v/>
      </c>
      <c r="D160" s="251" t="str">
        <f t="shared" ca="1" si="21"/>
        <v/>
      </c>
      <c r="E160" s="251" t="str">
        <f t="shared" ca="1" si="22"/>
        <v/>
      </c>
      <c r="F160" s="251" t="str">
        <f t="shared" ca="1" si="23"/>
        <v/>
      </c>
      <c r="G160" s="251" t="str">
        <f t="shared" ca="1" si="24"/>
        <v/>
      </c>
      <c r="H160" s="208" t="str">
        <f ca="1">IF(G160="","",IF(VLOOKUP(VOC!F160,'Species Data'!D:E,3,FALSE)=0,"X",IF(G160&lt;44.1,2,1)))</f>
        <v/>
      </c>
      <c r="I160" s="208" t="str">
        <f t="shared" ca="1" si="25"/>
        <v/>
      </c>
      <c r="J160" s="252" t="str">
        <f ca="1">IF(I160="","",IF(COUNTIF($D$12:D160,D160)=1,IF(H160=1,I160*H160,IF(H160="X","X",0)),0))</f>
        <v/>
      </c>
      <c r="K160" s="253" t="str">
        <f t="shared" ca="1" si="26"/>
        <v/>
      </c>
      <c r="L160" s="243"/>
      <c r="M160" s="212"/>
      <c r="N160" s="212"/>
      <c r="O160" s="213"/>
      <c r="P160" s="212"/>
      <c r="Q160" s="214"/>
      <c r="R160" s="212"/>
      <c r="S160" s="212"/>
      <c r="T160" s="212"/>
      <c r="U160" s="212"/>
      <c r="V160" s="214"/>
      <c r="W160" s="214"/>
      <c r="X160" s="214"/>
      <c r="Y160" s="214"/>
      <c r="Z160" s="214"/>
      <c r="AA160" s="212"/>
      <c r="AB160" s="212"/>
      <c r="AC160" s="212"/>
      <c r="AD160" s="214"/>
      <c r="AE160" s="214"/>
      <c r="AF160" s="214"/>
      <c r="AG160" s="214"/>
      <c r="AH160" s="212"/>
      <c r="AI160" s="212"/>
      <c r="AJ160" s="212"/>
      <c r="AK160" s="212"/>
      <c r="AL160" s="212"/>
      <c r="AM160" s="214"/>
      <c r="AN160" s="214"/>
      <c r="AO160" s="212"/>
      <c r="AP160" s="212"/>
      <c r="AQ160" s="214"/>
      <c r="AR160" s="214"/>
      <c r="AS160" s="212"/>
    </row>
    <row r="161" spans="1:45" x14ac:dyDescent="0.25">
      <c r="A161" s="250" t="str">
        <f t="shared" si="28"/>
        <v/>
      </c>
      <c r="B161" s="251" t="str">
        <f t="shared" si="20"/>
        <v/>
      </c>
      <c r="C161" s="251" t="str">
        <f>IF(B161="","",VLOOKUP(D161,'Species Data'!B:D,4,FALSE))</f>
        <v/>
      </c>
      <c r="D161" s="251" t="str">
        <f t="shared" ca="1" si="21"/>
        <v/>
      </c>
      <c r="E161" s="251" t="str">
        <f t="shared" ca="1" si="22"/>
        <v/>
      </c>
      <c r="F161" s="251" t="str">
        <f t="shared" ca="1" si="23"/>
        <v/>
      </c>
      <c r="G161" s="251" t="str">
        <f t="shared" ca="1" si="24"/>
        <v/>
      </c>
      <c r="H161" s="208" t="str">
        <f ca="1">IF(G161="","",IF(VLOOKUP(VOC!F161,'Species Data'!D:E,3,FALSE)=0,"X",IF(G161&lt;44.1,2,1)))</f>
        <v/>
      </c>
      <c r="I161" s="208" t="str">
        <f t="shared" ca="1" si="25"/>
        <v/>
      </c>
      <c r="J161" s="252" t="str">
        <f ca="1">IF(I161="","",IF(COUNTIF($D$12:D161,D161)=1,IF(H161=1,I161*H161,IF(H161="X","X",0)),0))</f>
        <v/>
      </c>
      <c r="K161" s="253" t="str">
        <f t="shared" ca="1" si="26"/>
        <v/>
      </c>
      <c r="L161" s="243"/>
      <c r="M161" s="212"/>
      <c r="N161" s="212"/>
      <c r="O161" s="213"/>
      <c r="P161" s="212"/>
      <c r="Q161" s="214"/>
      <c r="R161" s="212"/>
      <c r="S161" s="212"/>
      <c r="T161" s="212"/>
      <c r="U161" s="212"/>
      <c r="V161" s="214"/>
      <c r="W161" s="214"/>
      <c r="X161" s="214"/>
      <c r="Y161" s="214"/>
      <c r="Z161" s="214"/>
      <c r="AA161" s="212"/>
      <c r="AB161" s="212"/>
      <c r="AC161" s="212"/>
      <c r="AD161" s="214"/>
      <c r="AE161" s="214"/>
      <c r="AF161" s="214"/>
      <c r="AG161" s="214"/>
      <c r="AH161" s="212"/>
      <c r="AI161" s="212"/>
      <c r="AJ161" s="212"/>
      <c r="AK161" s="212"/>
      <c r="AL161" s="212"/>
      <c r="AM161" s="214"/>
      <c r="AN161" s="214"/>
      <c r="AO161" s="212"/>
      <c r="AP161" s="212"/>
      <c r="AQ161" s="214"/>
      <c r="AR161" s="214"/>
      <c r="AS161" s="212"/>
    </row>
    <row r="162" spans="1:45" x14ac:dyDescent="0.25">
      <c r="A162" s="250" t="str">
        <f t="shared" si="28"/>
        <v/>
      </c>
      <c r="B162" s="251" t="str">
        <f t="shared" si="20"/>
        <v/>
      </c>
      <c r="C162" s="251" t="str">
        <f>IF(B162="","",VLOOKUP(D162,'Species Data'!B:D,4,FALSE))</f>
        <v/>
      </c>
      <c r="D162" s="251" t="str">
        <f t="shared" ca="1" si="21"/>
        <v/>
      </c>
      <c r="E162" s="251" t="str">
        <f t="shared" ca="1" si="22"/>
        <v/>
      </c>
      <c r="F162" s="251" t="str">
        <f t="shared" ca="1" si="23"/>
        <v/>
      </c>
      <c r="G162" s="251" t="str">
        <f t="shared" ca="1" si="24"/>
        <v/>
      </c>
      <c r="H162" s="208" t="str">
        <f ca="1">IF(G162="","",IF(VLOOKUP(VOC!F162,'Species Data'!D:E,3,FALSE)=0,"X",IF(G162&lt;44.1,2,1)))</f>
        <v/>
      </c>
      <c r="I162" s="208" t="str">
        <f t="shared" ca="1" si="25"/>
        <v/>
      </c>
      <c r="J162" s="252" t="str">
        <f ca="1">IF(I162="","",IF(COUNTIF($D$12:D162,D162)=1,IF(H162=1,I162*H162,IF(H162="X","X",0)),0))</f>
        <v/>
      </c>
      <c r="K162" s="253" t="str">
        <f t="shared" ca="1" si="26"/>
        <v/>
      </c>
      <c r="L162" s="243"/>
      <c r="M162" s="212"/>
      <c r="N162" s="212"/>
      <c r="O162" s="213"/>
      <c r="P162" s="212"/>
      <c r="Q162" s="214"/>
      <c r="R162" s="212"/>
      <c r="S162" s="212"/>
      <c r="T162" s="212"/>
      <c r="U162" s="212"/>
      <c r="V162" s="214"/>
      <c r="W162" s="214"/>
      <c r="X162" s="214"/>
      <c r="Y162" s="214"/>
      <c r="Z162" s="214"/>
      <c r="AA162" s="212"/>
      <c r="AB162" s="212"/>
      <c r="AC162" s="212"/>
      <c r="AD162" s="214"/>
      <c r="AE162" s="214"/>
      <c r="AF162" s="214"/>
      <c r="AG162" s="214"/>
      <c r="AH162" s="212"/>
      <c r="AI162" s="212"/>
      <c r="AJ162" s="212"/>
      <c r="AK162" s="212"/>
      <c r="AL162" s="212"/>
      <c r="AM162" s="214"/>
      <c r="AN162" s="214"/>
      <c r="AO162" s="212"/>
      <c r="AP162" s="212"/>
      <c r="AQ162" s="214"/>
      <c r="AR162" s="214"/>
      <c r="AS162" s="212"/>
    </row>
    <row r="163" spans="1:45" x14ac:dyDescent="0.25">
      <c r="A163" s="250" t="str">
        <f t="shared" si="28"/>
        <v/>
      </c>
      <c r="B163" s="251" t="str">
        <f t="shared" si="20"/>
        <v/>
      </c>
      <c r="C163" s="251" t="str">
        <f>IF(B163="","",VLOOKUP(D163,'Species Data'!B:D,4,FALSE))</f>
        <v/>
      </c>
      <c r="D163" s="251" t="str">
        <f t="shared" ca="1" si="21"/>
        <v/>
      </c>
      <c r="E163" s="251" t="str">
        <f t="shared" ca="1" si="22"/>
        <v/>
      </c>
      <c r="F163" s="251" t="str">
        <f t="shared" ca="1" si="23"/>
        <v/>
      </c>
      <c r="G163" s="251" t="str">
        <f t="shared" ca="1" si="24"/>
        <v/>
      </c>
      <c r="H163" s="208" t="str">
        <f ca="1">IF(G163="","",IF(VLOOKUP(VOC!F163,'Species Data'!D:E,3,FALSE)=0,"X",IF(G163&lt;44.1,2,1)))</f>
        <v/>
      </c>
      <c r="I163" s="208" t="str">
        <f t="shared" ca="1" si="25"/>
        <v/>
      </c>
      <c r="J163" s="252" t="str">
        <f ca="1">IF(I163="","",IF(COUNTIF($D$12:D163,D163)=1,IF(H163=1,I163*H163,IF(H163="X","X",0)),0))</f>
        <v/>
      </c>
      <c r="K163" s="253" t="str">
        <f t="shared" ca="1" si="26"/>
        <v/>
      </c>
      <c r="L163" s="243"/>
      <c r="M163" s="212"/>
      <c r="N163" s="212"/>
      <c r="O163" s="213"/>
      <c r="P163" s="212"/>
      <c r="Q163" s="214"/>
      <c r="R163" s="212"/>
      <c r="S163" s="212"/>
      <c r="T163" s="212"/>
      <c r="U163" s="212"/>
      <c r="V163" s="214"/>
      <c r="W163" s="214"/>
      <c r="X163" s="214"/>
      <c r="Y163" s="214"/>
      <c r="Z163" s="214"/>
      <c r="AA163" s="212"/>
      <c r="AB163" s="212"/>
      <c r="AC163" s="212"/>
      <c r="AD163" s="214"/>
      <c r="AE163" s="214"/>
      <c r="AF163" s="214"/>
      <c r="AG163" s="214"/>
      <c r="AH163" s="212"/>
      <c r="AI163" s="212"/>
      <c r="AJ163" s="212"/>
      <c r="AK163" s="212"/>
      <c r="AL163" s="212"/>
      <c r="AM163" s="214"/>
      <c r="AN163" s="214"/>
      <c r="AO163" s="212"/>
      <c r="AP163" s="212"/>
      <c r="AQ163" s="214"/>
      <c r="AR163" s="214"/>
      <c r="AS163" s="212"/>
    </row>
    <row r="164" spans="1:45" x14ac:dyDescent="0.25">
      <c r="A164" s="250" t="str">
        <f t="shared" si="28"/>
        <v/>
      </c>
      <c r="B164" s="251" t="str">
        <f t="shared" si="20"/>
        <v/>
      </c>
      <c r="C164" s="251" t="str">
        <f>IF(B164="","",VLOOKUP(D164,'Species Data'!B:D,4,FALSE))</f>
        <v/>
      </c>
      <c r="D164" s="251" t="str">
        <f t="shared" ca="1" si="21"/>
        <v/>
      </c>
      <c r="E164" s="251" t="str">
        <f t="shared" ca="1" si="22"/>
        <v/>
      </c>
      <c r="F164" s="251" t="str">
        <f t="shared" ca="1" si="23"/>
        <v/>
      </c>
      <c r="G164" s="251" t="str">
        <f t="shared" ca="1" si="24"/>
        <v/>
      </c>
      <c r="H164" s="208" t="str">
        <f ca="1">IF(G164="","",IF(VLOOKUP(VOC!F164,'Species Data'!D:E,3,FALSE)=0,"X",IF(G164&lt;44.1,2,1)))</f>
        <v/>
      </c>
      <c r="I164" s="208" t="str">
        <f t="shared" ca="1" si="25"/>
        <v/>
      </c>
      <c r="J164" s="252" t="str">
        <f ca="1">IF(I164="","",IF(COUNTIF($D$12:D164,D164)=1,IF(H164=1,I164*H164,IF(H164="X","X",0)),0))</f>
        <v/>
      </c>
      <c r="K164" s="253" t="str">
        <f t="shared" ca="1" si="26"/>
        <v/>
      </c>
      <c r="L164" s="243"/>
      <c r="M164" s="212"/>
      <c r="N164" s="212"/>
      <c r="O164" s="213"/>
      <c r="P164" s="212"/>
      <c r="Q164" s="214"/>
      <c r="R164" s="212"/>
      <c r="S164" s="212"/>
      <c r="T164" s="212"/>
      <c r="U164" s="212"/>
      <c r="V164" s="214"/>
      <c r="W164" s="214"/>
      <c r="X164" s="214"/>
      <c r="Y164" s="214"/>
      <c r="Z164" s="214"/>
      <c r="AA164" s="212"/>
      <c r="AB164" s="212"/>
      <c r="AC164" s="212"/>
      <c r="AD164" s="214"/>
      <c r="AE164" s="214"/>
      <c r="AF164" s="214"/>
      <c r="AG164" s="214"/>
      <c r="AH164" s="212"/>
      <c r="AI164" s="212"/>
      <c r="AJ164" s="212"/>
      <c r="AK164" s="212"/>
      <c r="AL164" s="212"/>
      <c r="AM164" s="214"/>
      <c r="AN164" s="214"/>
      <c r="AO164" s="212"/>
      <c r="AP164" s="212"/>
      <c r="AQ164" s="214"/>
      <c r="AR164" s="214"/>
      <c r="AS164" s="212"/>
    </row>
    <row r="165" spans="1:45" x14ac:dyDescent="0.25">
      <c r="A165" s="250" t="str">
        <f t="shared" si="28"/>
        <v/>
      </c>
      <c r="B165" s="251" t="str">
        <f t="shared" si="20"/>
        <v/>
      </c>
      <c r="C165" s="251" t="str">
        <f>IF(B165="","",VLOOKUP(D165,'Species Data'!B:D,4,FALSE))</f>
        <v/>
      </c>
      <c r="D165" s="251" t="str">
        <f t="shared" ca="1" si="21"/>
        <v/>
      </c>
      <c r="E165" s="251" t="str">
        <f t="shared" ca="1" si="22"/>
        <v/>
      </c>
      <c r="F165" s="251" t="str">
        <f t="shared" ca="1" si="23"/>
        <v/>
      </c>
      <c r="G165" s="251" t="str">
        <f t="shared" ca="1" si="24"/>
        <v/>
      </c>
      <c r="H165" s="208" t="str">
        <f ca="1">IF(G165="","",IF(VLOOKUP(VOC!F165,'Species Data'!D:E,3,FALSE)=0,"X",IF(G165&lt;44.1,2,1)))</f>
        <v/>
      </c>
      <c r="I165" s="208" t="str">
        <f t="shared" ca="1" si="25"/>
        <v/>
      </c>
      <c r="J165" s="252" t="str">
        <f ca="1">IF(I165="","",IF(COUNTIF($D$12:D165,D165)=1,IF(H165=1,I165*H165,IF(H165="X","X",0)),0))</f>
        <v/>
      </c>
      <c r="K165" s="253" t="str">
        <f t="shared" ca="1" si="26"/>
        <v/>
      </c>
      <c r="L165" s="243"/>
      <c r="M165" s="212"/>
      <c r="N165" s="212"/>
      <c r="O165" s="213"/>
      <c r="P165" s="212"/>
      <c r="Q165" s="214"/>
      <c r="R165" s="212"/>
      <c r="S165" s="212"/>
      <c r="T165" s="212"/>
      <c r="U165" s="212"/>
      <c r="V165" s="214"/>
      <c r="W165" s="214"/>
      <c r="X165" s="214"/>
      <c r="Y165" s="214"/>
      <c r="Z165" s="214"/>
      <c r="AA165" s="212"/>
      <c r="AB165" s="212"/>
      <c r="AC165" s="212"/>
      <c r="AD165" s="214"/>
      <c r="AE165" s="214"/>
      <c r="AF165" s="214"/>
      <c r="AG165" s="214"/>
      <c r="AH165" s="212"/>
      <c r="AI165" s="212"/>
      <c r="AJ165" s="212"/>
      <c r="AK165" s="212"/>
      <c r="AL165" s="212"/>
      <c r="AM165" s="214"/>
      <c r="AN165" s="214"/>
      <c r="AO165" s="212"/>
      <c r="AP165" s="212"/>
      <c r="AQ165" s="214"/>
      <c r="AR165" s="214"/>
      <c r="AS165" s="212"/>
    </row>
    <row r="166" spans="1:45" ht="13.5" customHeight="1" x14ac:dyDescent="0.25">
      <c r="A166" s="250" t="str">
        <f t="shared" si="28"/>
        <v/>
      </c>
      <c r="B166" s="251" t="str">
        <f t="shared" si="20"/>
        <v/>
      </c>
      <c r="C166" s="251" t="str">
        <f>IF(B166="","",VLOOKUP(D166,'Species Data'!B:D,4,FALSE))</f>
        <v/>
      </c>
      <c r="D166" s="251" t="str">
        <f t="shared" ca="1" si="21"/>
        <v/>
      </c>
      <c r="E166" s="251" t="str">
        <f t="shared" ca="1" si="22"/>
        <v/>
      </c>
      <c r="F166" s="251" t="str">
        <f t="shared" ca="1" si="23"/>
        <v/>
      </c>
      <c r="G166" s="251" t="str">
        <f t="shared" ca="1" si="24"/>
        <v/>
      </c>
      <c r="H166" s="208" t="str">
        <f ca="1">IF(G166="","",IF(VLOOKUP(VOC!F166,'Species Data'!D:E,3,FALSE)=0,"X",IF(G166&lt;44.1,2,1)))</f>
        <v/>
      </c>
      <c r="I166" s="208" t="str">
        <f t="shared" ca="1" si="25"/>
        <v/>
      </c>
      <c r="J166" s="252" t="str">
        <f ca="1">IF(I166="","",IF(COUNTIF($D$12:D166,D166)=1,IF(H166=1,I166*H166,IF(H166="X","X",0)),0))</f>
        <v/>
      </c>
      <c r="K166" s="253" t="str">
        <f t="shared" ca="1" si="26"/>
        <v/>
      </c>
      <c r="L166" s="243"/>
      <c r="M166" s="212"/>
      <c r="N166" s="212"/>
      <c r="O166" s="213"/>
      <c r="P166" s="212"/>
      <c r="Q166" s="214"/>
      <c r="R166" s="212"/>
      <c r="S166" s="212"/>
      <c r="T166" s="212"/>
      <c r="U166" s="212"/>
      <c r="V166" s="214"/>
      <c r="W166" s="214"/>
      <c r="X166" s="214"/>
      <c r="Y166" s="214"/>
      <c r="Z166" s="214"/>
      <c r="AA166" s="212"/>
      <c r="AB166" s="212"/>
      <c r="AC166" s="212"/>
      <c r="AD166" s="214"/>
      <c r="AE166" s="214"/>
      <c r="AF166" s="214"/>
      <c r="AG166" s="214"/>
      <c r="AH166" s="212"/>
      <c r="AI166" s="212"/>
      <c r="AJ166" s="212"/>
      <c r="AK166" s="212"/>
      <c r="AL166" s="212"/>
      <c r="AM166" s="214"/>
      <c r="AN166" s="214"/>
      <c r="AO166" s="212"/>
      <c r="AP166" s="212"/>
      <c r="AQ166" s="214"/>
      <c r="AR166" s="214"/>
      <c r="AS166" s="212"/>
    </row>
    <row r="167" spans="1:45" s="215" customFormat="1" ht="13.5" customHeight="1" x14ac:dyDescent="0.25">
      <c r="A167" s="250" t="str">
        <f t="shared" si="28"/>
        <v/>
      </c>
      <c r="B167" s="251" t="str">
        <f t="shared" si="20"/>
        <v/>
      </c>
      <c r="C167" s="251" t="str">
        <f>IF(B167="","",VLOOKUP(D167,'Species Data'!B:D,4,FALSE))</f>
        <v/>
      </c>
      <c r="D167" s="251" t="str">
        <f t="shared" ca="1" si="21"/>
        <v/>
      </c>
      <c r="E167" s="251" t="str">
        <f t="shared" ca="1" si="22"/>
        <v/>
      </c>
      <c r="F167" s="251" t="str">
        <f t="shared" ca="1" si="23"/>
        <v/>
      </c>
      <c r="G167" s="251" t="str">
        <f t="shared" ca="1" si="24"/>
        <v/>
      </c>
      <c r="H167" s="208" t="str">
        <f ca="1">IF(G167="","",IF(VLOOKUP(VOC!F167,'Species Data'!D:E,3,FALSE)=0,"X",IF(G167&lt;44.1,2,1)))</f>
        <v/>
      </c>
      <c r="I167" s="208" t="str">
        <f t="shared" ca="1" si="25"/>
        <v/>
      </c>
      <c r="J167" s="252" t="str">
        <f ca="1">IF(I167="","",IF(COUNTIF($D$12:D167,D167)=1,IF(H167=1,I167*H167,IF(H167="X","X",0)),0))</f>
        <v/>
      </c>
      <c r="K167" s="253" t="str">
        <f t="shared" ca="1" si="26"/>
        <v/>
      </c>
      <c r="L167" s="243"/>
      <c r="M167" s="212"/>
      <c r="N167" s="212"/>
      <c r="O167" s="213"/>
      <c r="P167" s="212"/>
      <c r="Q167" s="214"/>
      <c r="R167" s="212"/>
      <c r="S167" s="212"/>
      <c r="T167" s="212"/>
      <c r="U167" s="212"/>
      <c r="V167" s="214"/>
      <c r="W167" s="214"/>
      <c r="X167" s="214"/>
      <c r="Y167" s="214"/>
      <c r="Z167" s="214"/>
      <c r="AA167" s="212"/>
      <c r="AB167" s="212"/>
      <c r="AC167" s="212"/>
      <c r="AD167" s="214"/>
      <c r="AE167" s="214"/>
      <c r="AF167" s="214"/>
      <c r="AG167" s="214"/>
      <c r="AH167" s="212"/>
      <c r="AI167" s="212"/>
      <c r="AJ167" s="212"/>
      <c r="AK167" s="212"/>
      <c r="AL167" s="212"/>
      <c r="AM167" s="214"/>
      <c r="AN167" s="214"/>
      <c r="AO167" s="212"/>
      <c r="AP167" s="212"/>
      <c r="AQ167" s="214"/>
      <c r="AR167" s="214"/>
      <c r="AS167" s="212"/>
    </row>
    <row r="168" spans="1:45" s="215" customFormat="1" ht="13.5" customHeight="1" x14ac:dyDescent="0.25">
      <c r="A168" s="250" t="str">
        <f t="shared" si="28"/>
        <v/>
      </c>
      <c r="B168" s="251" t="str">
        <f t="shared" si="20"/>
        <v/>
      </c>
      <c r="C168" s="251" t="str">
        <f>IF(B168="","",VLOOKUP(D168,'Species Data'!B:D,4,FALSE))</f>
        <v/>
      </c>
      <c r="D168" s="251" t="str">
        <f t="shared" ca="1" si="21"/>
        <v/>
      </c>
      <c r="E168" s="251" t="str">
        <f t="shared" ca="1" si="22"/>
        <v/>
      </c>
      <c r="F168" s="251" t="str">
        <f t="shared" ca="1" si="23"/>
        <v/>
      </c>
      <c r="G168" s="251" t="str">
        <f t="shared" ca="1" si="24"/>
        <v/>
      </c>
      <c r="H168" s="208" t="str">
        <f ca="1">IF(G168="","",IF(VLOOKUP(VOC!F168,'Species Data'!D:E,3,FALSE)=0,"X",IF(G168&lt;44.1,2,1)))</f>
        <v/>
      </c>
      <c r="I168" s="208" t="str">
        <f t="shared" ca="1" si="25"/>
        <v/>
      </c>
      <c r="J168" s="252" t="str">
        <f ca="1">IF(I168="","",IF(COUNTIF($D$12:D168,D168)=1,IF(H168=1,I168*H168,IF(H168="X","X",0)),0))</f>
        <v/>
      </c>
      <c r="K168" s="253" t="str">
        <f t="shared" ca="1" si="26"/>
        <v/>
      </c>
      <c r="L168" s="243"/>
      <c r="M168" s="212"/>
      <c r="N168" s="212"/>
      <c r="O168" s="213"/>
      <c r="P168" s="212"/>
      <c r="Q168" s="214"/>
      <c r="R168" s="212"/>
      <c r="S168" s="212"/>
      <c r="T168" s="212"/>
      <c r="U168" s="212"/>
      <c r="V168" s="214"/>
      <c r="W168" s="214"/>
      <c r="X168" s="214"/>
      <c r="Y168" s="214"/>
      <c r="Z168" s="214"/>
      <c r="AA168" s="212"/>
      <c r="AB168" s="212"/>
      <c r="AC168" s="212"/>
      <c r="AD168" s="214"/>
      <c r="AE168" s="214"/>
      <c r="AF168" s="214"/>
      <c r="AG168" s="214"/>
      <c r="AH168" s="212"/>
      <c r="AI168" s="212"/>
      <c r="AJ168" s="212"/>
      <c r="AK168" s="212"/>
      <c r="AL168" s="212"/>
      <c r="AM168" s="214"/>
      <c r="AN168" s="214"/>
      <c r="AO168" s="212"/>
      <c r="AP168" s="212"/>
      <c r="AQ168" s="214"/>
      <c r="AR168" s="214"/>
      <c r="AS168" s="212"/>
    </row>
    <row r="169" spans="1:45" s="215" customFormat="1" ht="13.5" customHeight="1" x14ac:dyDescent="0.25">
      <c r="A169" s="250" t="str">
        <f t="shared" si="28"/>
        <v/>
      </c>
      <c r="B169" s="251" t="str">
        <f t="shared" si="20"/>
        <v/>
      </c>
      <c r="C169" s="251" t="str">
        <f>IF(B169="","",VLOOKUP(D169,'Species Data'!B:D,4,FALSE))</f>
        <v/>
      </c>
      <c r="D169" s="251" t="str">
        <f t="shared" ca="1" si="21"/>
        <v/>
      </c>
      <c r="E169" s="251" t="str">
        <f t="shared" ca="1" si="22"/>
        <v/>
      </c>
      <c r="F169" s="251" t="str">
        <f t="shared" ca="1" si="23"/>
        <v/>
      </c>
      <c r="G169" s="251" t="str">
        <f t="shared" ca="1" si="24"/>
        <v/>
      </c>
      <c r="H169" s="208" t="str">
        <f ca="1">IF(G169="","",IF(VLOOKUP(VOC!F169,'Species Data'!D:E,3,FALSE)=0,"X",IF(G169&lt;44.1,2,1)))</f>
        <v/>
      </c>
      <c r="I169" s="208" t="str">
        <f t="shared" ca="1" si="25"/>
        <v/>
      </c>
      <c r="J169" s="252" t="str">
        <f ca="1">IF(I169="","",IF(COUNTIF($D$12:D169,D169)=1,IF(H169=1,I169*H169,IF(H169="X","X",0)),0))</f>
        <v/>
      </c>
      <c r="K169" s="253" t="str">
        <f t="shared" ca="1" si="26"/>
        <v/>
      </c>
      <c r="L169" s="243"/>
      <c r="M169" s="212"/>
      <c r="N169" s="212"/>
      <c r="O169" s="213"/>
      <c r="P169" s="212"/>
      <c r="Q169" s="214"/>
      <c r="R169" s="212"/>
      <c r="S169" s="212"/>
      <c r="T169" s="212"/>
      <c r="U169" s="212"/>
      <c r="V169" s="214"/>
      <c r="W169" s="214"/>
      <c r="X169" s="214"/>
      <c r="Y169" s="214"/>
      <c r="Z169" s="214"/>
      <c r="AA169" s="212"/>
      <c r="AB169" s="212"/>
      <c r="AC169" s="212"/>
      <c r="AD169" s="214"/>
      <c r="AE169" s="214"/>
      <c r="AF169" s="214"/>
      <c r="AG169" s="214"/>
      <c r="AH169" s="212"/>
      <c r="AI169" s="212"/>
      <c r="AJ169" s="212"/>
      <c r="AK169" s="212"/>
      <c r="AL169" s="212"/>
      <c r="AM169" s="214"/>
      <c r="AN169" s="214"/>
      <c r="AO169" s="212"/>
      <c r="AP169" s="212"/>
      <c r="AQ169" s="214"/>
      <c r="AR169" s="214"/>
      <c r="AS169" s="212"/>
    </row>
    <row r="170" spans="1:45" s="215" customFormat="1" ht="13.5" customHeight="1" x14ac:dyDescent="0.25">
      <c r="A170" s="250" t="str">
        <f t="shared" si="28"/>
        <v/>
      </c>
      <c r="B170" s="251" t="str">
        <f t="shared" si="20"/>
        <v/>
      </c>
      <c r="C170" s="251" t="str">
        <f>IF(B170="","",VLOOKUP(D170,'Species Data'!B:D,4,FALSE))</f>
        <v/>
      </c>
      <c r="D170" s="251" t="str">
        <f t="shared" ca="1" si="21"/>
        <v/>
      </c>
      <c r="E170" s="251" t="str">
        <f t="shared" ca="1" si="22"/>
        <v/>
      </c>
      <c r="F170" s="251" t="str">
        <f t="shared" ca="1" si="23"/>
        <v/>
      </c>
      <c r="G170" s="251" t="str">
        <f t="shared" ca="1" si="24"/>
        <v/>
      </c>
      <c r="H170" s="208" t="str">
        <f ca="1">IF(G170="","",IF(VLOOKUP(VOC!F170,'Species Data'!D:E,3,FALSE)=0,"X",IF(G170&lt;44.1,2,1)))</f>
        <v/>
      </c>
      <c r="I170" s="208" t="str">
        <f t="shared" ca="1" si="25"/>
        <v/>
      </c>
      <c r="J170" s="252" t="str">
        <f ca="1">IF(I170="","",IF(COUNTIF($D$12:D170,D170)=1,IF(H170=1,I170*H170,IF(H170="X","X",0)),0))</f>
        <v/>
      </c>
      <c r="K170" s="253" t="str">
        <f t="shared" ca="1" si="26"/>
        <v/>
      </c>
      <c r="L170" s="243"/>
      <c r="M170" s="212"/>
      <c r="N170" s="212"/>
      <c r="O170" s="213"/>
      <c r="P170" s="212"/>
      <c r="Q170" s="214"/>
      <c r="R170" s="212"/>
      <c r="S170" s="212"/>
      <c r="T170" s="212"/>
      <c r="U170" s="212"/>
      <c r="V170" s="214"/>
      <c r="W170" s="214"/>
      <c r="X170" s="214"/>
      <c r="Y170" s="214"/>
      <c r="Z170" s="214"/>
      <c r="AA170" s="212"/>
      <c r="AB170" s="212"/>
      <c r="AC170" s="212"/>
      <c r="AD170" s="214"/>
      <c r="AE170" s="214"/>
      <c r="AF170" s="214"/>
      <c r="AG170" s="214"/>
      <c r="AH170" s="212"/>
      <c r="AI170" s="212"/>
      <c r="AJ170" s="212"/>
      <c r="AK170" s="212"/>
      <c r="AL170" s="212"/>
      <c r="AM170" s="214"/>
      <c r="AN170" s="214"/>
      <c r="AO170" s="212"/>
      <c r="AP170" s="212"/>
      <c r="AQ170" s="214"/>
      <c r="AR170" s="214"/>
      <c r="AS170" s="212"/>
    </row>
    <row r="171" spans="1:45" s="215" customFormat="1" ht="13.5" customHeight="1" x14ac:dyDescent="0.25">
      <c r="A171" s="250" t="str">
        <f t="shared" si="28"/>
        <v/>
      </c>
      <c r="B171" s="251" t="str">
        <f t="shared" si="20"/>
        <v/>
      </c>
      <c r="C171" s="251" t="str">
        <f>IF(B171="","",VLOOKUP(D171,'Species Data'!B:D,4,FALSE))</f>
        <v/>
      </c>
      <c r="D171" s="251" t="str">
        <f t="shared" ca="1" si="21"/>
        <v/>
      </c>
      <c r="E171" s="251" t="str">
        <f t="shared" ca="1" si="22"/>
        <v/>
      </c>
      <c r="F171" s="251" t="str">
        <f t="shared" ca="1" si="23"/>
        <v/>
      </c>
      <c r="G171" s="251" t="str">
        <f t="shared" ca="1" si="24"/>
        <v/>
      </c>
      <c r="H171" s="208" t="str">
        <f ca="1">IF(G171="","",IF(VLOOKUP(VOC!F171,'Species Data'!D:E,3,FALSE)=0,"X",IF(G171&lt;44.1,2,1)))</f>
        <v/>
      </c>
      <c r="I171" s="208" t="str">
        <f t="shared" ca="1" si="25"/>
        <v/>
      </c>
      <c r="J171" s="252" t="str">
        <f ca="1">IF(I171="","",IF(COUNTIF($D$12:D171,D171)=1,IF(H171=1,I171*H171,IF(H171="X","X",0)),0))</f>
        <v/>
      </c>
      <c r="K171" s="253" t="str">
        <f t="shared" ca="1" si="26"/>
        <v/>
      </c>
      <c r="L171" s="243"/>
      <c r="M171" s="212"/>
      <c r="N171" s="212"/>
      <c r="O171" s="213"/>
      <c r="P171" s="212"/>
      <c r="Q171" s="214"/>
      <c r="R171" s="212"/>
      <c r="S171" s="212"/>
      <c r="T171" s="212"/>
      <c r="U171" s="212"/>
      <c r="V171" s="214"/>
      <c r="W171" s="214"/>
      <c r="X171" s="214"/>
      <c r="Y171" s="214"/>
      <c r="Z171" s="214"/>
      <c r="AA171" s="212"/>
      <c r="AB171" s="212"/>
      <c r="AC171" s="212"/>
      <c r="AD171" s="214"/>
      <c r="AE171" s="214"/>
      <c r="AF171" s="214"/>
      <c r="AG171" s="214"/>
      <c r="AH171" s="212"/>
      <c r="AI171" s="212"/>
      <c r="AJ171" s="212"/>
      <c r="AK171" s="212"/>
      <c r="AL171" s="212"/>
      <c r="AM171" s="214"/>
      <c r="AN171" s="214"/>
      <c r="AO171" s="212"/>
      <c r="AP171" s="212"/>
      <c r="AQ171" s="214"/>
      <c r="AR171" s="214"/>
      <c r="AS171" s="212"/>
    </row>
    <row r="172" spans="1:45" s="215" customFormat="1" ht="13.5" customHeight="1" x14ac:dyDescent="0.25">
      <c r="A172" s="250" t="str">
        <f t="shared" si="28"/>
        <v/>
      </c>
      <c r="B172" s="251" t="str">
        <f t="shared" si="20"/>
        <v/>
      </c>
      <c r="C172" s="251" t="str">
        <f>IF(B172="","",VLOOKUP(D172,'Species Data'!B:D,4,FALSE))</f>
        <v/>
      </c>
      <c r="D172" s="251" t="str">
        <f t="shared" ca="1" si="21"/>
        <v/>
      </c>
      <c r="E172" s="251" t="str">
        <f t="shared" ca="1" si="22"/>
        <v/>
      </c>
      <c r="F172" s="251" t="str">
        <f t="shared" ca="1" si="23"/>
        <v/>
      </c>
      <c r="G172" s="251" t="str">
        <f t="shared" ca="1" si="24"/>
        <v/>
      </c>
      <c r="H172" s="208" t="str">
        <f ca="1">IF(G172="","",IF(VLOOKUP(VOC!F172,'Species Data'!D:E,3,FALSE)=0,"X",IF(G172&lt;44.1,2,1)))</f>
        <v/>
      </c>
      <c r="I172" s="208" t="str">
        <f t="shared" ca="1" si="25"/>
        <v/>
      </c>
      <c r="J172" s="252" t="str">
        <f ca="1">IF(I172="","",IF(COUNTIF($D$12:D172,D172)=1,IF(H172=1,I172*H172,IF(H172="X","X",0)),0))</f>
        <v/>
      </c>
      <c r="K172" s="253" t="str">
        <f t="shared" ca="1" si="26"/>
        <v/>
      </c>
      <c r="L172" s="243"/>
      <c r="M172" s="212"/>
      <c r="N172" s="212"/>
      <c r="O172" s="213"/>
      <c r="P172" s="212"/>
      <c r="Q172" s="214"/>
      <c r="R172" s="212"/>
      <c r="S172" s="212"/>
      <c r="T172" s="212"/>
      <c r="U172" s="212"/>
      <c r="V172" s="214"/>
      <c r="W172" s="214"/>
      <c r="X172" s="214"/>
      <c r="Y172" s="214"/>
      <c r="Z172" s="214"/>
      <c r="AA172" s="212"/>
      <c r="AB172" s="212"/>
      <c r="AC172" s="212"/>
      <c r="AD172" s="214"/>
      <c r="AE172" s="214"/>
      <c r="AF172" s="214"/>
      <c r="AG172" s="214"/>
      <c r="AH172" s="212"/>
      <c r="AI172" s="212"/>
      <c r="AJ172" s="212"/>
      <c r="AK172" s="212"/>
      <c r="AL172" s="212"/>
      <c r="AM172" s="214"/>
      <c r="AN172" s="214"/>
      <c r="AO172" s="212"/>
      <c r="AP172" s="212"/>
      <c r="AQ172" s="214"/>
      <c r="AR172" s="214"/>
      <c r="AS172" s="212"/>
    </row>
    <row r="173" spans="1:45" s="215" customFormat="1" ht="13.5" customHeight="1" x14ac:dyDescent="0.25">
      <c r="A173" s="250" t="str">
        <f t="shared" si="28"/>
        <v/>
      </c>
      <c r="B173" s="251" t="str">
        <f t="shared" si="20"/>
        <v/>
      </c>
      <c r="C173" s="251" t="str">
        <f>IF(B173="","",VLOOKUP(D173,'Species Data'!B:D,4,FALSE))</f>
        <v/>
      </c>
      <c r="D173" s="251" t="str">
        <f t="shared" ca="1" si="21"/>
        <v/>
      </c>
      <c r="E173" s="251" t="str">
        <f t="shared" ca="1" si="22"/>
        <v/>
      </c>
      <c r="F173" s="251" t="str">
        <f t="shared" ca="1" si="23"/>
        <v/>
      </c>
      <c r="G173" s="251" t="str">
        <f t="shared" ca="1" si="24"/>
        <v/>
      </c>
      <c r="H173" s="208" t="str">
        <f ca="1">IF(G173="","",IF(VLOOKUP(VOC!F173,'Species Data'!D:E,3,FALSE)=0,"X",IF(G173&lt;44.1,2,1)))</f>
        <v/>
      </c>
      <c r="I173" s="208" t="str">
        <f t="shared" ca="1" si="25"/>
        <v/>
      </c>
      <c r="J173" s="252" t="str">
        <f ca="1">IF(I173="","",IF(COUNTIF($D$12:D173,D173)=1,IF(H173=1,I173*H173,IF(H173="X","X",0)),0))</f>
        <v/>
      </c>
      <c r="K173" s="253" t="str">
        <f t="shared" ca="1" si="26"/>
        <v/>
      </c>
      <c r="L173" s="243"/>
      <c r="M173" s="212"/>
      <c r="N173" s="212"/>
      <c r="O173" s="213"/>
      <c r="P173" s="212"/>
      <c r="Q173" s="214"/>
      <c r="R173" s="212"/>
      <c r="S173" s="212"/>
      <c r="T173" s="212"/>
      <c r="U173" s="212"/>
      <c r="V173" s="214"/>
      <c r="W173" s="214"/>
      <c r="X173" s="214"/>
      <c r="Y173" s="214"/>
      <c r="Z173" s="214"/>
      <c r="AA173" s="212"/>
      <c r="AB173" s="212"/>
      <c r="AC173" s="212"/>
      <c r="AD173" s="214"/>
      <c r="AE173" s="214"/>
      <c r="AF173" s="214"/>
      <c r="AG173" s="214"/>
      <c r="AH173" s="212"/>
      <c r="AI173" s="212"/>
      <c r="AJ173" s="212"/>
      <c r="AK173" s="212"/>
      <c r="AL173" s="212"/>
      <c r="AM173" s="214"/>
      <c r="AN173" s="214"/>
      <c r="AO173" s="212"/>
      <c r="AP173" s="212"/>
      <c r="AQ173" s="214"/>
      <c r="AR173" s="214"/>
      <c r="AS173" s="212"/>
    </row>
    <row r="174" spans="1:45" s="215" customFormat="1" ht="13.5" customHeight="1" x14ac:dyDescent="0.25">
      <c r="A174" s="250" t="str">
        <f t="shared" si="28"/>
        <v/>
      </c>
      <c r="B174" s="251" t="str">
        <f t="shared" si="20"/>
        <v/>
      </c>
      <c r="C174" s="251" t="str">
        <f>IF(B174="","",VLOOKUP(D174,'Species Data'!B:D,4,FALSE))</f>
        <v/>
      </c>
      <c r="D174" s="251" t="str">
        <f t="shared" ca="1" si="21"/>
        <v/>
      </c>
      <c r="E174" s="251" t="str">
        <f t="shared" ca="1" si="22"/>
        <v/>
      </c>
      <c r="F174" s="251" t="str">
        <f t="shared" ca="1" si="23"/>
        <v/>
      </c>
      <c r="G174" s="251" t="str">
        <f t="shared" ca="1" si="24"/>
        <v/>
      </c>
      <c r="H174" s="208" t="str">
        <f ca="1">IF(G174="","",IF(VLOOKUP(VOC!F174,'Species Data'!D:E,3,FALSE)=0,"X",IF(G174&lt;44.1,2,1)))</f>
        <v/>
      </c>
      <c r="I174" s="208" t="str">
        <f t="shared" ca="1" si="25"/>
        <v/>
      </c>
      <c r="J174" s="252" t="str">
        <f ca="1">IF(I174="","",IF(COUNTIF($D$12:D174,D174)=1,IF(H174=1,I174*H174,IF(H174="X","X",0)),0))</f>
        <v/>
      </c>
      <c r="K174" s="253" t="str">
        <f t="shared" ca="1" si="26"/>
        <v/>
      </c>
      <c r="L174" s="243"/>
      <c r="M174" s="212"/>
      <c r="N174" s="212"/>
      <c r="O174" s="213"/>
      <c r="P174" s="212"/>
      <c r="Q174" s="214"/>
      <c r="R174" s="212"/>
      <c r="S174" s="212"/>
      <c r="T174" s="212"/>
      <c r="U174" s="212"/>
      <c r="V174" s="214"/>
      <c r="W174" s="214"/>
      <c r="X174" s="214"/>
      <c r="Y174" s="214"/>
      <c r="Z174" s="214"/>
      <c r="AA174" s="212"/>
      <c r="AB174" s="212"/>
      <c r="AC174" s="212"/>
      <c r="AD174" s="214"/>
      <c r="AE174" s="214"/>
      <c r="AF174" s="214"/>
      <c r="AG174" s="214"/>
      <c r="AH174" s="212"/>
      <c r="AI174" s="212"/>
      <c r="AJ174" s="212"/>
      <c r="AK174" s="212"/>
      <c r="AL174" s="212"/>
      <c r="AM174" s="214"/>
      <c r="AN174" s="214"/>
      <c r="AO174" s="212"/>
      <c r="AP174" s="212"/>
      <c r="AQ174" s="214"/>
      <c r="AR174" s="214"/>
      <c r="AS174" s="212"/>
    </row>
    <row r="175" spans="1:45" s="215" customFormat="1" ht="13.5" customHeight="1" x14ac:dyDescent="0.25">
      <c r="A175" s="250" t="str">
        <f t="shared" si="28"/>
        <v/>
      </c>
      <c r="B175" s="251" t="str">
        <f t="shared" si="20"/>
        <v/>
      </c>
      <c r="C175" s="251" t="str">
        <f>IF(B175="","",VLOOKUP(D175,'Species Data'!B:D,4,FALSE))</f>
        <v/>
      </c>
      <c r="D175" s="251" t="str">
        <f t="shared" ca="1" si="21"/>
        <v/>
      </c>
      <c r="E175" s="251" t="str">
        <f t="shared" ca="1" si="22"/>
        <v/>
      </c>
      <c r="F175" s="251" t="str">
        <f t="shared" ca="1" si="23"/>
        <v/>
      </c>
      <c r="G175" s="251" t="str">
        <f t="shared" ca="1" si="24"/>
        <v/>
      </c>
      <c r="H175" s="208" t="str">
        <f ca="1">IF(G175="","",IF(VLOOKUP(VOC!F175,'Species Data'!D:E,3,FALSE)=0,"X",IF(G175&lt;44.1,2,1)))</f>
        <v/>
      </c>
      <c r="I175" s="208" t="str">
        <f t="shared" ca="1" si="25"/>
        <v/>
      </c>
      <c r="J175" s="252" t="str">
        <f ca="1">IF(I175="","",IF(COUNTIF($D$12:D175,D175)=1,IF(H175=1,I175*H175,IF(H175="X","X",0)),0))</f>
        <v/>
      </c>
      <c r="K175" s="253" t="str">
        <f t="shared" ca="1" si="26"/>
        <v/>
      </c>
      <c r="L175" s="243"/>
      <c r="M175" s="212"/>
      <c r="N175" s="212"/>
      <c r="O175" s="213"/>
      <c r="P175" s="212"/>
      <c r="Q175" s="214"/>
      <c r="R175" s="212"/>
      <c r="S175" s="212"/>
      <c r="T175" s="212"/>
      <c r="U175" s="212"/>
      <c r="V175" s="214"/>
      <c r="W175" s="214"/>
      <c r="X175" s="214"/>
      <c r="Y175" s="214"/>
      <c r="Z175" s="214"/>
      <c r="AA175" s="212"/>
      <c r="AB175" s="212"/>
      <c r="AC175" s="212"/>
      <c r="AD175" s="214"/>
      <c r="AE175" s="214"/>
      <c r="AF175" s="214"/>
      <c r="AG175" s="214"/>
      <c r="AH175" s="212"/>
      <c r="AI175" s="212"/>
      <c r="AJ175" s="212"/>
      <c r="AK175" s="212"/>
      <c r="AL175" s="212"/>
      <c r="AM175" s="214"/>
      <c r="AN175" s="214"/>
      <c r="AO175" s="212"/>
      <c r="AP175" s="212"/>
      <c r="AQ175" s="214"/>
      <c r="AR175" s="214"/>
      <c r="AS175" s="212"/>
    </row>
    <row r="176" spans="1:45" s="215" customFormat="1" ht="13.5" customHeight="1" x14ac:dyDescent="0.25">
      <c r="A176" s="250" t="str">
        <f t="shared" si="28"/>
        <v/>
      </c>
      <c r="B176" s="251" t="str">
        <f t="shared" si="20"/>
        <v/>
      </c>
      <c r="C176" s="251" t="str">
        <f>IF(B176="","",VLOOKUP(D176,'Species Data'!B:D,4,FALSE))</f>
        <v/>
      </c>
      <c r="D176" s="251" t="str">
        <f t="shared" ca="1" si="21"/>
        <v/>
      </c>
      <c r="E176" s="251" t="str">
        <f t="shared" ca="1" si="22"/>
        <v/>
      </c>
      <c r="F176" s="251" t="str">
        <f t="shared" ca="1" si="23"/>
        <v/>
      </c>
      <c r="G176" s="251" t="str">
        <f t="shared" ca="1" si="24"/>
        <v/>
      </c>
      <c r="H176" s="208" t="str">
        <f ca="1">IF(G176="","",IF(VLOOKUP(VOC!F176,'Species Data'!D:E,3,FALSE)=0,"X",IF(G176&lt;44.1,2,1)))</f>
        <v/>
      </c>
      <c r="I176" s="208" t="str">
        <f t="shared" ca="1" si="25"/>
        <v/>
      </c>
      <c r="J176" s="252" t="str">
        <f ca="1">IF(I176="","",IF(COUNTIF($D$12:D176,D176)=1,IF(H176=1,I176*H176,IF(H176="X","X",0)),0))</f>
        <v/>
      </c>
      <c r="K176" s="253" t="str">
        <f t="shared" ca="1" si="26"/>
        <v/>
      </c>
      <c r="L176" s="243"/>
      <c r="M176" s="212"/>
      <c r="N176" s="212"/>
      <c r="O176" s="213"/>
      <c r="P176" s="212"/>
      <c r="Q176" s="214"/>
      <c r="R176" s="212"/>
      <c r="S176" s="212"/>
      <c r="T176" s="212"/>
      <c r="U176" s="212"/>
      <c r="V176" s="214"/>
      <c r="W176" s="214"/>
      <c r="X176" s="214"/>
      <c r="Y176" s="214"/>
      <c r="Z176" s="214"/>
      <c r="AA176" s="212"/>
      <c r="AB176" s="212"/>
      <c r="AC176" s="212"/>
      <c r="AD176" s="214"/>
      <c r="AE176" s="214"/>
      <c r="AF176" s="214"/>
      <c r="AG176" s="214"/>
      <c r="AH176" s="212"/>
      <c r="AI176" s="212"/>
      <c r="AJ176" s="212"/>
      <c r="AK176" s="212"/>
      <c r="AL176" s="212"/>
      <c r="AM176" s="214"/>
      <c r="AN176" s="214"/>
      <c r="AO176" s="212"/>
      <c r="AP176" s="212"/>
      <c r="AQ176" s="214"/>
      <c r="AR176" s="214"/>
      <c r="AS176" s="212"/>
    </row>
    <row r="177" spans="1:45" s="215" customFormat="1" ht="13.5" customHeight="1" x14ac:dyDescent="0.25">
      <c r="A177" s="250" t="str">
        <f t="shared" si="28"/>
        <v/>
      </c>
      <c r="B177" s="251" t="str">
        <f t="shared" si="20"/>
        <v/>
      </c>
      <c r="C177" s="251" t="str">
        <f>IF(B177="","",VLOOKUP(D177,'Species Data'!B:D,4,FALSE))</f>
        <v/>
      </c>
      <c r="D177" s="251" t="str">
        <f t="shared" ca="1" si="21"/>
        <v/>
      </c>
      <c r="E177" s="251" t="str">
        <f t="shared" ca="1" si="22"/>
        <v/>
      </c>
      <c r="F177" s="251" t="str">
        <f t="shared" ca="1" si="23"/>
        <v/>
      </c>
      <c r="G177" s="251" t="str">
        <f t="shared" ca="1" si="24"/>
        <v/>
      </c>
      <c r="H177" s="208" t="str">
        <f ca="1">IF(G177="","",IF(VLOOKUP(VOC!F177,'Species Data'!D:E,3,FALSE)=0,"X",IF(G177&lt;44.1,2,1)))</f>
        <v/>
      </c>
      <c r="I177" s="208" t="str">
        <f t="shared" ca="1" si="25"/>
        <v/>
      </c>
      <c r="J177" s="252" t="str">
        <f ca="1">IF(I177="","",IF(COUNTIF($D$12:D177,D177)=1,IF(H177=1,I177*H177,IF(H177="X","X",0)),0))</f>
        <v/>
      </c>
      <c r="K177" s="253" t="str">
        <f t="shared" ca="1" si="26"/>
        <v/>
      </c>
      <c r="L177" s="243"/>
      <c r="M177" s="212"/>
      <c r="N177" s="212"/>
      <c r="O177" s="213"/>
      <c r="P177" s="212"/>
      <c r="Q177" s="214"/>
      <c r="R177" s="212"/>
      <c r="S177" s="212"/>
      <c r="T177" s="212"/>
      <c r="U177" s="212"/>
      <c r="V177" s="214"/>
      <c r="W177" s="214"/>
      <c r="X177" s="214"/>
      <c r="Y177" s="214"/>
      <c r="Z177" s="214"/>
      <c r="AA177" s="212"/>
      <c r="AB177" s="212"/>
      <c r="AC177" s="212"/>
      <c r="AD177" s="214"/>
      <c r="AE177" s="214"/>
      <c r="AF177" s="214"/>
      <c r="AG177" s="214"/>
      <c r="AH177" s="212"/>
      <c r="AI177" s="212"/>
      <c r="AJ177" s="212"/>
      <c r="AK177" s="212"/>
      <c r="AL177" s="212"/>
      <c r="AM177" s="214"/>
      <c r="AN177" s="214"/>
      <c r="AO177" s="212"/>
      <c r="AP177" s="212"/>
      <c r="AQ177" s="214"/>
      <c r="AR177" s="214"/>
      <c r="AS177" s="212"/>
    </row>
    <row r="178" spans="1:45" s="215" customFormat="1" ht="13.5" customHeight="1" x14ac:dyDescent="0.25">
      <c r="A178" s="250" t="str">
        <f t="shared" si="28"/>
        <v/>
      </c>
      <c r="B178" s="251" t="str">
        <f t="shared" si="20"/>
        <v/>
      </c>
      <c r="C178" s="251" t="str">
        <f>IF(B178="","",VLOOKUP(D178,'Species Data'!B:D,4,FALSE))</f>
        <v/>
      </c>
      <c r="D178" s="251" t="str">
        <f t="shared" ca="1" si="21"/>
        <v/>
      </c>
      <c r="E178" s="251" t="str">
        <f t="shared" ca="1" si="22"/>
        <v/>
      </c>
      <c r="F178" s="251" t="str">
        <f t="shared" ca="1" si="23"/>
        <v/>
      </c>
      <c r="G178" s="251" t="str">
        <f t="shared" ca="1" si="24"/>
        <v/>
      </c>
      <c r="H178" s="208" t="str">
        <f ca="1">IF(G178="","",IF(VLOOKUP(VOC!F178,'Species Data'!D:E,3,FALSE)=0,"X",IF(G178&lt;44.1,2,1)))</f>
        <v/>
      </c>
      <c r="I178" s="208" t="str">
        <f t="shared" ca="1" si="25"/>
        <v/>
      </c>
      <c r="J178" s="252" t="str">
        <f ca="1">IF(I178="","",IF(COUNTIF($D$12:D178,D178)=1,IF(H178=1,I178*H178,IF(H178="X","X",0)),0))</f>
        <v/>
      </c>
      <c r="K178" s="253" t="str">
        <f t="shared" ca="1" si="26"/>
        <v/>
      </c>
      <c r="L178" s="243"/>
      <c r="M178" s="212"/>
      <c r="N178" s="212"/>
      <c r="O178" s="213"/>
      <c r="P178" s="212"/>
      <c r="Q178" s="214"/>
      <c r="R178" s="212"/>
      <c r="S178" s="212"/>
      <c r="T178" s="212"/>
      <c r="U178" s="212"/>
      <c r="V178" s="214"/>
      <c r="W178" s="214"/>
      <c r="X178" s="214"/>
      <c r="Y178" s="214"/>
      <c r="Z178" s="214"/>
      <c r="AA178" s="212"/>
      <c r="AB178" s="212"/>
      <c r="AC178" s="212"/>
      <c r="AD178" s="214"/>
      <c r="AE178" s="214"/>
      <c r="AF178" s="214"/>
      <c r="AG178" s="214"/>
      <c r="AH178" s="212"/>
      <c r="AI178" s="212"/>
      <c r="AJ178" s="212"/>
      <c r="AK178" s="212"/>
      <c r="AL178" s="212"/>
      <c r="AM178" s="214"/>
      <c r="AN178" s="214"/>
      <c r="AO178" s="212"/>
      <c r="AP178" s="212"/>
      <c r="AQ178" s="214"/>
      <c r="AR178" s="214"/>
      <c r="AS178" s="212"/>
    </row>
    <row r="179" spans="1:45" s="215" customFormat="1" ht="13.5" customHeight="1" x14ac:dyDescent="0.25">
      <c r="A179" s="250" t="str">
        <f t="shared" si="28"/>
        <v/>
      </c>
      <c r="B179" s="251" t="str">
        <f t="shared" si="20"/>
        <v/>
      </c>
      <c r="C179" s="251" t="str">
        <f>IF(B179="","",VLOOKUP(D179,'Species Data'!B:D,4,FALSE))</f>
        <v/>
      </c>
      <c r="D179" s="251" t="str">
        <f t="shared" ca="1" si="21"/>
        <v/>
      </c>
      <c r="E179" s="251" t="str">
        <f t="shared" ca="1" si="22"/>
        <v/>
      </c>
      <c r="F179" s="251" t="str">
        <f t="shared" ca="1" si="23"/>
        <v/>
      </c>
      <c r="G179" s="251" t="str">
        <f t="shared" ca="1" si="24"/>
        <v/>
      </c>
      <c r="H179" s="208" t="str">
        <f ca="1">IF(G179="","",IF(VLOOKUP(VOC!F179,'Species Data'!D:E,3,FALSE)=0,"X",IF(G179&lt;44.1,2,1)))</f>
        <v/>
      </c>
      <c r="I179" s="208" t="str">
        <f t="shared" ca="1" si="25"/>
        <v/>
      </c>
      <c r="J179" s="252" t="str">
        <f ca="1">IF(I179="","",IF(COUNTIF($D$12:D179,D179)=1,IF(H179=1,I179*H179,IF(H179="X","X",0)),0))</f>
        <v/>
      </c>
      <c r="K179" s="253" t="str">
        <f t="shared" ca="1" si="26"/>
        <v/>
      </c>
      <c r="L179" s="243"/>
      <c r="M179" s="212"/>
      <c r="N179" s="212"/>
      <c r="O179" s="213"/>
      <c r="P179" s="212"/>
      <c r="Q179" s="214"/>
      <c r="R179" s="212"/>
      <c r="S179" s="212"/>
      <c r="T179" s="212"/>
      <c r="U179" s="212"/>
      <c r="V179" s="214"/>
      <c r="W179" s="214"/>
      <c r="X179" s="214"/>
      <c r="Y179" s="214"/>
      <c r="Z179" s="214"/>
      <c r="AA179" s="212"/>
      <c r="AB179" s="212"/>
      <c r="AC179" s="212"/>
      <c r="AD179" s="214"/>
      <c r="AE179" s="214"/>
      <c r="AF179" s="214"/>
      <c r="AG179" s="214"/>
      <c r="AH179" s="212"/>
      <c r="AI179" s="212"/>
      <c r="AJ179" s="212"/>
      <c r="AK179" s="212"/>
      <c r="AL179" s="212"/>
      <c r="AM179" s="214"/>
      <c r="AN179" s="214"/>
      <c r="AO179" s="212"/>
      <c r="AP179" s="212"/>
      <c r="AQ179" s="214"/>
      <c r="AR179" s="214"/>
      <c r="AS179" s="212"/>
    </row>
    <row r="180" spans="1:45" s="215" customFormat="1" ht="13.5" customHeight="1" x14ac:dyDescent="0.25">
      <c r="A180" s="250" t="str">
        <f t="shared" si="28"/>
        <v/>
      </c>
      <c r="B180" s="251" t="str">
        <f t="shared" si="20"/>
        <v/>
      </c>
      <c r="C180" s="251" t="str">
        <f>IF(B180="","",VLOOKUP(D180,'Species Data'!B:D,4,FALSE))</f>
        <v/>
      </c>
      <c r="D180" s="251" t="str">
        <f t="shared" ca="1" si="21"/>
        <v/>
      </c>
      <c r="E180" s="251" t="str">
        <f t="shared" ca="1" si="22"/>
        <v/>
      </c>
      <c r="F180" s="251" t="str">
        <f t="shared" ca="1" si="23"/>
        <v/>
      </c>
      <c r="G180" s="251" t="str">
        <f t="shared" ca="1" si="24"/>
        <v/>
      </c>
      <c r="H180" s="208" t="str">
        <f ca="1">IF(G180="","",IF(VLOOKUP(VOC!F180,'Species Data'!D:E,3,FALSE)=0,"X",IF(G180&lt;44.1,2,1)))</f>
        <v/>
      </c>
      <c r="I180" s="208" t="str">
        <f t="shared" ca="1" si="25"/>
        <v/>
      </c>
      <c r="J180" s="252" t="str">
        <f ca="1">IF(I180="","",IF(COUNTIF($D$12:D180,D180)=1,IF(H180=1,I180*H180,IF(H180="X","X",0)),0))</f>
        <v/>
      </c>
      <c r="K180" s="253" t="str">
        <f t="shared" ca="1" si="26"/>
        <v/>
      </c>
      <c r="L180" s="243"/>
      <c r="M180" s="212"/>
      <c r="N180" s="212"/>
      <c r="O180" s="213"/>
      <c r="P180" s="212"/>
      <c r="Q180" s="214"/>
      <c r="R180" s="212"/>
      <c r="S180" s="212"/>
      <c r="T180" s="212"/>
      <c r="U180" s="212"/>
      <c r="V180" s="214"/>
      <c r="W180" s="214"/>
      <c r="X180" s="214"/>
      <c r="Y180" s="214"/>
      <c r="Z180" s="214"/>
      <c r="AA180" s="212"/>
      <c r="AB180" s="212"/>
      <c r="AC180" s="212"/>
      <c r="AD180" s="214"/>
      <c r="AE180" s="214"/>
      <c r="AF180" s="214"/>
      <c r="AG180" s="214"/>
      <c r="AH180" s="212"/>
      <c r="AI180" s="212"/>
      <c r="AJ180" s="212"/>
      <c r="AK180" s="212"/>
      <c r="AL180" s="212"/>
      <c r="AM180" s="214"/>
      <c r="AN180" s="214"/>
      <c r="AO180" s="212"/>
      <c r="AP180" s="212"/>
      <c r="AQ180" s="214"/>
      <c r="AR180" s="214"/>
      <c r="AS180" s="212"/>
    </row>
    <row r="181" spans="1:45" s="215" customFormat="1" ht="13.5" customHeight="1" x14ac:dyDescent="0.25">
      <c r="A181" s="250" t="str">
        <f t="shared" si="28"/>
        <v/>
      </c>
      <c r="B181" s="251" t="str">
        <f t="shared" si="20"/>
        <v/>
      </c>
      <c r="C181" s="251" t="str">
        <f>IF(B181="","",VLOOKUP(D181,'Species Data'!B:D,4,FALSE))</f>
        <v/>
      </c>
      <c r="D181" s="251" t="str">
        <f t="shared" ca="1" si="21"/>
        <v/>
      </c>
      <c r="E181" s="251" t="str">
        <f t="shared" ca="1" si="22"/>
        <v/>
      </c>
      <c r="F181" s="251" t="str">
        <f t="shared" ca="1" si="23"/>
        <v/>
      </c>
      <c r="G181" s="251" t="str">
        <f t="shared" ca="1" si="24"/>
        <v/>
      </c>
      <c r="H181" s="208" t="str">
        <f ca="1">IF(G181="","",IF(VLOOKUP(VOC!F181,'Species Data'!D:E,3,FALSE)=0,"X",IF(G181&lt;44.1,2,1)))</f>
        <v/>
      </c>
      <c r="I181" s="208" t="str">
        <f t="shared" ca="1" si="25"/>
        <v/>
      </c>
      <c r="J181" s="252" t="str">
        <f ca="1">IF(I181="","",IF(COUNTIF($D$12:D181,D181)=1,IF(H181=1,I181*H181,IF(H181="X","X",0)),0))</f>
        <v/>
      </c>
      <c r="K181" s="253" t="str">
        <f t="shared" ca="1" si="26"/>
        <v/>
      </c>
      <c r="L181" s="243"/>
      <c r="M181" s="212"/>
      <c r="N181" s="212"/>
      <c r="O181" s="213"/>
      <c r="P181" s="212"/>
      <c r="Q181" s="214"/>
      <c r="R181" s="212"/>
      <c r="S181" s="212"/>
      <c r="T181" s="212"/>
      <c r="U181" s="212"/>
      <c r="V181" s="214"/>
      <c r="W181" s="214"/>
      <c r="X181" s="214"/>
      <c r="Y181" s="214"/>
      <c r="Z181" s="214"/>
      <c r="AA181" s="212"/>
      <c r="AB181" s="212"/>
      <c r="AC181" s="212"/>
      <c r="AD181" s="214"/>
      <c r="AE181" s="214"/>
      <c r="AF181" s="214"/>
      <c r="AG181" s="214"/>
      <c r="AH181" s="212"/>
      <c r="AI181" s="212"/>
      <c r="AJ181" s="212"/>
      <c r="AK181" s="212"/>
      <c r="AL181" s="212"/>
      <c r="AM181" s="214"/>
      <c r="AN181" s="214"/>
      <c r="AO181" s="212"/>
      <c r="AP181" s="212"/>
      <c r="AQ181" s="214"/>
      <c r="AR181" s="214"/>
      <c r="AS181" s="212"/>
    </row>
    <row r="182" spans="1:45" s="215" customFormat="1" ht="13.5" customHeight="1" x14ac:dyDescent="0.25">
      <c r="A182" s="250" t="str">
        <f t="shared" si="28"/>
        <v/>
      </c>
      <c r="B182" s="251" t="str">
        <f t="shared" si="20"/>
        <v/>
      </c>
      <c r="C182" s="251" t="str">
        <f>IF(B182="","",VLOOKUP(D182,'Species Data'!B:D,4,FALSE))</f>
        <v/>
      </c>
      <c r="D182" s="251" t="str">
        <f t="shared" ca="1" si="21"/>
        <v/>
      </c>
      <c r="E182" s="251" t="str">
        <f t="shared" ca="1" si="22"/>
        <v/>
      </c>
      <c r="F182" s="251" t="str">
        <f t="shared" ca="1" si="23"/>
        <v/>
      </c>
      <c r="G182" s="251" t="str">
        <f t="shared" ca="1" si="24"/>
        <v/>
      </c>
      <c r="H182" s="208" t="str">
        <f ca="1">IF(G182="","",IF(VLOOKUP(VOC!F182,'Species Data'!D:E,3,FALSE)=0,"X",IF(G182&lt;44.1,2,1)))</f>
        <v/>
      </c>
      <c r="I182" s="208" t="str">
        <f t="shared" ca="1" si="25"/>
        <v/>
      </c>
      <c r="J182" s="252" t="str">
        <f ca="1">IF(I182="","",IF(COUNTIF($D$12:D182,D182)=1,IF(H182=1,I182*H182,IF(H182="X","X",0)),0))</f>
        <v/>
      </c>
      <c r="K182" s="253" t="str">
        <f t="shared" ca="1" si="26"/>
        <v/>
      </c>
      <c r="L182" s="243"/>
      <c r="M182" s="212"/>
      <c r="N182" s="212"/>
      <c r="O182" s="213"/>
      <c r="P182" s="212"/>
      <c r="Q182" s="214"/>
      <c r="R182" s="212"/>
      <c r="S182" s="212"/>
      <c r="T182" s="212"/>
      <c r="U182" s="212"/>
      <c r="V182" s="214"/>
      <c r="W182" s="214"/>
      <c r="X182" s="214"/>
      <c r="Y182" s="214"/>
      <c r="Z182" s="214"/>
      <c r="AA182" s="212"/>
      <c r="AB182" s="212"/>
      <c r="AC182" s="212"/>
      <c r="AD182" s="214"/>
      <c r="AE182" s="214"/>
      <c r="AF182" s="214"/>
      <c r="AG182" s="214"/>
      <c r="AH182" s="212"/>
      <c r="AI182" s="212"/>
      <c r="AJ182" s="212"/>
      <c r="AK182" s="212"/>
      <c r="AL182" s="212"/>
      <c r="AM182" s="214"/>
      <c r="AN182" s="214"/>
      <c r="AO182" s="212"/>
      <c r="AP182" s="212"/>
      <c r="AQ182" s="214"/>
      <c r="AR182" s="214"/>
      <c r="AS182" s="212"/>
    </row>
    <row r="183" spans="1:45" s="215" customFormat="1" ht="13.5" customHeight="1" x14ac:dyDescent="0.25">
      <c r="A183" s="250" t="str">
        <f t="shared" si="28"/>
        <v/>
      </c>
      <c r="B183" s="251" t="str">
        <f t="shared" si="20"/>
        <v/>
      </c>
      <c r="C183" s="251" t="str">
        <f>IF(B183="","",VLOOKUP(D183,'Species Data'!B:D,4,FALSE))</f>
        <v/>
      </c>
      <c r="D183" s="251" t="str">
        <f t="shared" ca="1" si="21"/>
        <v/>
      </c>
      <c r="E183" s="251" t="str">
        <f t="shared" ca="1" si="22"/>
        <v/>
      </c>
      <c r="F183" s="251" t="str">
        <f t="shared" ca="1" si="23"/>
        <v/>
      </c>
      <c r="G183" s="251" t="str">
        <f t="shared" ca="1" si="24"/>
        <v/>
      </c>
      <c r="H183" s="208" t="str">
        <f ca="1">IF(G183="","",IF(VLOOKUP(VOC!F183,'Species Data'!D:E,3,FALSE)=0,"X",IF(G183&lt;44.1,2,1)))</f>
        <v/>
      </c>
      <c r="I183" s="208" t="str">
        <f t="shared" ca="1" si="25"/>
        <v/>
      </c>
      <c r="J183" s="252" t="str">
        <f ca="1">IF(I183="","",IF(COUNTIF($D$12:D183,D183)=1,IF(H183=1,I183*H183,IF(H183="X","X",0)),0))</f>
        <v/>
      </c>
      <c r="K183" s="253" t="str">
        <f t="shared" ca="1" si="26"/>
        <v/>
      </c>
      <c r="L183" s="243"/>
      <c r="M183" s="212"/>
      <c r="N183" s="212"/>
      <c r="O183" s="213"/>
      <c r="P183" s="212"/>
      <c r="Q183" s="214"/>
      <c r="R183" s="212"/>
      <c r="S183" s="212"/>
      <c r="T183" s="212"/>
      <c r="U183" s="212"/>
      <c r="V183" s="214"/>
      <c r="W183" s="214"/>
      <c r="X183" s="214"/>
      <c r="Y183" s="214"/>
      <c r="Z183" s="214"/>
      <c r="AA183" s="212"/>
      <c r="AB183" s="212"/>
      <c r="AC183" s="212"/>
      <c r="AD183" s="214"/>
      <c r="AE183" s="214"/>
      <c r="AF183" s="214"/>
      <c r="AG183" s="214"/>
      <c r="AH183" s="212"/>
      <c r="AI183" s="212"/>
      <c r="AJ183" s="212"/>
      <c r="AK183" s="212"/>
      <c r="AL183" s="212"/>
      <c r="AM183" s="214"/>
      <c r="AN183" s="214"/>
      <c r="AO183" s="212"/>
      <c r="AP183" s="212"/>
      <c r="AQ183" s="214"/>
      <c r="AR183" s="214"/>
      <c r="AS183" s="212"/>
    </row>
    <row r="184" spans="1:45" s="215" customFormat="1" ht="13.5" customHeight="1" x14ac:dyDescent="0.25">
      <c r="A184" s="250" t="str">
        <f t="shared" si="28"/>
        <v/>
      </c>
      <c r="B184" s="251" t="str">
        <f t="shared" si="20"/>
        <v/>
      </c>
      <c r="C184" s="251" t="str">
        <f>IF(B184="","",VLOOKUP(D184,'Species Data'!B:D,4,FALSE))</f>
        <v/>
      </c>
      <c r="D184" s="251" t="str">
        <f t="shared" ca="1" si="21"/>
        <v/>
      </c>
      <c r="E184" s="251" t="str">
        <f t="shared" ca="1" si="22"/>
        <v/>
      </c>
      <c r="F184" s="251" t="str">
        <f t="shared" ca="1" si="23"/>
        <v/>
      </c>
      <c r="G184" s="251" t="str">
        <f t="shared" ca="1" si="24"/>
        <v/>
      </c>
      <c r="H184" s="208" t="str">
        <f ca="1">IF(G184="","",IF(VLOOKUP(VOC!F184,'Species Data'!D:E,3,FALSE)=0,"X",IF(G184&lt;44.1,2,1)))</f>
        <v/>
      </c>
      <c r="I184" s="208" t="str">
        <f t="shared" ca="1" si="25"/>
        <v/>
      </c>
      <c r="J184" s="252" t="str">
        <f ca="1">IF(I184="","",IF(COUNTIF($D$12:D184,D184)=1,IF(H184=1,I184*H184,IF(H184="X","X",0)),0))</f>
        <v/>
      </c>
      <c r="K184" s="253" t="str">
        <f t="shared" ca="1" si="26"/>
        <v/>
      </c>
      <c r="L184" s="243"/>
      <c r="M184" s="212"/>
      <c r="N184" s="212"/>
      <c r="O184" s="213"/>
      <c r="P184" s="212"/>
      <c r="Q184" s="214"/>
      <c r="R184" s="212"/>
      <c r="S184" s="212"/>
      <c r="T184" s="212"/>
      <c r="U184" s="212"/>
      <c r="V184" s="214"/>
      <c r="W184" s="214"/>
      <c r="X184" s="214"/>
      <c r="Y184" s="214"/>
      <c r="Z184" s="214"/>
      <c r="AA184" s="212"/>
      <c r="AB184" s="212"/>
      <c r="AC184" s="212"/>
      <c r="AD184" s="214"/>
      <c r="AE184" s="214"/>
      <c r="AF184" s="214"/>
      <c r="AG184" s="214"/>
      <c r="AH184" s="212"/>
      <c r="AI184" s="212"/>
      <c r="AJ184" s="212"/>
      <c r="AK184" s="212"/>
      <c r="AL184" s="212"/>
      <c r="AM184" s="214"/>
      <c r="AN184" s="214"/>
      <c r="AO184" s="212"/>
      <c r="AP184" s="212"/>
      <c r="AQ184" s="214"/>
      <c r="AR184" s="214"/>
      <c r="AS184" s="212"/>
    </row>
    <row r="185" spans="1:45" s="215" customFormat="1" ht="13.5" customHeight="1" x14ac:dyDescent="0.25">
      <c r="A185" s="250" t="str">
        <f t="shared" si="28"/>
        <v/>
      </c>
      <c r="B185" s="251" t="str">
        <f t="shared" si="20"/>
        <v/>
      </c>
      <c r="C185" s="251" t="str">
        <f>IF(B185="","",VLOOKUP(D185,'Species Data'!B:D,4,FALSE))</f>
        <v/>
      </c>
      <c r="D185" s="251" t="str">
        <f t="shared" ca="1" si="21"/>
        <v/>
      </c>
      <c r="E185" s="251" t="str">
        <f t="shared" ca="1" si="22"/>
        <v/>
      </c>
      <c r="F185" s="251" t="str">
        <f t="shared" ca="1" si="23"/>
        <v/>
      </c>
      <c r="G185" s="251" t="str">
        <f t="shared" ca="1" si="24"/>
        <v/>
      </c>
      <c r="H185" s="208" t="str">
        <f ca="1">IF(G185="","",IF(VLOOKUP(VOC!F185,'Species Data'!D:E,3,FALSE)=0,"X",IF(G185&lt;44.1,2,1)))</f>
        <v/>
      </c>
      <c r="I185" s="208" t="str">
        <f t="shared" ca="1" si="25"/>
        <v/>
      </c>
      <c r="J185" s="252" t="str">
        <f ca="1">IF(I185="","",IF(COUNTIF($D$12:D185,D185)=1,IF(H185=1,I185*H185,IF(H185="X","X",0)),0))</f>
        <v/>
      </c>
      <c r="K185" s="253" t="str">
        <f t="shared" ca="1" si="26"/>
        <v/>
      </c>
      <c r="L185" s="243"/>
      <c r="M185" s="212"/>
      <c r="N185" s="212"/>
      <c r="O185" s="213"/>
      <c r="P185" s="212"/>
      <c r="Q185" s="214"/>
      <c r="R185" s="212"/>
      <c r="S185" s="212"/>
      <c r="T185" s="212"/>
      <c r="U185" s="212"/>
      <c r="V185" s="214"/>
      <c r="W185" s="214"/>
      <c r="X185" s="214"/>
      <c r="Y185" s="214"/>
      <c r="Z185" s="214"/>
      <c r="AA185" s="212"/>
      <c r="AB185" s="212"/>
      <c r="AC185" s="212"/>
      <c r="AD185" s="214"/>
      <c r="AE185" s="214"/>
      <c r="AF185" s="214"/>
      <c r="AG185" s="214"/>
      <c r="AH185" s="212"/>
      <c r="AI185" s="212"/>
      <c r="AJ185" s="212"/>
      <c r="AK185" s="212"/>
      <c r="AL185" s="212"/>
      <c r="AM185" s="214"/>
      <c r="AN185" s="214"/>
      <c r="AO185" s="212"/>
      <c r="AP185" s="212"/>
      <c r="AQ185" s="214"/>
      <c r="AR185" s="214"/>
      <c r="AS185" s="212"/>
    </row>
    <row r="186" spans="1:45" s="215" customFormat="1" ht="13.5" customHeight="1" x14ac:dyDescent="0.25">
      <c r="A186" s="250" t="str">
        <f t="shared" si="28"/>
        <v/>
      </c>
      <c r="B186" s="251" t="str">
        <f t="shared" si="20"/>
        <v/>
      </c>
      <c r="C186" s="251" t="str">
        <f>IF(B186="","",VLOOKUP(D186,'Species Data'!B:D,4,FALSE))</f>
        <v/>
      </c>
      <c r="D186" s="251" t="str">
        <f t="shared" ca="1" si="21"/>
        <v/>
      </c>
      <c r="E186" s="251" t="str">
        <f t="shared" ca="1" si="22"/>
        <v/>
      </c>
      <c r="F186" s="251" t="str">
        <f t="shared" ca="1" si="23"/>
        <v/>
      </c>
      <c r="G186" s="251" t="str">
        <f t="shared" ca="1" si="24"/>
        <v/>
      </c>
      <c r="H186" s="208" t="str">
        <f ca="1">IF(G186="","",IF(VLOOKUP(VOC!F186,'Species Data'!D:E,3,FALSE)=0,"X",IF(G186&lt;44.1,2,1)))</f>
        <v/>
      </c>
      <c r="I186" s="208" t="str">
        <f t="shared" ca="1" si="25"/>
        <v/>
      </c>
      <c r="J186" s="252" t="str">
        <f ca="1">IF(I186="","",IF(COUNTIF($D$12:D186,D186)=1,IF(H186=1,I186*H186,IF(H186="X","X",0)),0))</f>
        <v/>
      </c>
      <c r="K186" s="253" t="str">
        <f t="shared" ca="1" si="26"/>
        <v/>
      </c>
      <c r="L186" s="243"/>
      <c r="M186" s="212"/>
      <c r="N186" s="212"/>
      <c r="O186" s="213"/>
      <c r="P186" s="212"/>
      <c r="Q186" s="214"/>
      <c r="R186" s="212"/>
      <c r="S186" s="212"/>
      <c r="T186" s="212"/>
      <c r="U186" s="212"/>
      <c r="V186" s="214"/>
      <c r="W186" s="214"/>
      <c r="X186" s="214"/>
      <c r="Y186" s="214"/>
      <c r="Z186" s="214"/>
      <c r="AA186" s="212"/>
      <c r="AB186" s="212"/>
      <c r="AC186" s="212"/>
      <c r="AD186" s="214"/>
      <c r="AE186" s="214"/>
      <c r="AF186" s="214"/>
      <c r="AG186" s="214"/>
      <c r="AH186" s="212"/>
      <c r="AI186" s="212"/>
      <c r="AJ186" s="212"/>
      <c r="AK186" s="212"/>
      <c r="AL186" s="212"/>
      <c r="AM186" s="214"/>
      <c r="AN186" s="214"/>
      <c r="AO186" s="212"/>
      <c r="AP186" s="212"/>
      <c r="AQ186" s="214"/>
      <c r="AR186" s="214"/>
      <c r="AS186" s="212"/>
    </row>
    <row r="187" spans="1:45" s="215" customFormat="1" ht="13.5" customHeight="1" x14ac:dyDescent="0.25">
      <c r="A187" s="250" t="str">
        <f t="shared" si="28"/>
        <v/>
      </c>
      <c r="B187" s="251" t="str">
        <f t="shared" si="20"/>
        <v/>
      </c>
      <c r="C187" s="251" t="str">
        <f>IF(B187="","",VLOOKUP(D187,'Species Data'!B:D,4,FALSE))</f>
        <v/>
      </c>
      <c r="D187" s="251" t="str">
        <f t="shared" ca="1" si="21"/>
        <v/>
      </c>
      <c r="E187" s="251" t="str">
        <f t="shared" ca="1" si="22"/>
        <v/>
      </c>
      <c r="F187" s="251" t="str">
        <f t="shared" ca="1" si="23"/>
        <v/>
      </c>
      <c r="G187" s="251" t="str">
        <f t="shared" ca="1" si="24"/>
        <v/>
      </c>
      <c r="H187" s="208" t="str">
        <f ca="1">IF(G187="","",IF(VLOOKUP(VOC!F187,'Species Data'!D:E,3,FALSE)=0,"X",IF(G187&lt;44.1,2,1)))</f>
        <v/>
      </c>
      <c r="I187" s="208" t="str">
        <f t="shared" ca="1" si="25"/>
        <v/>
      </c>
      <c r="J187" s="252" t="str">
        <f ca="1">IF(I187="","",IF(COUNTIF($D$12:D187,D187)=1,IF(H187=1,I187*H187,IF(H187="X","X",0)),0))</f>
        <v/>
      </c>
      <c r="K187" s="253" t="str">
        <f t="shared" ca="1" si="26"/>
        <v/>
      </c>
      <c r="L187" s="243"/>
      <c r="M187" s="212"/>
      <c r="N187" s="212"/>
      <c r="O187" s="213"/>
      <c r="P187" s="212"/>
      <c r="Q187" s="214"/>
      <c r="R187" s="212"/>
      <c r="S187" s="212"/>
      <c r="T187" s="212"/>
      <c r="U187" s="212"/>
      <c r="V187" s="214"/>
      <c r="W187" s="214"/>
      <c r="X187" s="214"/>
      <c r="Y187" s="214"/>
      <c r="Z187" s="214"/>
      <c r="AA187" s="212"/>
      <c r="AB187" s="212"/>
      <c r="AC187" s="212"/>
      <c r="AD187" s="214"/>
      <c r="AE187" s="214"/>
      <c r="AF187" s="214"/>
      <c r="AG187" s="214"/>
      <c r="AH187" s="212"/>
      <c r="AI187" s="212"/>
      <c r="AJ187" s="212"/>
      <c r="AK187" s="212"/>
      <c r="AL187" s="212"/>
      <c r="AM187" s="214"/>
      <c r="AN187" s="214"/>
      <c r="AO187" s="212"/>
      <c r="AP187" s="212"/>
      <c r="AQ187" s="214"/>
      <c r="AR187" s="214"/>
      <c r="AS187" s="212"/>
    </row>
    <row r="188" spans="1:45" s="215" customFormat="1" ht="13.5" customHeight="1" x14ac:dyDescent="0.25">
      <c r="A188" s="250" t="str">
        <f t="shared" si="28"/>
        <v/>
      </c>
      <c r="B188" s="251" t="str">
        <f t="shared" si="20"/>
        <v/>
      </c>
      <c r="C188" s="251" t="str">
        <f>IF(B188="","",VLOOKUP(D188,'Species Data'!B:D,4,FALSE))</f>
        <v/>
      </c>
      <c r="D188" s="251" t="str">
        <f t="shared" ca="1" si="21"/>
        <v/>
      </c>
      <c r="E188" s="251" t="str">
        <f t="shared" ca="1" si="22"/>
        <v/>
      </c>
      <c r="F188" s="251" t="str">
        <f t="shared" ca="1" si="23"/>
        <v/>
      </c>
      <c r="G188" s="251" t="str">
        <f t="shared" ca="1" si="24"/>
        <v/>
      </c>
      <c r="H188" s="208" t="str">
        <f ca="1">IF(G188="","",IF(VLOOKUP(VOC!F188,'Species Data'!D:E,3,FALSE)=0,"X",IF(G188&lt;44.1,2,1)))</f>
        <v/>
      </c>
      <c r="I188" s="208" t="str">
        <f t="shared" ca="1" si="25"/>
        <v/>
      </c>
      <c r="J188" s="252" t="str">
        <f ca="1">IF(I188="","",IF(COUNTIF($D$12:D188,D188)=1,IF(H188=1,I188*H188,IF(H188="X","X",0)),0))</f>
        <v/>
      </c>
      <c r="K188" s="253" t="str">
        <f t="shared" ca="1" si="26"/>
        <v/>
      </c>
      <c r="L188" s="243"/>
      <c r="M188" s="212"/>
      <c r="N188" s="212"/>
      <c r="O188" s="213"/>
      <c r="P188" s="212"/>
      <c r="Q188" s="214"/>
      <c r="R188" s="212"/>
      <c r="S188" s="212"/>
      <c r="T188" s="212"/>
      <c r="U188" s="212"/>
      <c r="V188" s="214"/>
      <c r="W188" s="214"/>
      <c r="X188" s="214"/>
      <c r="Y188" s="214"/>
      <c r="Z188" s="214"/>
      <c r="AA188" s="212"/>
      <c r="AB188" s="212"/>
      <c r="AC188" s="212"/>
      <c r="AD188" s="214"/>
      <c r="AE188" s="214"/>
      <c r="AF188" s="214"/>
      <c r="AG188" s="214"/>
      <c r="AH188" s="212"/>
      <c r="AI188" s="212"/>
      <c r="AJ188" s="212"/>
      <c r="AK188" s="212"/>
      <c r="AL188" s="212"/>
      <c r="AM188" s="214"/>
      <c r="AN188" s="214"/>
      <c r="AO188" s="212"/>
      <c r="AP188" s="212"/>
      <c r="AQ188" s="214"/>
      <c r="AR188" s="214"/>
      <c r="AS188" s="212"/>
    </row>
    <row r="189" spans="1:45" s="215" customFormat="1" ht="13.5" customHeight="1" x14ac:dyDescent="0.25">
      <c r="A189" s="250" t="str">
        <f t="shared" si="28"/>
        <v/>
      </c>
      <c r="B189" s="251" t="str">
        <f t="shared" si="20"/>
        <v/>
      </c>
      <c r="C189" s="251" t="str">
        <f>IF(B189="","",VLOOKUP(D189,'Species Data'!B:D,4,FALSE))</f>
        <v/>
      </c>
      <c r="D189" s="251" t="str">
        <f t="shared" ca="1" si="21"/>
        <v/>
      </c>
      <c r="E189" s="251" t="str">
        <f t="shared" ca="1" si="22"/>
        <v/>
      </c>
      <c r="F189" s="251" t="str">
        <f t="shared" ca="1" si="23"/>
        <v/>
      </c>
      <c r="G189" s="251" t="str">
        <f t="shared" ca="1" si="24"/>
        <v/>
      </c>
      <c r="H189" s="208" t="str">
        <f ca="1">IF(G189="","",IF(VLOOKUP(VOC!F189,'Species Data'!D:E,3,FALSE)=0,"X",IF(G189&lt;44.1,2,1)))</f>
        <v/>
      </c>
      <c r="I189" s="208" t="str">
        <f t="shared" ca="1" si="25"/>
        <v/>
      </c>
      <c r="J189" s="252" t="str">
        <f ca="1">IF(I189="","",IF(COUNTIF($D$12:D189,D189)=1,IF(H189=1,I189*H189,IF(H189="X","X",0)),0))</f>
        <v/>
      </c>
      <c r="K189" s="253" t="str">
        <f t="shared" ca="1" si="26"/>
        <v/>
      </c>
      <c r="L189" s="243"/>
      <c r="M189" s="212"/>
      <c r="N189" s="212"/>
      <c r="O189" s="213"/>
      <c r="P189" s="212"/>
      <c r="Q189" s="214"/>
      <c r="R189" s="212"/>
      <c r="S189" s="212"/>
      <c r="T189" s="212"/>
      <c r="U189" s="212"/>
      <c r="V189" s="214"/>
      <c r="W189" s="214"/>
      <c r="X189" s="214"/>
      <c r="Y189" s="214"/>
      <c r="Z189" s="214"/>
      <c r="AA189" s="212"/>
      <c r="AB189" s="212"/>
      <c r="AC189" s="212"/>
      <c r="AD189" s="214"/>
      <c r="AE189" s="214"/>
      <c r="AF189" s="214"/>
      <c r="AG189" s="214"/>
      <c r="AH189" s="212"/>
      <c r="AI189" s="212"/>
      <c r="AJ189" s="212"/>
      <c r="AK189" s="212"/>
      <c r="AL189" s="212"/>
      <c r="AM189" s="214"/>
      <c r="AN189" s="214"/>
      <c r="AO189" s="212"/>
      <c r="AP189" s="212"/>
      <c r="AQ189" s="214"/>
      <c r="AR189" s="214"/>
      <c r="AS189" s="212"/>
    </row>
    <row r="190" spans="1:45" s="215" customFormat="1" ht="13.5" customHeight="1" x14ac:dyDescent="0.25">
      <c r="A190" s="250" t="str">
        <f t="shared" si="28"/>
        <v/>
      </c>
      <c r="B190" s="251" t="str">
        <f t="shared" si="20"/>
        <v/>
      </c>
      <c r="C190" s="251" t="str">
        <f>IF(B190="","",VLOOKUP(D190,'Species Data'!B:D,4,FALSE))</f>
        <v/>
      </c>
      <c r="D190" s="251" t="str">
        <f t="shared" ca="1" si="21"/>
        <v/>
      </c>
      <c r="E190" s="251" t="str">
        <f t="shared" ca="1" si="22"/>
        <v/>
      </c>
      <c r="F190" s="251" t="str">
        <f t="shared" ca="1" si="23"/>
        <v/>
      </c>
      <c r="G190" s="251" t="str">
        <f t="shared" ca="1" si="24"/>
        <v/>
      </c>
      <c r="H190" s="208" t="str">
        <f ca="1">IF(G190="","",IF(VLOOKUP(VOC!F190,'Species Data'!D:E,3,FALSE)=0,"X",IF(G190&lt;44.1,2,1)))</f>
        <v/>
      </c>
      <c r="I190" s="208" t="str">
        <f t="shared" ca="1" si="25"/>
        <v/>
      </c>
      <c r="J190" s="252" t="str">
        <f ca="1">IF(I190="","",IF(COUNTIF($D$12:D190,D190)=1,IF(H190=1,I190*H190,IF(H190="X","X",0)),0))</f>
        <v/>
      </c>
      <c r="K190" s="253" t="str">
        <f t="shared" ca="1" si="26"/>
        <v/>
      </c>
      <c r="L190" s="243"/>
      <c r="M190" s="212"/>
      <c r="N190" s="212"/>
      <c r="O190" s="213"/>
      <c r="P190" s="212"/>
      <c r="Q190" s="214"/>
      <c r="R190" s="212"/>
      <c r="S190" s="212"/>
      <c r="T190" s="212"/>
      <c r="U190" s="212"/>
      <c r="V190" s="214"/>
      <c r="W190" s="214"/>
      <c r="X190" s="214"/>
      <c r="Y190" s="214"/>
      <c r="Z190" s="214"/>
      <c r="AA190" s="212"/>
      <c r="AB190" s="212"/>
      <c r="AC190" s="212"/>
      <c r="AD190" s="214"/>
      <c r="AE190" s="214"/>
      <c r="AF190" s="214"/>
      <c r="AG190" s="214"/>
      <c r="AH190" s="212"/>
      <c r="AI190" s="212"/>
      <c r="AJ190" s="212"/>
      <c r="AK190" s="212"/>
      <c r="AL190" s="212"/>
      <c r="AM190" s="214"/>
      <c r="AN190" s="214"/>
      <c r="AO190" s="212"/>
      <c r="AP190" s="212"/>
      <c r="AQ190" s="214"/>
      <c r="AR190" s="214"/>
      <c r="AS190" s="212"/>
    </row>
    <row r="191" spans="1:45" s="215" customFormat="1" ht="13.5" customHeight="1" x14ac:dyDescent="0.25">
      <c r="A191" s="250" t="str">
        <f t="shared" si="28"/>
        <v/>
      </c>
      <c r="B191" s="251" t="str">
        <f t="shared" si="20"/>
        <v/>
      </c>
      <c r="C191" s="251" t="str">
        <f>IF(B191="","",VLOOKUP(D191,'Species Data'!B:D,4,FALSE))</f>
        <v/>
      </c>
      <c r="D191" s="251" t="str">
        <f t="shared" ca="1" si="21"/>
        <v/>
      </c>
      <c r="E191" s="251" t="str">
        <f t="shared" ca="1" si="22"/>
        <v/>
      </c>
      <c r="F191" s="251" t="str">
        <f t="shared" ca="1" si="23"/>
        <v/>
      </c>
      <c r="G191" s="251" t="str">
        <f t="shared" ca="1" si="24"/>
        <v/>
      </c>
      <c r="H191" s="208" t="str">
        <f ca="1">IF(G191="","",IF(VLOOKUP(VOC!F191,'Species Data'!D:E,3,FALSE)=0,"X",IF(G191&lt;44.1,2,1)))</f>
        <v/>
      </c>
      <c r="I191" s="208" t="str">
        <f t="shared" ca="1" si="25"/>
        <v/>
      </c>
      <c r="J191" s="252" t="str">
        <f ca="1">IF(I191="","",IF(COUNTIF($D$12:D191,D191)=1,IF(H191=1,I191*H191,IF(H191="X","X",0)),0))</f>
        <v/>
      </c>
      <c r="K191" s="253" t="str">
        <f t="shared" ca="1" si="26"/>
        <v/>
      </c>
      <c r="L191" s="243"/>
      <c r="M191" s="212"/>
      <c r="N191" s="212"/>
      <c r="O191" s="213"/>
      <c r="P191" s="212"/>
      <c r="Q191" s="214"/>
      <c r="R191" s="212"/>
      <c r="S191" s="212"/>
      <c r="T191" s="212"/>
      <c r="U191" s="212"/>
      <c r="V191" s="214"/>
      <c r="W191" s="214"/>
      <c r="X191" s="214"/>
      <c r="Y191" s="214"/>
      <c r="Z191" s="214"/>
      <c r="AA191" s="212"/>
      <c r="AB191" s="212"/>
      <c r="AC191" s="212"/>
      <c r="AD191" s="214"/>
      <c r="AE191" s="214"/>
      <c r="AF191" s="214"/>
      <c r="AG191" s="214"/>
      <c r="AH191" s="212"/>
      <c r="AI191" s="212"/>
      <c r="AJ191" s="212"/>
      <c r="AK191" s="212"/>
      <c r="AL191" s="212"/>
      <c r="AM191" s="214"/>
      <c r="AN191" s="214"/>
      <c r="AO191" s="212"/>
      <c r="AP191" s="212"/>
      <c r="AQ191" s="214"/>
      <c r="AR191" s="214"/>
      <c r="AS191" s="212"/>
    </row>
    <row r="192" spans="1:45" s="215" customFormat="1" ht="13.5" customHeight="1" x14ac:dyDescent="0.25">
      <c r="A192" s="250" t="str">
        <f t="shared" si="28"/>
        <v/>
      </c>
      <c r="B192" s="251" t="str">
        <f t="shared" si="20"/>
        <v/>
      </c>
      <c r="C192" s="251" t="str">
        <f>IF(B192="","",VLOOKUP(D192,'Species Data'!B:D,4,FALSE))</f>
        <v/>
      </c>
      <c r="D192" s="251" t="str">
        <f t="shared" ca="1" si="21"/>
        <v/>
      </c>
      <c r="E192" s="251" t="str">
        <f t="shared" ca="1" si="22"/>
        <v/>
      </c>
      <c r="F192" s="251" t="str">
        <f t="shared" ca="1" si="23"/>
        <v/>
      </c>
      <c r="G192" s="251" t="str">
        <f t="shared" ca="1" si="24"/>
        <v/>
      </c>
      <c r="H192" s="208" t="str">
        <f ca="1">IF(G192="","",IF(VLOOKUP(VOC!F192,'Species Data'!D:E,3,FALSE)=0,"X",IF(G192&lt;44.1,2,1)))</f>
        <v/>
      </c>
      <c r="I192" s="208" t="str">
        <f t="shared" ca="1" si="25"/>
        <v/>
      </c>
      <c r="J192" s="252" t="str">
        <f ca="1">IF(I192="","",IF(COUNTIF($D$12:D192,D192)=1,IF(H192=1,I192*H192,IF(H192="X","X",0)),0))</f>
        <v/>
      </c>
      <c r="K192" s="253" t="str">
        <f t="shared" ca="1" si="26"/>
        <v/>
      </c>
      <c r="L192" s="243"/>
      <c r="M192" s="212"/>
      <c r="N192" s="212"/>
      <c r="O192" s="213"/>
      <c r="P192" s="212"/>
      <c r="Q192" s="214"/>
      <c r="R192" s="212"/>
      <c r="S192" s="212"/>
      <c r="T192" s="212"/>
      <c r="U192" s="212"/>
      <c r="V192" s="214"/>
      <c r="W192" s="214"/>
      <c r="X192" s="214"/>
      <c r="Y192" s="214"/>
      <c r="Z192" s="214"/>
      <c r="AA192" s="212"/>
      <c r="AB192" s="212"/>
      <c r="AC192" s="212"/>
      <c r="AD192" s="214"/>
      <c r="AE192" s="214"/>
      <c r="AF192" s="214"/>
      <c r="AG192" s="214"/>
      <c r="AH192" s="212"/>
      <c r="AI192" s="212"/>
      <c r="AJ192" s="212"/>
      <c r="AK192" s="212"/>
      <c r="AL192" s="212"/>
      <c r="AM192" s="214"/>
      <c r="AN192" s="214"/>
      <c r="AO192" s="212"/>
      <c r="AP192" s="212"/>
      <c r="AQ192" s="214"/>
      <c r="AR192" s="214"/>
      <c r="AS192" s="212"/>
    </row>
    <row r="193" spans="1:45" s="215" customFormat="1" ht="13.5" customHeight="1" x14ac:dyDescent="0.25">
      <c r="A193" s="250" t="str">
        <f t="shared" si="28"/>
        <v/>
      </c>
      <c r="B193" s="251" t="str">
        <f t="shared" si="20"/>
        <v/>
      </c>
      <c r="C193" s="251" t="str">
        <f>IF(B193="","",VLOOKUP(D193,'Species Data'!B:D,4,FALSE))</f>
        <v/>
      </c>
      <c r="D193" s="251" t="str">
        <f t="shared" ca="1" si="21"/>
        <v/>
      </c>
      <c r="E193" s="251" t="str">
        <f t="shared" ca="1" si="22"/>
        <v/>
      </c>
      <c r="F193" s="251" t="str">
        <f t="shared" ca="1" si="23"/>
        <v/>
      </c>
      <c r="G193" s="251" t="str">
        <f t="shared" ca="1" si="24"/>
        <v/>
      </c>
      <c r="H193" s="208" t="str">
        <f ca="1">IF(G193="","",IF(VLOOKUP(VOC!F193,'Species Data'!D:E,3,FALSE)=0,"X",IF(G193&lt;44.1,2,1)))</f>
        <v/>
      </c>
      <c r="I193" s="208" t="str">
        <f t="shared" ca="1" si="25"/>
        <v/>
      </c>
      <c r="J193" s="252" t="str">
        <f ca="1">IF(I193="","",IF(COUNTIF($D$12:D193,D193)=1,IF(H193=1,I193*H193,IF(H193="X","X",0)),0))</f>
        <v/>
      </c>
      <c r="K193" s="253" t="str">
        <f t="shared" ca="1" si="26"/>
        <v/>
      </c>
      <c r="L193" s="243"/>
      <c r="M193" s="212"/>
      <c r="N193" s="212"/>
      <c r="O193" s="213"/>
      <c r="P193" s="212"/>
      <c r="Q193" s="214"/>
      <c r="R193" s="212"/>
      <c r="S193" s="212"/>
      <c r="T193" s="212"/>
      <c r="U193" s="212"/>
      <c r="V193" s="214"/>
      <c r="W193" s="214"/>
      <c r="X193" s="214"/>
      <c r="Y193" s="214"/>
      <c r="Z193" s="214"/>
      <c r="AA193" s="212"/>
      <c r="AB193" s="212"/>
      <c r="AC193" s="212"/>
      <c r="AD193" s="214"/>
      <c r="AE193" s="214"/>
      <c r="AF193" s="214"/>
      <c r="AG193" s="214"/>
      <c r="AH193" s="212"/>
      <c r="AI193" s="212"/>
      <c r="AJ193" s="212"/>
      <c r="AK193" s="212"/>
      <c r="AL193" s="212"/>
      <c r="AM193" s="214"/>
      <c r="AN193" s="214"/>
      <c r="AO193" s="212"/>
      <c r="AP193" s="212"/>
      <c r="AQ193" s="214"/>
      <c r="AR193" s="214"/>
      <c r="AS193" s="212"/>
    </row>
    <row r="194" spans="1:45" s="215" customFormat="1" ht="13.5" customHeight="1" x14ac:dyDescent="0.25">
      <c r="A194" s="250" t="str">
        <f t="shared" si="28"/>
        <v/>
      </c>
      <c r="B194" s="251" t="str">
        <f t="shared" si="20"/>
        <v/>
      </c>
      <c r="C194" s="251" t="str">
        <f>IF(B194="","",VLOOKUP(D194,'Species Data'!B:D,4,FALSE))</f>
        <v/>
      </c>
      <c r="D194" s="251" t="str">
        <f t="shared" ca="1" si="21"/>
        <v/>
      </c>
      <c r="E194" s="251" t="str">
        <f t="shared" ca="1" si="22"/>
        <v/>
      </c>
      <c r="F194" s="251" t="str">
        <f t="shared" ca="1" si="23"/>
        <v/>
      </c>
      <c r="G194" s="251" t="str">
        <f t="shared" ca="1" si="24"/>
        <v/>
      </c>
      <c r="H194" s="208" t="str">
        <f ca="1">IF(G194="","",IF(VLOOKUP(VOC!F194,'Species Data'!D:E,3,FALSE)=0,"X",IF(G194&lt;44.1,2,1)))</f>
        <v/>
      </c>
      <c r="I194" s="208" t="str">
        <f t="shared" ca="1" si="25"/>
        <v/>
      </c>
      <c r="J194" s="252" t="str">
        <f ca="1">IF(I194="","",IF(COUNTIF($D$12:D194,D194)=1,IF(H194=1,I194*H194,IF(H194="X","X",0)),0))</f>
        <v/>
      </c>
      <c r="K194" s="253" t="str">
        <f t="shared" ca="1" si="26"/>
        <v/>
      </c>
      <c r="L194" s="243"/>
      <c r="M194" s="212"/>
      <c r="N194" s="212"/>
      <c r="O194" s="213"/>
      <c r="P194" s="212"/>
      <c r="Q194" s="214"/>
      <c r="R194" s="212"/>
      <c r="S194" s="212"/>
      <c r="T194" s="212"/>
      <c r="U194" s="212"/>
      <c r="V194" s="214"/>
      <c r="W194" s="214"/>
      <c r="X194" s="214"/>
      <c r="Y194" s="214"/>
      <c r="Z194" s="214"/>
      <c r="AA194" s="212"/>
      <c r="AB194" s="212"/>
      <c r="AC194" s="212"/>
      <c r="AD194" s="214"/>
      <c r="AE194" s="214"/>
      <c r="AF194" s="214"/>
      <c r="AG194" s="214"/>
      <c r="AH194" s="212"/>
      <c r="AI194" s="212"/>
      <c r="AJ194" s="212"/>
      <c r="AK194" s="212"/>
      <c r="AL194" s="212"/>
      <c r="AM194" s="214"/>
      <c r="AN194" s="214"/>
      <c r="AO194" s="212"/>
      <c r="AP194" s="212"/>
      <c r="AQ194" s="214"/>
      <c r="AR194" s="214"/>
      <c r="AS194" s="212"/>
    </row>
    <row r="195" spans="1:45" s="215" customFormat="1" ht="13.5" customHeight="1" x14ac:dyDescent="0.25">
      <c r="A195" s="250" t="str">
        <f t="shared" si="28"/>
        <v/>
      </c>
      <c r="B195" s="251" t="str">
        <f t="shared" si="20"/>
        <v/>
      </c>
      <c r="C195" s="251" t="str">
        <f>IF(B195="","",VLOOKUP(D195,'Species Data'!B:D,4,FALSE))</f>
        <v/>
      </c>
      <c r="D195" s="251" t="str">
        <f t="shared" ca="1" si="21"/>
        <v/>
      </c>
      <c r="E195" s="251" t="str">
        <f t="shared" ca="1" si="22"/>
        <v/>
      </c>
      <c r="F195" s="251" t="str">
        <f t="shared" ca="1" si="23"/>
        <v/>
      </c>
      <c r="G195" s="251" t="str">
        <f t="shared" ca="1" si="24"/>
        <v/>
      </c>
      <c r="H195" s="208" t="str">
        <f ca="1">IF(G195="","",IF(VLOOKUP(VOC!F195,'Species Data'!D:E,3,FALSE)=0,"X",IF(G195&lt;44.1,2,1)))</f>
        <v/>
      </c>
      <c r="I195" s="208" t="str">
        <f t="shared" ca="1" si="25"/>
        <v/>
      </c>
      <c r="J195" s="252" t="str">
        <f ca="1">IF(I195="","",IF(COUNTIF($D$12:D195,D195)=1,IF(H195=1,I195*H195,IF(H195="X","X",0)),0))</f>
        <v/>
      </c>
      <c r="K195" s="253" t="str">
        <f t="shared" ca="1" si="26"/>
        <v/>
      </c>
      <c r="L195" s="243"/>
      <c r="M195" s="212"/>
      <c r="N195" s="212"/>
      <c r="O195" s="213"/>
      <c r="P195" s="212"/>
      <c r="Q195" s="214"/>
      <c r="R195" s="212"/>
      <c r="S195" s="212"/>
      <c r="T195" s="212"/>
      <c r="U195" s="212"/>
      <c r="V195" s="214"/>
      <c r="W195" s="214"/>
      <c r="X195" s="214"/>
      <c r="Y195" s="214"/>
      <c r="Z195" s="214"/>
      <c r="AA195" s="212"/>
      <c r="AB195" s="212"/>
      <c r="AC195" s="212"/>
      <c r="AD195" s="214"/>
      <c r="AE195" s="214"/>
      <c r="AF195" s="214"/>
      <c r="AG195" s="214"/>
      <c r="AH195" s="212"/>
      <c r="AI195" s="212"/>
      <c r="AJ195" s="212"/>
      <c r="AK195" s="212"/>
      <c r="AL195" s="212"/>
      <c r="AM195" s="214"/>
      <c r="AN195" s="214"/>
      <c r="AO195" s="212"/>
      <c r="AP195" s="212"/>
      <c r="AQ195" s="214"/>
      <c r="AR195" s="214"/>
      <c r="AS195" s="212"/>
    </row>
    <row r="196" spans="1:45" s="215" customFormat="1" ht="13.5" customHeight="1" x14ac:dyDescent="0.25">
      <c r="A196" s="250" t="str">
        <f t="shared" si="28"/>
        <v/>
      </c>
      <c r="B196" s="251" t="str">
        <f t="shared" si="20"/>
        <v/>
      </c>
      <c r="C196" s="251" t="str">
        <f>IF(B196="","",VLOOKUP(D196,'Species Data'!B:D,4,FALSE))</f>
        <v/>
      </c>
      <c r="D196" s="251" t="str">
        <f t="shared" ca="1" si="21"/>
        <v/>
      </c>
      <c r="E196" s="251" t="str">
        <f t="shared" ca="1" si="22"/>
        <v/>
      </c>
      <c r="F196" s="251" t="str">
        <f t="shared" ca="1" si="23"/>
        <v/>
      </c>
      <c r="G196" s="251" t="str">
        <f t="shared" ca="1" si="24"/>
        <v/>
      </c>
      <c r="H196" s="208" t="str">
        <f ca="1">IF(G196="","",IF(VLOOKUP(VOC!F196,'Species Data'!D:E,3,FALSE)=0,"X",IF(G196&lt;44.1,2,1)))</f>
        <v/>
      </c>
      <c r="I196" s="208" t="str">
        <f t="shared" ca="1" si="25"/>
        <v/>
      </c>
      <c r="J196" s="252" t="str">
        <f ca="1">IF(I196="","",IF(COUNTIF($D$12:D196,D196)=1,IF(H196=1,I196*H196,IF(H196="X","X",0)),0))</f>
        <v/>
      </c>
      <c r="K196" s="253" t="str">
        <f t="shared" ca="1" si="26"/>
        <v/>
      </c>
      <c r="L196" s="243"/>
      <c r="M196" s="212"/>
      <c r="N196" s="212"/>
      <c r="O196" s="213"/>
      <c r="P196" s="212"/>
      <c r="Q196" s="214"/>
      <c r="R196" s="212"/>
      <c r="S196" s="212"/>
      <c r="T196" s="212"/>
      <c r="U196" s="212"/>
      <c r="V196" s="214"/>
      <c r="W196" s="214"/>
      <c r="X196" s="214"/>
      <c r="Y196" s="214"/>
      <c r="Z196" s="214"/>
      <c r="AA196" s="212"/>
      <c r="AB196" s="212"/>
      <c r="AC196" s="212"/>
      <c r="AD196" s="214"/>
      <c r="AE196" s="214"/>
      <c r="AF196" s="214"/>
      <c r="AG196" s="214"/>
      <c r="AH196" s="212"/>
      <c r="AI196" s="212"/>
      <c r="AJ196" s="212"/>
      <c r="AK196" s="212"/>
      <c r="AL196" s="212"/>
      <c r="AM196" s="214"/>
      <c r="AN196" s="214"/>
      <c r="AO196" s="212"/>
      <c r="AP196" s="212"/>
      <c r="AQ196" s="214"/>
      <c r="AR196" s="214"/>
      <c r="AS196" s="212"/>
    </row>
    <row r="197" spans="1:45" s="215" customFormat="1" ht="13.5" customHeight="1" x14ac:dyDescent="0.25">
      <c r="A197" s="250" t="str">
        <f t="shared" si="28"/>
        <v/>
      </c>
      <c r="B197" s="251" t="str">
        <f t="shared" si="20"/>
        <v/>
      </c>
      <c r="C197" s="251" t="str">
        <f>IF(B197="","",VLOOKUP(D197,'Species Data'!B:D,4,FALSE))</f>
        <v/>
      </c>
      <c r="D197" s="251" t="str">
        <f t="shared" ca="1" si="21"/>
        <v/>
      </c>
      <c r="E197" s="251" t="str">
        <f t="shared" ca="1" si="22"/>
        <v/>
      </c>
      <c r="F197" s="251" t="str">
        <f t="shared" ca="1" si="23"/>
        <v/>
      </c>
      <c r="G197" s="251" t="str">
        <f t="shared" ca="1" si="24"/>
        <v/>
      </c>
      <c r="H197" s="208" t="str">
        <f ca="1">IF(G197="","",IF(VLOOKUP(VOC!F197,'Species Data'!D:E,3,FALSE)=0,"X",IF(G197&lt;44.1,2,1)))</f>
        <v/>
      </c>
      <c r="I197" s="208" t="str">
        <f t="shared" ca="1" si="25"/>
        <v/>
      </c>
      <c r="J197" s="252" t="str">
        <f ca="1">IF(I197="","",IF(COUNTIF($D$12:D197,D197)=1,IF(H197=1,I197*H197,IF(H197="X","X",0)),0))</f>
        <v/>
      </c>
      <c r="K197" s="253" t="str">
        <f t="shared" ca="1" si="26"/>
        <v/>
      </c>
      <c r="L197" s="243"/>
      <c r="M197" s="212"/>
      <c r="N197" s="212"/>
      <c r="O197" s="213"/>
      <c r="P197" s="212"/>
      <c r="Q197" s="214"/>
      <c r="R197" s="212"/>
      <c r="S197" s="212"/>
      <c r="T197" s="212"/>
      <c r="U197" s="212"/>
      <c r="V197" s="214"/>
      <c r="W197" s="214"/>
      <c r="X197" s="214"/>
      <c r="Y197" s="214"/>
      <c r="Z197" s="214"/>
      <c r="AA197" s="212"/>
      <c r="AB197" s="212"/>
      <c r="AC197" s="212"/>
      <c r="AD197" s="214"/>
      <c r="AE197" s="214"/>
      <c r="AF197" s="214"/>
      <c r="AG197" s="214"/>
      <c r="AH197" s="212"/>
      <c r="AI197" s="212"/>
      <c r="AJ197" s="212"/>
      <c r="AK197" s="212"/>
      <c r="AL197" s="212"/>
      <c r="AM197" s="214"/>
      <c r="AN197" s="214"/>
      <c r="AO197" s="212"/>
      <c r="AP197" s="212"/>
      <c r="AQ197" s="214"/>
      <c r="AR197" s="214"/>
      <c r="AS197" s="212"/>
    </row>
    <row r="198" spans="1:45" s="220" customFormat="1" ht="13.5" customHeight="1" x14ac:dyDescent="0.25">
      <c r="A198" s="250" t="str">
        <f t="shared" si="28"/>
        <v/>
      </c>
      <c r="B198" s="251" t="str">
        <f t="shared" si="20"/>
        <v/>
      </c>
      <c r="C198" s="251" t="str">
        <f>IF(B198="","",VLOOKUP(D198,'Species Data'!B:D,4,FALSE))</f>
        <v/>
      </c>
      <c r="D198" s="251" t="str">
        <f t="shared" ca="1" si="21"/>
        <v/>
      </c>
      <c r="E198" s="251" t="str">
        <f t="shared" ca="1" si="22"/>
        <v/>
      </c>
      <c r="F198" s="251" t="str">
        <f t="shared" ca="1" si="23"/>
        <v/>
      </c>
      <c r="G198" s="251" t="str">
        <f t="shared" ca="1" si="24"/>
        <v/>
      </c>
      <c r="H198" s="208" t="str">
        <f ca="1">IF(G198="","",IF(VLOOKUP(VOC!F198,'Species Data'!D:E,3,FALSE)=0,"X",IF(G198&lt;44.1,2,1)))</f>
        <v/>
      </c>
      <c r="I198" s="208" t="str">
        <f t="shared" ca="1" si="25"/>
        <v/>
      </c>
      <c r="J198" s="252" t="str">
        <f ca="1">IF(I198="","",IF(COUNTIF($D$12:D198,D198)=1,IF(H198=1,I198*H198,IF(H198="X","X",0)),0))</f>
        <v/>
      </c>
      <c r="K198" s="253" t="str">
        <f t="shared" ca="1" si="26"/>
        <v/>
      </c>
      <c r="L198" s="243"/>
      <c r="M198" s="212"/>
      <c r="N198" s="212"/>
      <c r="O198" s="213"/>
      <c r="P198" s="212"/>
      <c r="Q198" s="214"/>
      <c r="R198" s="212"/>
      <c r="S198" s="212"/>
      <c r="T198" s="212"/>
      <c r="U198" s="212"/>
      <c r="V198" s="214"/>
      <c r="W198" s="214"/>
      <c r="X198" s="214"/>
      <c r="Y198" s="214"/>
      <c r="Z198" s="214"/>
      <c r="AA198" s="212"/>
      <c r="AB198" s="212"/>
      <c r="AC198" s="212"/>
      <c r="AD198" s="214"/>
      <c r="AE198" s="214"/>
      <c r="AF198" s="214"/>
      <c r="AG198" s="214"/>
      <c r="AH198" s="212"/>
      <c r="AI198" s="212"/>
      <c r="AJ198" s="212"/>
      <c r="AK198" s="212"/>
      <c r="AL198" s="212"/>
      <c r="AM198" s="214"/>
      <c r="AN198" s="214"/>
      <c r="AO198" s="212"/>
      <c r="AP198" s="212"/>
      <c r="AQ198" s="214"/>
      <c r="AR198" s="214"/>
      <c r="AS198" s="212"/>
    </row>
    <row r="199" spans="1:45" s="220" customFormat="1" ht="13.5" customHeight="1" x14ac:dyDescent="0.25">
      <c r="A199" s="250" t="str">
        <f t="shared" si="28"/>
        <v/>
      </c>
      <c r="B199" s="251" t="str">
        <f t="shared" si="20"/>
        <v/>
      </c>
      <c r="C199" s="251" t="str">
        <f>IF(B199="","",VLOOKUP(D199,'Species Data'!B:D,4,FALSE))</f>
        <v/>
      </c>
      <c r="D199" s="251" t="str">
        <f t="shared" ca="1" si="21"/>
        <v/>
      </c>
      <c r="E199" s="251" t="str">
        <f t="shared" ca="1" si="22"/>
        <v/>
      </c>
      <c r="F199" s="251" t="str">
        <f t="shared" ca="1" si="23"/>
        <v/>
      </c>
      <c r="G199" s="251" t="str">
        <f t="shared" ca="1" si="24"/>
        <v/>
      </c>
      <c r="H199" s="208" t="str">
        <f ca="1">IF(G199="","",IF(VLOOKUP(VOC!F199,'Species Data'!D:E,3,FALSE)=0,"X",IF(G199&lt;44.1,2,1)))</f>
        <v/>
      </c>
      <c r="I199" s="208" t="str">
        <f t="shared" ca="1" si="25"/>
        <v/>
      </c>
      <c r="J199" s="252" t="str">
        <f ca="1">IF(I199="","",IF(COUNTIF($D$12:D199,D199)=1,IF(H199=1,I199*H199,IF(H199="X","X",0)),0))</f>
        <v/>
      </c>
      <c r="K199" s="253" t="str">
        <f t="shared" ca="1" si="26"/>
        <v/>
      </c>
      <c r="L199" s="243"/>
      <c r="M199" s="212"/>
      <c r="N199" s="212"/>
      <c r="O199" s="213"/>
      <c r="P199" s="212"/>
      <c r="Q199" s="214"/>
      <c r="R199" s="212"/>
      <c r="S199" s="212"/>
      <c r="T199" s="212"/>
      <c r="U199" s="212"/>
      <c r="V199" s="214"/>
      <c r="W199" s="214"/>
      <c r="X199" s="214"/>
      <c r="Y199" s="214"/>
      <c r="Z199" s="214"/>
      <c r="AA199" s="212"/>
      <c r="AB199" s="212"/>
      <c r="AC199" s="212"/>
      <c r="AD199" s="214"/>
      <c r="AE199" s="214"/>
      <c r="AF199" s="214"/>
      <c r="AG199" s="214"/>
      <c r="AH199" s="212"/>
      <c r="AI199" s="212"/>
      <c r="AJ199" s="212"/>
      <c r="AK199" s="212"/>
      <c r="AL199" s="212"/>
      <c r="AM199" s="214"/>
      <c r="AN199" s="214"/>
      <c r="AO199" s="212"/>
      <c r="AP199" s="212"/>
      <c r="AQ199" s="214"/>
      <c r="AR199" s="214"/>
      <c r="AS199" s="212"/>
    </row>
    <row r="200" spans="1:45" s="220" customFormat="1" ht="13.5" customHeight="1" x14ac:dyDescent="0.25">
      <c r="A200" s="250" t="str">
        <f t="shared" si="28"/>
        <v/>
      </c>
      <c r="B200" s="251" t="str">
        <f t="shared" si="20"/>
        <v/>
      </c>
      <c r="C200" s="251" t="str">
        <f>IF(B200="","",VLOOKUP(D200,'Species Data'!B:D,4,FALSE))</f>
        <v/>
      </c>
      <c r="D200" s="251" t="str">
        <f t="shared" ca="1" si="21"/>
        <v/>
      </c>
      <c r="E200" s="251" t="str">
        <f t="shared" ca="1" si="22"/>
        <v/>
      </c>
      <c r="F200" s="251" t="str">
        <f t="shared" ca="1" si="23"/>
        <v/>
      </c>
      <c r="G200" s="251" t="str">
        <f t="shared" ca="1" si="24"/>
        <v/>
      </c>
      <c r="H200" s="208" t="str">
        <f ca="1">IF(G200="","",IF(VLOOKUP(VOC!F200,'Species Data'!D:E,3,FALSE)=0,"X",IF(G200&lt;44.1,2,1)))</f>
        <v/>
      </c>
      <c r="I200" s="208" t="str">
        <f t="shared" ca="1" si="25"/>
        <v/>
      </c>
      <c r="J200" s="252" t="str">
        <f ca="1">IF(I200="","",IF(COUNTIF($D$12:D200,D200)=1,IF(H200=1,I200*H200,IF(H200="X","X",0)),0))</f>
        <v/>
      </c>
      <c r="K200" s="253" t="str">
        <f t="shared" ca="1" si="26"/>
        <v/>
      </c>
      <c r="L200" s="243"/>
      <c r="M200" s="212"/>
      <c r="N200" s="212"/>
      <c r="O200" s="213"/>
      <c r="P200" s="212"/>
      <c r="Q200" s="214"/>
      <c r="R200" s="212"/>
      <c r="S200" s="212"/>
      <c r="T200" s="212"/>
      <c r="U200" s="212"/>
      <c r="V200" s="214"/>
      <c r="W200" s="214"/>
      <c r="X200" s="214"/>
      <c r="Y200" s="214"/>
      <c r="Z200" s="214"/>
      <c r="AA200" s="212"/>
      <c r="AB200" s="212"/>
      <c r="AC200" s="212"/>
      <c r="AD200" s="214"/>
      <c r="AE200" s="214"/>
      <c r="AF200" s="214"/>
      <c r="AG200" s="214"/>
      <c r="AH200" s="212"/>
      <c r="AI200" s="212"/>
      <c r="AJ200" s="212"/>
      <c r="AK200" s="212"/>
      <c r="AL200" s="212"/>
      <c r="AM200" s="214"/>
      <c r="AN200" s="214"/>
      <c r="AO200" s="212"/>
      <c r="AP200" s="212"/>
      <c r="AQ200" s="214"/>
      <c r="AR200" s="214"/>
      <c r="AS200" s="212"/>
    </row>
    <row r="201" spans="1:45" s="220" customFormat="1" ht="13.5" customHeight="1" x14ac:dyDescent="0.25">
      <c r="A201" s="250" t="str">
        <f t="shared" si="28"/>
        <v/>
      </c>
      <c r="B201" s="251" t="str">
        <f t="shared" si="20"/>
        <v/>
      </c>
      <c r="C201" s="251" t="str">
        <f>IF(B201="","",VLOOKUP(D201,'Species Data'!B:D,4,FALSE))</f>
        <v/>
      </c>
      <c r="D201" s="251" t="str">
        <f t="shared" ca="1" si="21"/>
        <v/>
      </c>
      <c r="E201" s="251" t="str">
        <f t="shared" ca="1" si="22"/>
        <v/>
      </c>
      <c r="F201" s="251" t="str">
        <f t="shared" ca="1" si="23"/>
        <v/>
      </c>
      <c r="G201" s="251" t="str">
        <f t="shared" ca="1" si="24"/>
        <v/>
      </c>
      <c r="H201" s="208" t="str">
        <f ca="1">IF(G201="","",IF(VLOOKUP(VOC!F201,'Species Data'!D:E,3,FALSE)=0,"X",IF(G201&lt;44.1,2,1)))</f>
        <v/>
      </c>
      <c r="I201" s="208" t="str">
        <f t="shared" ca="1" si="25"/>
        <v/>
      </c>
      <c r="J201" s="252" t="str">
        <f ca="1">IF(I201="","",IF(COUNTIF($D$12:D201,D201)=1,IF(H201=1,I201*H201,IF(H201="X","X",0)),0))</f>
        <v/>
      </c>
      <c r="K201" s="253" t="str">
        <f t="shared" ca="1" si="26"/>
        <v/>
      </c>
      <c r="L201" s="243"/>
      <c r="M201" s="212"/>
      <c r="N201" s="212"/>
      <c r="O201" s="213"/>
      <c r="P201" s="212"/>
      <c r="Q201" s="214"/>
      <c r="R201" s="212"/>
      <c r="S201" s="212"/>
      <c r="T201" s="212"/>
      <c r="U201" s="212"/>
      <c r="V201" s="214"/>
      <c r="W201" s="214"/>
      <c r="X201" s="214"/>
      <c r="Y201" s="214"/>
      <c r="Z201" s="214"/>
      <c r="AA201" s="212"/>
      <c r="AB201" s="212"/>
      <c r="AC201" s="212"/>
      <c r="AD201" s="214"/>
      <c r="AE201" s="214"/>
      <c r="AF201" s="214"/>
      <c r="AG201" s="214"/>
      <c r="AH201" s="212"/>
      <c r="AI201" s="212"/>
      <c r="AJ201" s="212"/>
      <c r="AK201" s="212"/>
      <c r="AL201" s="212"/>
      <c r="AM201" s="214"/>
      <c r="AN201" s="214"/>
      <c r="AO201" s="212"/>
      <c r="AP201" s="212"/>
      <c r="AQ201" s="214"/>
      <c r="AR201" s="214"/>
      <c r="AS201" s="212"/>
    </row>
    <row r="202" spans="1:45" s="220" customFormat="1" ht="13.5" customHeight="1" x14ac:dyDescent="0.25">
      <c r="A202" s="250" t="str">
        <f t="shared" si="28"/>
        <v/>
      </c>
      <c r="B202" s="251" t="str">
        <f t="shared" si="20"/>
        <v/>
      </c>
      <c r="C202" s="251" t="str">
        <f>IF(B202="","",VLOOKUP(D202,'Species Data'!B:D,4,FALSE))</f>
        <v/>
      </c>
      <c r="D202" s="251" t="str">
        <f t="shared" ca="1" si="21"/>
        <v/>
      </c>
      <c r="E202" s="251" t="str">
        <f t="shared" ca="1" si="22"/>
        <v/>
      </c>
      <c r="F202" s="251" t="str">
        <f t="shared" ca="1" si="23"/>
        <v/>
      </c>
      <c r="G202" s="251" t="str">
        <f t="shared" ca="1" si="24"/>
        <v/>
      </c>
      <c r="H202" s="208" t="str">
        <f ca="1">IF(G202="","",IF(VLOOKUP(VOC!F202,'Species Data'!D:E,3,FALSE)=0,"X",IF(G202&lt;44.1,2,1)))</f>
        <v/>
      </c>
      <c r="I202" s="208" t="str">
        <f t="shared" ca="1" si="25"/>
        <v/>
      </c>
      <c r="J202" s="252" t="str">
        <f ca="1">IF(I202="","",IF(COUNTIF($D$12:D202,D202)=1,IF(H202=1,I202*H202,IF(H202="X","X",0)),0))</f>
        <v/>
      </c>
      <c r="K202" s="253" t="str">
        <f t="shared" ca="1" si="26"/>
        <v/>
      </c>
      <c r="L202" s="243"/>
      <c r="M202" s="212"/>
      <c r="N202" s="212"/>
      <c r="O202" s="213"/>
      <c r="P202" s="212"/>
      <c r="Q202" s="214"/>
      <c r="R202" s="212"/>
      <c r="S202" s="212"/>
      <c r="T202" s="212"/>
      <c r="U202" s="212"/>
      <c r="V202" s="214"/>
      <c r="W202" s="214"/>
      <c r="X202" s="214"/>
      <c r="Y202" s="214"/>
      <c r="Z202" s="214"/>
      <c r="AA202" s="212"/>
      <c r="AB202" s="212"/>
      <c r="AC202" s="212"/>
      <c r="AD202" s="214"/>
      <c r="AE202" s="214"/>
      <c r="AF202" s="214"/>
      <c r="AG202" s="214"/>
      <c r="AH202" s="212"/>
      <c r="AI202" s="212"/>
      <c r="AJ202" s="212"/>
      <c r="AK202" s="212"/>
      <c r="AL202" s="212"/>
      <c r="AM202" s="214"/>
      <c r="AN202" s="214"/>
      <c r="AO202" s="212"/>
      <c r="AP202" s="212"/>
      <c r="AQ202" s="214"/>
      <c r="AR202" s="214"/>
      <c r="AS202" s="212"/>
    </row>
    <row r="203" spans="1:45" s="220" customFormat="1" ht="13.5" customHeight="1" x14ac:dyDescent="0.25">
      <c r="A203" s="250" t="str">
        <f t="shared" si="28"/>
        <v/>
      </c>
      <c r="B203" s="251" t="str">
        <f t="shared" si="20"/>
        <v/>
      </c>
      <c r="C203" s="251" t="str">
        <f>IF(B203="","",VLOOKUP(D203,'Species Data'!B:D,4,FALSE))</f>
        <v/>
      </c>
      <c r="D203" s="251" t="str">
        <f t="shared" ca="1" si="21"/>
        <v/>
      </c>
      <c r="E203" s="251" t="str">
        <f t="shared" ca="1" si="22"/>
        <v/>
      </c>
      <c r="F203" s="251" t="str">
        <f t="shared" ca="1" si="23"/>
        <v/>
      </c>
      <c r="G203" s="251" t="str">
        <f t="shared" ca="1" si="24"/>
        <v/>
      </c>
      <c r="H203" s="208" t="str">
        <f ca="1">IF(G203="","",IF(VLOOKUP(VOC!F203,'Species Data'!D:E,3,FALSE)=0,"X",IF(G203&lt;44.1,2,1)))</f>
        <v/>
      </c>
      <c r="I203" s="208" t="str">
        <f t="shared" ca="1" si="25"/>
        <v/>
      </c>
      <c r="J203" s="252" t="str">
        <f ca="1">IF(I203="","",IF(COUNTIF($D$12:D203,D203)=1,IF(H203=1,I203*H203,IF(H203="X","X",0)),0))</f>
        <v/>
      </c>
      <c r="K203" s="253" t="str">
        <f t="shared" ca="1" si="26"/>
        <v/>
      </c>
      <c r="L203" s="243"/>
      <c r="M203" s="212"/>
      <c r="N203" s="212"/>
      <c r="O203" s="213"/>
      <c r="P203" s="212"/>
      <c r="Q203" s="214"/>
      <c r="R203" s="212"/>
      <c r="S203" s="212"/>
      <c r="T203" s="212"/>
      <c r="U203" s="212"/>
      <c r="V203" s="214"/>
      <c r="W203" s="214"/>
      <c r="X203" s="214"/>
      <c r="Y203" s="214"/>
      <c r="Z203" s="214"/>
      <c r="AA203" s="212"/>
      <c r="AB203" s="212"/>
      <c r="AC203" s="212"/>
      <c r="AD203" s="214"/>
      <c r="AE203" s="214"/>
      <c r="AF203" s="214"/>
      <c r="AG203" s="214"/>
      <c r="AH203" s="212"/>
      <c r="AI203" s="212"/>
      <c r="AJ203" s="212"/>
      <c r="AK203" s="212"/>
      <c r="AL203" s="212"/>
      <c r="AM203" s="214"/>
      <c r="AN203" s="214"/>
      <c r="AO203" s="212"/>
      <c r="AP203" s="212"/>
      <c r="AQ203" s="214"/>
      <c r="AR203" s="214"/>
      <c r="AS203" s="212"/>
    </row>
    <row r="204" spans="1:45" s="220" customFormat="1" ht="13.5" customHeight="1" x14ac:dyDescent="0.25">
      <c r="A204" s="250" t="str">
        <f t="shared" si="28"/>
        <v/>
      </c>
      <c r="B204" s="251" t="str">
        <f t="shared" ref="B204:B267" si="29">IF(ROW(A204)-(ROW($A$12))&lt;$B$10,$B$9,"")</f>
        <v/>
      </c>
      <c r="C204" s="251" t="str">
        <f>IF(B204="","",VLOOKUP(D204,'Species Data'!B:D,4,FALSE))</f>
        <v/>
      </c>
      <c r="D204" s="251" t="str">
        <f t="shared" ref="D204:D267" ca="1" si="30">IF(B204="","",INDIRECT("AE"&amp;$A204))</f>
        <v/>
      </c>
      <c r="E204" s="251" t="str">
        <f t="shared" ref="E204:E267" ca="1" si="31">IF(D204="","",INDIRECT("AF"&amp;$A204))</f>
        <v/>
      </c>
      <c r="F204" s="251" t="str">
        <f t="shared" ref="F204:F267" ca="1" si="32">IF(E204="","",INDIRECT("AO"&amp;$A204))</f>
        <v/>
      </c>
      <c r="G204" s="251" t="str">
        <f t="shared" ref="G204:G267" ca="1" si="33">IF(F204="","",INDIRECT("AQ"&amp;$A204))</f>
        <v/>
      </c>
      <c r="H204" s="208" t="str">
        <f ca="1">IF(G204="","",IF(VLOOKUP(VOC!F204,'Species Data'!D:E,3,FALSE)=0,"X",IF(G204&lt;44.1,2,1)))</f>
        <v/>
      </c>
      <c r="I204" s="208" t="str">
        <f t="shared" ref="I204:I267" ca="1" si="34">IF(H204="","",SUMIF(D:D,D204,E:E)/($E$9/100))</f>
        <v/>
      </c>
      <c r="J204" s="252" t="str">
        <f ca="1">IF(I204="","",IF(COUNTIF($D$12:D204,D204)=1,IF(H204=1,I204*H204,IF(H204="X","X",0)),0))</f>
        <v/>
      </c>
      <c r="K204" s="253" t="str">
        <f t="shared" ref="K204:K267" ca="1" si="35">IF(J204="","",IF(J204="X",0,J204/$J$9*100))</f>
        <v/>
      </c>
      <c r="L204" s="243"/>
      <c r="M204" s="212"/>
      <c r="N204" s="212"/>
      <c r="O204" s="213"/>
      <c r="P204" s="212"/>
      <c r="Q204" s="214"/>
      <c r="R204" s="212"/>
      <c r="S204" s="212"/>
      <c r="T204" s="212"/>
      <c r="U204" s="212"/>
      <c r="V204" s="214"/>
      <c r="W204" s="214"/>
      <c r="X204" s="214"/>
      <c r="Y204" s="214"/>
      <c r="Z204" s="214"/>
      <c r="AA204" s="212"/>
      <c r="AB204" s="212"/>
      <c r="AC204" s="212"/>
      <c r="AD204" s="214"/>
      <c r="AE204" s="214"/>
      <c r="AF204" s="214"/>
      <c r="AG204" s="214"/>
      <c r="AH204" s="212"/>
      <c r="AI204" s="212"/>
      <c r="AJ204" s="212"/>
      <c r="AK204" s="212"/>
      <c r="AL204" s="212"/>
      <c r="AM204" s="214"/>
      <c r="AN204" s="214"/>
      <c r="AO204" s="212"/>
      <c r="AP204" s="212"/>
      <c r="AQ204" s="214"/>
      <c r="AR204" s="214"/>
      <c r="AS204" s="212"/>
    </row>
    <row r="205" spans="1:45" s="220" customFormat="1" ht="13.5" customHeight="1" x14ac:dyDescent="0.25">
      <c r="A205" s="250" t="str">
        <f t="shared" si="28"/>
        <v/>
      </c>
      <c r="B205" s="251" t="str">
        <f t="shared" si="29"/>
        <v/>
      </c>
      <c r="C205" s="251" t="str">
        <f>IF(B205="","",VLOOKUP(D205,'Species Data'!B:D,4,FALSE))</f>
        <v/>
      </c>
      <c r="D205" s="251" t="str">
        <f t="shared" ca="1" si="30"/>
        <v/>
      </c>
      <c r="E205" s="251" t="str">
        <f t="shared" ca="1" si="31"/>
        <v/>
      </c>
      <c r="F205" s="251" t="str">
        <f t="shared" ca="1" si="32"/>
        <v/>
      </c>
      <c r="G205" s="251" t="str">
        <f t="shared" ca="1" si="33"/>
        <v/>
      </c>
      <c r="H205" s="208" t="str">
        <f ca="1">IF(G205="","",IF(VLOOKUP(VOC!F205,'Species Data'!D:E,3,FALSE)=0,"X",IF(G205&lt;44.1,2,1)))</f>
        <v/>
      </c>
      <c r="I205" s="208" t="str">
        <f t="shared" ca="1" si="34"/>
        <v/>
      </c>
      <c r="J205" s="252" t="str">
        <f ca="1">IF(I205="","",IF(COUNTIF($D$12:D205,D205)=1,IF(H205=1,I205*H205,IF(H205="X","X",0)),0))</f>
        <v/>
      </c>
      <c r="K205" s="253" t="str">
        <f t="shared" ca="1" si="35"/>
        <v/>
      </c>
      <c r="L205" s="243"/>
      <c r="M205" s="212"/>
      <c r="N205" s="212"/>
      <c r="O205" s="213"/>
      <c r="P205" s="212"/>
      <c r="Q205" s="214"/>
      <c r="R205" s="212"/>
      <c r="S205" s="212"/>
      <c r="T205" s="212"/>
      <c r="U205" s="212"/>
      <c r="V205" s="214"/>
      <c r="W205" s="214"/>
      <c r="X205" s="214"/>
      <c r="Y205" s="214"/>
      <c r="Z205" s="214"/>
      <c r="AA205" s="212"/>
      <c r="AB205" s="212"/>
      <c r="AC205" s="212"/>
      <c r="AD205" s="214"/>
      <c r="AE205" s="214"/>
      <c r="AF205" s="214"/>
      <c r="AG205" s="214"/>
      <c r="AH205" s="212"/>
      <c r="AI205" s="212"/>
      <c r="AJ205" s="212"/>
      <c r="AK205" s="212"/>
      <c r="AL205" s="212"/>
      <c r="AM205" s="214"/>
      <c r="AN205" s="214"/>
      <c r="AO205" s="212"/>
      <c r="AP205" s="212"/>
      <c r="AQ205" s="214"/>
      <c r="AR205" s="214"/>
      <c r="AS205" s="212"/>
    </row>
    <row r="206" spans="1:45" s="220" customFormat="1" ht="13.5" customHeight="1" x14ac:dyDescent="0.25">
      <c r="A206" s="250" t="str">
        <f t="shared" ref="A206:A269" si="36">IF(B206="","",A205+1)</f>
        <v/>
      </c>
      <c r="B206" s="251" t="str">
        <f t="shared" si="29"/>
        <v/>
      </c>
      <c r="C206" s="251" t="str">
        <f>IF(B206="","",VLOOKUP(D206,'Species Data'!B:D,4,FALSE))</f>
        <v/>
      </c>
      <c r="D206" s="251" t="str">
        <f t="shared" ca="1" si="30"/>
        <v/>
      </c>
      <c r="E206" s="251" t="str">
        <f t="shared" ca="1" si="31"/>
        <v/>
      </c>
      <c r="F206" s="251" t="str">
        <f t="shared" ca="1" si="32"/>
        <v/>
      </c>
      <c r="G206" s="251" t="str">
        <f t="shared" ca="1" si="33"/>
        <v/>
      </c>
      <c r="H206" s="208" t="str">
        <f ca="1">IF(G206="","",IF(VLOOKUP(VOC!F206,'Species Data'!D:E,3,FALSE)=0,"X",IF(G206&lt;44.1,2,1)))</f>
        <v/>
      </c>
      <c r="I206" s="208" t="str">
        <f t="shared" ca="1" si="34"/>
        <v/>
      </c>
      <c r="J206" s="252" t="str">
        <f ca="1">IF(I206="","",IF(COUNTIF($D$12:D206,D206)=1,IF(H206=1,I206*H206,IF(H206="X","X",0)),0))</f>
        <v/>
      </c>
      <c r="K206" s="253" t="str">
        <f t="shared" ca="1" si="35"/>
        <v/>
      </c>
      <c r="L206" s="243"/>
      <c r="M206" s="212"/>
      <c r="N206" s="212"/>
      <c r="O206" s="213"/>
      <c r="P206" s="212"/>
      <c r="Q206" s="214"/>
      <c r="R206" s="212"/>
      <c r="S206" s="212"/>
      <c r="T206" s="212"/>
      <c r="U206" s="212"/>
      <c r="V206" s="214"/>
      <c r="W206" s="214"/>
      <c r="X206" s="214"/>
      <c r="Y206" s="214"/>
      <c r="Z206" s="214"/>
      <c r="AA206" s="212"/>
      <c r="AB206" s="212"/>
      <c r="AC206" s="212"/>
      <c r="AD206" s="214"/>
      <c r="AE206" s="214"/>
      <c r="AF206" s="214"/>
      <c r="AG206" s="214"/>
      <c r="AH206" s="212"/>
      <c r="AI206" s="212"/>
      <c r="AJ206" s="212"/>
      <c r="AK206" s="212"/>
      <c r="AL206" s="212"/>
      <c r="AM206" s="214"/>
      <c r="AN206" s="214"/>
      <c r="AO206" s="212"/>
      <c r="AP206" s="212"/>
      <c r="AQ206" s="214"/>
      <c r="AR206" s="214"/>
      <c r="AS206" s="212"/>
    </row>
    <row r="207" spans="1:45" s="220" customFormat="1" ht="13.5" customHeight="1" x14ac:dyDescent="0.25">
      <c r="A207" s="250" t="str">
        <f t="shared" si="36"/>
        <v/>
      </c>
      <c r="B207" s="251" t="str">
        <f t="shared" si="29"/>
        <v/>
      </c>
      <c r="C207" s="251" t="str">
        <f>IF(B207="","",VLOOKUP(D207,'Species Data'!B:D,4,FALSE))</f>
        <v/>
      </c>
      <c r="D207" s="251" t="str">
        <f t="shared" ca="1" si="30"/>
        <v/>
      </c>
      <c r="E207" s="251" t="str">
        <f t="shared" ca="1" si="31"/>
        <v/>
      </c>
      <c r="F207" s="251" t="str">
        <f t="shared" ca="1" si="32"/>
        <v/>
      </c>
      <c r="G207" s="251" t="str">
        <f t="shared" ca="1" si="33"/>
        <v/>
      </c>
      <c r="H207" s="208" t="str">
        <f ca="1">IF(G207="","",IF(VLOOKUP(VOC!F207,'Species Data'!D:E,3,FALSE)=0,"X",IF(G207&lt;44.1,2,1)))</f>
        <v/>
      </c>
      <c r="I207" s="208" t="str">
        <f t="shared" ca="1" si="34"/>
        <v/>
      </c>
      <c r="J207" s="252" t="str">
        <f ca="1">IF(I207="","",IF(COUNTIF($D$12:D207,D207)=1,IF(H207=1,I207*H207,IF(H207="X","X",0)),0))</f>
        <v/>
      </c>
      <c r="K207" s="253" t="str">
        <f t="shared" ca="1" si="35"/>
        <v/>
      </c>
      <c r="L207" s="243"/>
      <c r="M207" s="212"/>
      <c r="N207" s="212"/>
      <c r="O207" s="213"/>
      <c r="P207" s="212"/>
      <c r="Q207" s="214"/>
      <c r="R207" s="212"/>
      <c r="S207" s="212"/>
      <c r="T207" s="212"/>
      <c r="U207" s="212"/>
      <c r="V207" s="214"/>
      <c r="W207" s="214"/>
      <c r="X207" s="214"/>
      <c r="Y207" s="214"/>
      <c r="Z207" s="214"/>
      <c r="AA207" s="212"/>
      <c r="AB207" s="212"/>
      <c r="AC207" s="212"/>
      <c r="AD207" s="214"/>
      <c r="AE207" s="214"/>
      <c r="AF207" s="214"/>
      <c r="AG207" s="214"/>
      <c r="AH207" s="212"/>
      <c r="AI207" s="212"/>
      <c r="AJ207" s="212"/>
      <c r="AK207" s="212"/>
      <c r="AL207" s="212"/>
      <c r="AM207" s="214"/>
      <c r="AN207" s="214"/>
      <c r="AO207" s="212"/>
      <c r="AP207" s="212"/>
      <c r="AQ207" s="214"/>
      <c r="AR207" s="214"/>
      <c r="AS207" s="212"/>
    </row>
    <row r="208" spans="1:45" s="220" customFormat="1" ht="13.5" customHeight="1" x14ac:dyDescent="0.25">
      <c r="A208" s="250" t="str">
        <f t="shared" si="36"/>
        <v/>
      </c>
      <c r="B208" s="251" t="str">
        <f t="shared" si="29"/>
        <v/>
      </c>
      <c r="C208" s="251" t="str">
        <f>IF(B208="","",VLOOKUP(D208,'Species Data'!B:D,4,FALSE))</f>
        <v/>
      </c>
      <c r="D208" s="251" t="str">
        <f t="shared" ca="1" si="30"/>
        <v/>
      </c>
      <c r="E208" s="251" t="str">
        <f t="shared" ca="1" si="31"/>
        <v/>
      </c>
      <c r="F208" s="251" t="str">
        <f t="shared" ca="1" si="32"/>
        <v/>
      </c>
      <c r="G208" s="251" t="str">
        <f t="shared" ca="1" si="33"/>
        <v/>
      </c>
      <c r="H208" s="208" t="str">
        <f ca="1">IF(G208="","",IF(VLOOKUP(VOC!F208,'Species Data'!D:E,3,FALSE)=0,"X",IF(G208&lt;44.1,2,1)))</f>
        <v/>
      </c>
      <c r="I208" s="208" t="str">
        <f t="shared" ca="1" si="34"/>
        <v/>
      </c>
      <c r="J208" s="252" t="str">
        <f ca="1">IF(I208="","",IF(COUNTIF($D$12:D208,D208)=1,IF(H208=1,I208*H208,IF(H208="X","X",0)),0))</f>
        <v/>
      </c>
      <c r="K208" s="253" t="str">
        <f t="shared" ca="1" si="35"/>
        <v/>
      </c>
      <c r="L208" s="243"/>
      <c r="M208" s="212"/>
      <c r="N208" s="212"/>
      <c r="O208" s="213"/>
      <c r="P208" s="212"/>
      <c r="Q208" s="214"/>
      <c r="R208" s="212"/>
      <c r="S208" s="212"/>
      <c r="T208" s="212"/>
      <c r="U208" s="212"/>
      <c r="V208" s="214"/>
      <c r="W208" s="214"/>
      <c r="X208" s="214"/>
      <c r="Y208" s="214"/>
      <c r="Z208" s="214"/>
      <c r="AA208" s="212"/>
      <c r="AB208" s="212"/>
      <c r="AC208" s="212"/>
      <c r="AD208" s="214"/>
      <c r="AE208" s="214"/>
      <c r="AF208" s="214"/>
      <c r="AG208" s="214"/>
      <c r="AH208" s="212"/>
      <c r="AI208" s="212"/>
      <c r="AJ208" s="212"/>
      <c r="AK208" s="212"/>
      <c r="AL208" s="212"/>
      <c r="AM208" s="214"/>
      <c r="AN208" s="214"/>
      <c r="AO208" s="212"/>
      <c r="AP208" s="212"/>
      <c r="AQ208" s="214"/>
      <c r="AR208" s="214"/>
      <c r="AS208" s="212"/>
    </row>
    <row r="209" spans="1:45" s="220" customFormat="1" ht="13.5" customHeight="1" x14ac:dyDescent="0.25">
      <c r="A209" s="250" t="str">
        <f t="shared" si="36"/>
        <v/>
      </c>
      <c r="B209" s="251" t="str">
        <f t="shared" si="29"/>
        <v/>
      </c>
      <c r="C209" s="251" t="str">
        <f>IF(B209="","",VLOOKUP(D209,'Species Data'!B:D,4,FALSE))</f>
        <v/>
      </c>
      <c r="D209" s="251" t="str">
        <f t="shared" ca="1" si="30"/>
        <v/>
      </c>
      <c r="E209" s="251" t="str">
        <f t="shared" ca="1" si="31"/>
        <v/>
      </c>
      <c r="F209" s="251" t="str">
        <f t="shared" ca="1" si="32"/>
        <v/>
      </c>
      <c r="G209" s="251" t="str">
        <f t="shared" ca="1" si="33"/>
        <v/>
      </c>
      <c r="H209" s="208" t="str">
        <f ca="1">IF(G209="","",IF(VLOOKUP(VOC!F209,'Species Data'!D:E,3,FALSE)=0,"X",IF(G209&lt;44.1,2,1)))</f>
        <v/>
      </c>
      <c r="I209" s="208" t="str">
        <f t="shared" ca="1" si="34"/>
        <v/>
      </c>
      <c r="J209" s="252" t="str">
        <f ca="1">IF(I209="","",IF(COUNTIF($D$12:D209,D209)=1,IF(H209=1,I209*H209,IF(H209="X","X",0)),0))</f>
        <v/>
      </c>
      <c r="K209" s="253" t="str">
        <f t="shared" ca="1" si="35"/>
        <v/>
      </c>
      <c r="L209" s="243"/>
      <c r="M209" s="212"/>
      <c r="N209" s="212"/>
      <c r="O209" s="213"/>
      <c r="P209" s="212"/>
      <c r="Q209" s="214"/>
      <c r="R209" s="212"/>
      <c r="S209" s="212"/>
      <c r="T209" s="212"/>
      <c r="U209" s="212"/>
      <c r="V209" s="214"/>
      <c r="W209" s="214"/>
      <c r="X209" s="214"/>
      <c r="Y209" s="214"/>
      <c r="Z209" s="214"/>
      <c r="AA209" s="212"/>
      <c r="AB209" s="212"/>
      <c r="AC209" s="212"/>
      <c r="AD209" s="214"/>
      <c r="AE209" s="214"/>
      <c r="AF209" s="214"/>
      <c r="AG209" s="214"/>
      <c r="AH209" s="212"/>
      <c r="AI209" s="212"/>
      <c r="AJ209" s="212"/>
      <c r="AK209" s="212"/>
      <c r="AL209" s="212"/>
      <c r="AM209" s="214"/>
      <c r="AN209" s="214"/>
      <c r="AO209" s="212"/>
      <c r="AP209" s="212"/>
      <c r="AQ209" s="214"/>
      <c r="AR209" s="214"/>
      <c r="AS209" s="212"/>
    </row>
    <row r="210" spans="1:45" s="220" customFormat="1" ht="15" customHeight="1" x14ac:dyDescent="0.25">
      <c r="A210" s="250" t="str">
        <f t="shared" si="36"/>
        <v/>
      </c>
      <c r="B210" s="251" t="str">
        <f t="shared" si="29"/>
        <v/>
      </c>
      <c r="C210" s="251" t="str">
        <f>IF(B210="","",VLOOKUP(D210,'Species Data'!B:D,4,FALSE))</f>
        <v/>
      </c>
      <c r="D210" s="251" t="str">
        <f t="shared" ca="1" si="30"/>
        <v/>
      </c>
      <c r="E210" s="251" t="str">
        <f t="shared" ca="1" si="31"/>
        <v/>
      </c>
      <c r="F210" s="251" t="str">
        <f t="shared" ca="1" si="32"/>
        <v/>
      </c>
      <c r="G210" s="251" t="str">
        <f t="shared" ca="1" si="33"/>
        <v/>
      </c>
      <c r="H210" s="208" t="str">
        <f ca="1">IF(G210="","",IF(VLOOKUP(VOC!F210,'Species Data'!D:E,3,FALSE)=0,"X",IF(G210&lt;44.1,2,1)))</f>
        <v/>
      </c>
      <c r="I210" s="208" t="str">
        <f t="shared" ca="1" si="34"/>
        <v/>
      </c>
      <c r="J210" s="252" t="str">
        <f ca="1">IF(I210="","",IF(COUNTIF($D$12:D210,D210)=1,IF(H210=1,I210*H210,IF(H210="X","X",0)),0))</f>
        <v/>
      </c>
      <c r="K210" s="253" t="str">
        <f t="shared" ca="1" si="35"/>
        <v/>
      </c>
      <c r="L210" s="243"/>
      <c r="M210" s="212"/>
      <c r="N210" s="212"/>
      <c r="O210" s="213"/>
      <c r="P210" s="212"/>
      <c r="Q210" s="214"/>
      <c r="R210" s="212"/>
      <c r="S210" s="212"/>
      <c r="T210" s="212"/>
      <c r="U210" s="212"/>
      <c r="V210" s="214"/>
      <c r="W210" s="214"/>
      <c r="X210" s="214"/>
      <c r="Y210" s="214"/>
      <c r="Z210" s="214"/>
      <c r="AA210" s="212"/>
      <c r="AB210" s="212"/>
      <c r="AC210" s="212"/>
      <c r="AD210" s="214"/>
      <c r="AE210" s="214"/>
      <c r="AF210" s="214"/>
      <c r="AG210" s="214"/>
      <c r="AH210" s="212"/>
      <c r="AI210" s="212"/>
      <c r="AJ210" s="212"/>
      <c r="AK210" s="212"/>
      <c r="AL210" s="212"/>
      <c r="AM210" s="214"/>
      <c r="AN210" s="214"/>
      <c r="AO210" s="212"/>
      <c r="AP210" s="212"/>
      <c r="AQ210" s="214"/>
      <c r="AR210" s="214"/>
      <c r="AS210" s="212"/>
    </row>
    <row r="211" spans="1:45" s="220" customFormat="1" ht="15" customHeight="1" x14ac:dyDescent="0.25">
      <c r="A211" s="250" t="str">
        <f t="shared" si="36"/>
        <v/>
      </c>
      <c r="B211" s="251" t="str">
        <f t="shared" si="29"/>
        <v/>
      </c>
      <c r="C211" s="251" t="str">
        <f>IF(B211="","",VLOOKUP(D211,'Species Data'!B:D,4,FALSE))</f>
        <v/>
      </c>
      <c r="D211" s="251" t="str">
        <f t="shared" ca="1" si="30"/>
        <v/>
      </c>
      <c r="E211" s="251" t="str">
        <f t="shared" ca="1" si="31"/>
        <v/>
      </c>
      <c r="F211" s="251" t="str">
        <f t="shared" ca="1" si="32"/>
        <v/>
      </c>
      <c r="G211" s="251" t="str">
        <f t="shared" ca="1" si="33"/>
        <v/>
      </c>
      <c r="H211" s="208" t="str">
        <f ca="1">IF(G211="","",IF(VLOOKUP(VOC!F211,'Species Data'!D:E,3,FALSE)=0,"X",IF(G211&lt;44.1,2,1)))</f>
        <v/>
      </c>
      <c r="I211" s="208" t="str">
        <f t="shared" ca="1" si="34"/>
        <v/>
      </c>
      <c r="J211" s="252" t="str">
        <f ca="1">IF(I211="","",IF(COUNTIF($D$12:D211,D211)=1,IF(H211=1,I211*H211,IF(H211="X","X",0)),0))</f>
        <v/>
      </c>
      <c r="K211" s="253" t="str">
        <f t="shared" ca="1" si="35"/>
        <v/>
      </c>
      <c r="L211" s="243"/>
      <c r="M211" s="212"/>
      <c r="N211" s="212"/>
      <c r="O211" s="213"/>
      <c r="P211" s="212"/>
      <c r="Q211" s="214"/>
      <c r="R211" s="212"/>
      <c r="S211" s="212"/>
      <c r="T211" s="212"/>
      <c r="U211" s="212"/>
      <c r="V211" s="214"/>
      <c r="W211" s="214"/>
      <c r="X211" s="214"/>
      <c r="Y211" s="214"/>
      <c r="Z211" s="214"/>
      <c r="AA211" s="212"/>
      <c r="AB211" s="212"/>
      <c r="AC211" s="212"/>
      <c r="AD211" s="214"/>
      <c r="AE211" s="214"/>
      <c r="AF211" s="214"/>
      <c r="AG211" s="214"/>
      <c r="AH211" s="212"/>
      <c r="AI211" s="212"/>
      <c r="AJ211" s="212"/>
      <c r="AK211" s="212"/>
      <c r="AL211" s="212"/>
      <c r="AM211" s="214"/>
      <c r="AN211" s="214"/>
      <c r="AO211" s="212"/>
      <c r="AP211" s="212"/>
      <c r="AQ211" s="214"/>
      <c r="AR211" s="214"/>
      <c r="AS211" s="212"/>
    </row>
    <row r="212" spans="1:45" s="220" customFormat="1" ht="15" customHeight="1" x14ac:dyDescent="0.25">
      <c r="A212" s="250" t="str">
        <f t="shared" si="36"/>
        <v/>
      </c>
      <c r="B212" s="251" t="str">
        <f t="shared" si="29"/>
        <v/>
      </c>
      <c r="C212" s="251" t="str">
        <f>IF(B212="","",VLOOKUP(D212,'Species Data'!B:D,4,FALSE))</f>
        <v/>
      </c>
      <c r="D212" s="251" t="str">
        <f t="shared" ca="1" si="30"/>
        <v/>
      </c>
      <c r="E212" s="251" t="str">
        <f t="shared" ca="1" si="31"/>
        <v/>
      </c>
      <c r="F212" s="251" t="str">
        <f t="shared" ca="1" si="32"/>
        <v/>
      </c>
      <c r="G212" s="251" t="str">
        <f t="shared" ca="1" si="33"/>
        <v/>
      </c>
      <c r="H212" s="208" t="str">
        <f ca="1">IF(G212="","",IF(VLOOKUP(VOC!F212,'Species Data'!D:E,3,FALSE)=0,"X",IF(G212&lt;44.1,2,1)))</f>
        <v/>
      </c>
      <c r="I212" s="208" t="str">
        <f t="shared" ca="1" si="34"/>
        <v/>
      </c>
      <c r="J212" s="252" t="str">
        <f ca="1">IF(I212="","",IF(COUNTIF($D$12:D212,D212)=1,IF(H212=1,I212*H212,IF(H212="X","X",0)),0))</f>
        <v/>
      </c>
      <c r="K212" s="253" t="str">
        <f t="shared" ca="1" si="35"/>
        <v/>
      </c>
      <c r="L212" s="243"/>
      <c r="M212" s="212"/>
      <c r="N212" s="212"/>
      <c r="O212" s="213"/>
      <c r="P212" s="212"/>
      <c r="Q212" s="214"/>
      <c r="R212" s="212"/>
      <c r="S212" s="212"/>
      <c r="T212" s="212"/>
      <c r="U212" s="212"/>
      <c r="V212" s="214"/>
      <c r="W212" s="214"/>
      <c r="X212" s="214"/>
      <c r="Y212" s="214"/>
      <c r="Z212" s="214"/>
      <c r="AA212" s="212"/>
      <c r="AB212" s="212"/>
      <c r="AC212" s="212"/>
      <c r="AD212" s="214"/>
      <c r="AE212" s="214"/>
      <c r="AF212" s="214"/>
      <c r="AG212" s="214"/>
      <c r="AH212" s="212"/>
      <c r="AI212" s="212"/>
      <c r="AJ212" s="212"/>
      <c r="AK212" s="212"/>
      <c r="AL212" s="212"/>
      <c r="AM212" s="214"/>
      <c r="AN212" s="214"/>
      <c r="AO212" s="212"/>
      <c r="AP212" s="212"/>
      <c r="AQ212" s="214"/>
      <c r="AR212" s="214"/>
      <c r="AS212" s="212"/>
    </row>
    <row r="213" spans="1:45" s="220" customFormat="1" ht="15" customHeight="1" x14ac:dyDescent="0.25">
      <c r="A213" s="250" t="str">
        <f t="shared" si="36"/>
        <v/>
      </c>
      <c r="B213" s="251" t="str">
        <f t="shared" si="29"/>
        <v/>
      </c>
      <c r="C213" s="251" t="str">
        <f>IF(B213="","",VLOOKUP(D213,'Species Data'!B:D,4,FALSE))</f>
        <v/>
      </c>
      <c r="D213" s="251" t="str">
        <f t="shared" ca="1" si="30"/>
        <v/>
      </c>
      <c r="E213" s="251" t="str">
        <f t="shared" ca="1" si="31"/>
        <v/>
      </c>
      <c r="F213" s="251" t="str">
        <f t="shared" ca="1" si="32"/>
        <v/>
      </c>
      <c r="G213" s="251" t="str">
        <f t="shared" ca="1" si="33"/>
        <v/>
      </c>
      <c r="H213" s="208" t="str">
        <f ca="1">IF(G213="","",IF(VLOOKUP(VOC!F213,'Species Data'!D:E,3,FALSE)=0,"X",IF(G213&lt;44.1,2,1)))</f>
        <v/>
      </c>
      <c r="I213" s="208" t="str">
        <f t="shared" ca="1" si="34"/>
        <v/>
      </c>
      <c r="J213" s="252" t="str">
        <f ca="1">IF(I213="","",IF(COUNTIF($D$12:D213,D213)=1,IF(H213=1,I213*H213,IF(H213="X","X",0)),0))</f>
        <v/>
      </c>
      <c r="K213" s="253" t="str">
        <f t="shared" ca="1" si="35"/>
        <v/>
      </c>
      <c r="L213" s="243"/>
      <c r="M213" s="212"/>
      <c r="N213" s="212"/>
      <c r="O213" s="213"/>
      <c r="P213" s="212"/>
      <c r="Q213" s="214"/>
      <c r="R213" s="212"/>
      <c r="S213" s="212"/>
      <c r="T213" s="212"/>
      <c r="U213" s="212"/>
      <c r="V213" s="214"/>
      <c r="W213" s="214"/>
      <c r="X213" s="214"/>
      <c r="Y213" s="214"/>
      <c r="Z213" s="214"/>
      <c r="AA213" s="212"/>
      <c r="AB213" s="212"/>
      <c r="AC213" s="212"/>
      <c r="AD213" s="214"/>
      <c r="AE213" s="214"/>
      <c r="AF213" s="214"/>
      <c r="AG213" s="214"/>
      <c r="AH213" s="212"/>
      <c r="AI213" s="212"/>
      <c r="AJ213" s="212"/>
      <c r="AK213" s="212"/>
      <c r="AL213" s="212"/>
      <c r="AM213" s="214"/>
      <c r="AN213" s="214"/>
      <c r="AO213" s="212"/>
      <c r="AP213" s="212"/>
      <c r="AQ213" s="214"/>
      <c r="AR213" s="214"/>
      <c r="AS213" s="212"/>
    </row>
    <row r="214" spans="1:45" s="220" customFormat="1" ht="15" customHeight="1" x14ac:dyDescent="0.25">
      <c r="A214" s="250" t="str">
        <f t="shared" si="36"/>
        <v/>
      </c>
      <c r="B214" s="251" t="str">
        <f t="shared" si="29"/>
        <v/>
      </c>
      <c r="C214" s="251" t="str">
        <f>IF(B214="","",VLOOKUP(D214,'Species Data'!B:D,4,FALSE))</f>
        <v/>
      </c>
      <c r="D214" s="251" t="str">
        <f t="shared" ca="1" si="30"/>
        <v/>
      </c>
      <c r="E214" s="251" t="str">
        <f t="shared" ca="1" si="31"/>
        <v/>
      </c>
      <c r="F214" s="251" t="str">
        <f t="shared" ca="1" si="32"/>
        <v/>
      </c>
      <c r="G214" s="251" t="str">
        <f t="shared" ca="1" si="33"/>
        <v/>
      </c>
      <c r="H214" s="208" t="str">
        <f ca="1">IF(G214="","",IF(VLOOKUP(VOC!F214,'Species Data'!D:E,3,FALSE)=0,"X",IF(G214&lt;44.1,2,1)))</f>
        <v/>
      </c>
      <c r="I214" s="208" t="str">
        <f t="shared" ca="1" si="34"/>
        <v/>
      </c>
      <c r="J214" s="252" t="str">
        <f ca="1">IF(I214="","",IF(COUNTIF($D$12:D214,D214)=1,IF(H214=1,I214*H214,IF(H214="X","X",0)),0))</f>
        <v/>
      </c>
      <c r="K214" s="253" t="str">
        <f t="shared" ca="1" si="35"/>
        <v/>
      </c>
      <c r="L214" s="243"/>
      <c r="M214" s="212"/>
      <c r="N214" s="212"/>
      <c r="O214" s="213"/>
      <c r="P214" s="212"/>
      <c r="Q214" s="214"/>
      <c r="R214" s="212"/>
      <c r="S214" s="212"/>
      <c r="T214" s="212"/>
      <c r="U214" s="212"/>
      <c r="V214" s="214"/>
      <c r="W214" s="214"/>
      <c r="X214" s="214"/>
      <c r="Y214" s="214"/>
      <c r="Z214" s="214"/>
      <c r="AA214" s="212"/>
      <c r="AB214" s="212"/>
      <c r="AC214" s="212"/>
      <c r="AD214" s="214"/>
      <c r="AE214" s="214"/>
      <c r="AF214" s="214"/>
      <c r="AG214" s="214"/>
      <c r="AH214" s="212"/>
      <c r="AI214" s="212"/>
      <c r="AJ214" s="212"/>
      <c r="AK214" s="212"/>
      <c r="AL214" s="212"/>
      <c r="AM214" s="214"/>
      <c r="AN214" s="214"/>
      <c r="AO214" s="212"/>
      <c r="AP214" s="212"/>
      <c r="AQ214" s="214"/>
      <c r="AR214" s="214"/>
      <c r="AS214" s="212"/>
    </row>
    <row r="215" spans="1:45" s="220" customFormat="1" ht="15" customHeight="1" x14ac:dyDescent="0.25">
      <c r="A215" s="250" t="str">
        <f t="shared" si="36"/>
        <v/>
      </c>
      <c r="B215" s="251" t="str">
        <f t="shared" si="29"/>
        <v/>
      </c>
      <c r="C215" s="251" t="str">
        <f>IF(B215="","",VLOOKUP(D215,'Species Data'!B:D,4,FALSE))</f>
        <v/>
      </c>
      <c r="D215" s="251" t="str">
        <f t="shared" ca="1" si="30"/>
        <v/>
      </c>
      <c r="E215" s="251" t="str">
        <f t="shared" ca="1" si="31"/>
        <v/>
      </c>
      <c r="F215" s="251" t="str">
        <f t="shared" ca="1" si="32"/>
        <v/>
      </c>
      <c r="G215" s="251" t="str">
        <f t="shared" ca="1" si="33"/>
        <v/>
      </c>
      <c r="H215" s="208" t="str">
        <f ca="1">IF(G215="","",IF(VLOOKUP(VOC!F215,'Species Data'!D:E,3,FALSE)=0,"X",IF(G215&lt;44.1,2,1)))</f>
        <v/>
      </c>
      <c r="I215" s="208" t="str">
        <f t="shared" ca="1" si="34"/>
        <v/>
      </c>
      <c r="J215" s="252" t="str">
        <f ca="1">IF(I215="","",IF(COUNTIF($D$12:D215,D215)=1,IF(H215=1,I215*H215,IF(H215="X","X",0)),0))</f>
        <v/>
      </c>
      <c r="K215" s="253" t="str">
        <f t="shared" ca="1" si="35"/>
        <v/>
      </c>
      <c r="L215" s="243"/>
      <c r="M215" s="212"/>
      <c r="N215" s="212"/>
      <c r="O215" s="213"/>
      <c r="P215" s="212"/>
      <c r="Q215" s="214"/>
      <c r="R215" s="212"/>
      <c r="S215" s="212"/>
      <c r="T215" s="212"/>
      <c r="U215" s="212"/>
      <c r="V215" s="214"/>
      <c r="W215" s="214"/>
      <c r="X215" s="214"/>
      <c r="Y215" s="214"/>
      <c r="Z215" s="214"/>
      <c r="AA215" s="212"/>
      <c r="AB215" s="212"/>
      <c r="AC215" s="212"/>
      <c r="AD215" s="214"/>
      <c r="AE215" s="214"/>
      <c r="AF215" s="214"/>
      <c r="AG215" s="214"/>
      <c r="AH215" s="212"/>
      <c r="AI215" s="212"/>
      <c r="AJ215" s="212"/>
      <c r="AK215" s="212"/>
      <c r="AL215" s="212"/>
      <c r="AM215" s="214"/>
      <c r="AN215" s="214"/>
      <c r="AO215" s="212"/>
      <c r="AP215" s="212"/>
      <c r="AQ215" s="214"/>
      <c r="AR215" s="214"/>
      <c r="AS215" s="212"/>
    </row>
    <row r="216" spans="1:45" s="220" customFormat="1" ht="15" customHeight="1" x14ac:dyDescent="0.25">
      <c r="A216" s="250" t="str">
        <f t="shared" si="36"/>
        <v/>
      </c>
      <c r="B216" s="251" t="str">
        <f t="shared" si="29"/>
        <v/>
      </c>
      <c r="C216" s="251" t="str">
        <f>IF(B216="","",VLOOKUP(D216,'Species Data'!B:D,4,FALSE))</f>
        <v/>
      </c>
      <c r="D216" s="251" t="str">
        <f t="shared" ca="1" si="30"/>
        <v/>
      </c>
      <c r="E216" s="251" t="str">
        <f t="shared" ca="1" si="31"/>
        <v/>
      </c>
      <c r="F216" s="251" t="str">
        <f t="shared" ca="1" si="32"/>
        <v/>
      </c>
      <c r="G216" s="251" t="str">
        <f t="shared" ca="1" si="33"/>
        <v/>
      </c>
      <c r="H216" s="208" t="str">
        <f ca="1">IF(G216="","",IF(VLOOKUP(VOC!F216,'Species Data'!D:E,3,FALSE)=0,"X",IF(G216&lt;44.1,2,1)))</f>
        <v/>
      </c>
      <c r="I216" s="208" t="str">
        <f t="shared" ca="1" si="34"/>
        <v/>
      </c>
      <c r="J216" s="252" t="str">
        <f ca="1">IF(I216="","",IF(COUNTIF($D$12:D216,D216)=1,IF(H216=1,I216*H216,IF(H216="X","X",0)),0))</f>
        <v/>
      </c>
      <c r="K216" s="253" t="str">
        <f t="shared" ca="1" si="35"/>
        <v/>
      </c>
      <c r="L216" s="243"/>
      <c r="M216" s="212"/>
      <c r="N216" s="212"/>
      <c r="O216" s="213"/>
      <c r="P216" s="212"/>
      <c r="Q216" s="214"/>
      <c r="R216" s="212"/>
      <c r="S216" s="212"/>
      <c r="T216" s="212"/>
      <c r="U216" s="212"/>
      <c r="V216" s="214"/>
      <c r="W216" s="214"/>
      <c r="X216" s="214"/>
      <c r="Y216" s="214"/>
      <c r="Z216" s="214"/>
      <c r="AA216" s="212"/>
      <c r="AB216" s="212"/>
      <c r="AC216" s="212"/>
      <c r="AD216" s="214"/>
      <c r="AE216" s="214"/>
      <c r="AF216" s="214"/>
      <c r="AG216" s="214"/>
      <c r="AH216" s="212"/>
      <c r="AI216" s="212"/>
      <c r="AJ216" s="212"/>
      <c r="AK216" s="212"/>
      <c r="AL216" s="212"/>
      <c r="AM216" s="214"/>
      <c r="AN216" s="214"/>
      <c r="AO216" s="212"/>
      <c r="AP216" s="212"/>
      <c r="AQ216" s="214"/>
      <c r="AR216" s="214"/>
      <c r="AS216" s="212"/>
    </row>
    <row r="217" spans="1:45" s="220" customFormat="1" ht="15" customHeight="1" x14ac:dyDescent="0.25">
      <c r="A217" s="250" t="str">
        <f t="shared" si="36"/>
        <v/>
      </c>
      <c r="B217" s="251" t="str">
        <f t="shared" si="29"/>
        <v/>
      </c>
      <c r="C217" s="251" t="str">
        <f>IF(B217="","",VLOOKUP(D217,'Species Data'!B:D,4,FALSE))</f>
        <v/>
      </c>
      <c r="D217" s="251" t="str">
        <f t="shared" ca="1" si="30"/>
        <v/>
      </c>
      <c r="E217" s="251" t="str">
        <f t="shared" ca="1" si="31"/>
        <v/>
      </c>
      <c r="F217" s="251" t="str">
        <f t="shared" ca="1" si="32"/>
        <v/>
      </c>
      <c r="G217" s="251" t="str">
        <f t="shared" ca="1" si="33"/>
        <v/>
      </c>
      <c r="H217" s="208" t="str">
        <f ca="1">IF(G217="","",IF(VLOOKUP(VOC!F217,'Species Data'!D:E,3,FALSE)=0,"X",IF(G217&lt;44.1,2,1)))</f>
        <v/>
      </c>
      <c r="I217" s="208" t="str">
        <f t="shared" ca="1" si="34"/>
        <v/>
      </c>
      <c r="J217" s="252" t="str">
        <f ca="1">IF(I217="","",IF(COUNTIF($D$12:D217,D217)=1,IF(H217=1,I217*H217,IF(H217="X","X",0)),0))</f>
        <v/>
      </c>
      <c r="K217" s="253" t="str">
        <f t="shared" ca="1" si="35"/>
        <v/>
      </c>
      <c r="L217" s="243"/>
      <c r="M217" s="212"/>
      <c r="N217" s="212"/>
      <c r="O217" s="213"/>
      <c r="P217" s="212"/>
      <c r="Q217" s="214"/>
      <c r="R217" s="212"/>
      <c r="S217" s="212"/>
      <c r="T217" s="212"/>
      <c r="U217" s="212"/>
      <c r="V217" s="214"/>
      <c r="W217" s="214"/>
      <c r="X217" s="214"/>
      <c r="Y217" s="214"/>
      <c r="Z217" s="214"/>
      <c r="AA217" s="212"/>
      <c r="AB217" s="212"/>
      <c r="AC217" s="212"/>
      <c r="AD217" s="214"/>
      <c r="AE217" s="214"/>
      <c r="AF217" s="214"/>
      <c r="AG217" s="214"/>
      <c r="AH217" s="212"/>
      <c r="AI217" s="212"/>
      <c r="AJ217" s="212"/>
      <c r="AK217" s="212"/>
      <c r="AL217" s="212"/>
      <c r="AM217" s="214"/>
      <c r="AN217" s="214"/>
      <c r="AO217" s="212"/>
      <c r="AP217" s="212"/>
      <c r="AQ217" s="214"/>
      <c r="AR217" s="214"/>
      <c r="AS217" s="212"/>
    </row>
    <row r="218" spans="1:45" s="220" customFormat="1" ht="15" customHeight="1" x14ac:dyDescent="0.25">
      <c r="A218" s="250" t="str">
        <f t="shared" si="36"/>
        <v/>
      </c>
      <c r="B218" s="251" t="str">
        <f t="shared" si="29"/>
        <v/>
      </c>
      <c r="C218" s="251" t="str">
        <f>IF(B218="","",VLOOKUP(D218,'Species Data'!B:D,4,FALSE))</f>
        <v/>
      </c>
      <c r="D218" s="251" t="str">
        <f t="shared" ca="1" si="30"/>
        <v/>
      </c>
      <c r="E218" s="251" t="str">
        <f t="shared" ca="1" si="31"/>
        <v/>
      </c>
      <c r="F218" s="251" t="str">
        <f t="shared" ca="1" si="32"/>
        <v/>
      </c>
      <c r="G218" s="251" t="str">
        <f t="shared" ca="1" si="33"/>
        <v/>
      </c>
      <c r="H218" s="208" t="str">
        <f ca="1">IF(G218="","",IF(VLOOKUP(VOC!F218,'Species Data'!D:E,3,FALSE)=0,"X",IF(G218&lt;44.1,2,1)))</f>
        <v/>
      </c>
      <c r="I218" s="208" t="str">
        <f t="shared" ca="1" si="34"/>
        <v/>
      </c>
      <c r="J218" s="252" t="str">
        <f ca="1">IF(I218="","",IF(COUNTIF($D$12:D218,D218)=1,IF(H218=1,I218*H218,IF(H218="X","X",0)),0))</f>
        <v/>
      </c>
      <c r="K218" s="253" t="str">
        <f t="shared" ca="1" si="35"/>
        <v/>
      </c>
      <c r="L218" s="243"/>
      <c r="M218" s="212"/>
      <c r="N218" s="212"/>
      <c r="O218" s="213"/>
      <c r="P218" s="212"/>
      <c r="Q218" s="214"/>
      <c r="R218" s="212"/>
      <c r="S218" s="212"/>
      <c r="T218" s="212"/>
      <c r="U218" s="212"/>
      <c r="V218" s="214"/>
      <c r="W218" s="214"/>
      <c r="X218" s="214"/>
      <c r="Y218" s="214"/>
      <c r="Z218" s="214"/>
      <c r="AA218" s="212"/>
      <c r="AB218" s="212"/>
      <c r="AC218" s="212"/>
      <c r="AD218" s="214"/>
      <c r="AE218" s="214"/>
      <c r="AF218" s="214"/>
      <c r="AG218" s="214"/>
      <c r="AH218" s="212"/>
      <c r="AI218" s="212"/>
      <c r="AJ218" s="212"/>
      <c r="AK218" s="212"/>
      <c r="AL218" s="212"/>
      <c r="AM218" s="214"/>
      <c r="AN218" s="214"/>
      <c r="AO218" s="212"/>
      <c r="AP218" s="212"/>
      <c r="AQ218" s="214"/>
      <c r="AR218" s="214"/>
      <c r="AS218" s="212"/>
    </row>
    <row r="219" spans="1:45" s="220" customFormat="1" ht="15" customHeight="1" x14ac:dyDescent="0.25">
      <c r="A219" s="250" t="str">
        <f t="shared" si="36"/>
        <v/>
      </c>
      <c r="B219" s="251" t="str">
        <f t="shared" si="29"/>
        <v/>
      </c>
      <c r="C219" s="251" t="str">
        <f>IF(B219="","",VLOOKUP(D219,'Species Data'!B:D,4,FALSE))</f>
        <v/>
      </c>
      <c r="D219" s="251" t="str">
        <f t="shared" ca="1" si="30"/>
        <v/>
      </c>
      <c r="E219" s="251" t="str">
        <f t="shared" ca="1" si="31"/>
        <v/>
      </c>
      <c r="F219" s="251" t="str">
        <f t="shared" ca="1" si="32"/>
        <v/>
      </c>
      <c r="G219" s="251" t="str">
        <f t="shared" ca="1" si="33"/>
        <v/>
      </c>
      <c r="H219" s="208" t="str">
        <f ca="1">IF(G219="","",IF(VLOOKUP(VOC!F219,'Species Data'!D:E,3,FALSE)=0,"X",IF(G219&lt;44.1,2,1)))</f>
        <v/>
      </c>
      <c r="I219" s="208" t="str">
        <f t="shared" ca="1" si="34"/>
        <v/>
      </c>
      <c r="J219" s="252" t="str">
        <f ca="1">IF(I219="","",IF(COUNTIF($D$12:D219,D219)=1,IF(H219=1,I219*H219,IF(H219="X","X",0)),0))</f>
        <v/>
      </c>
      <c r="K219" s="253" t="str">
        <f t="shared" ca="1" si="35"/>
        <v/>
      </c>
      <c r="L219" s="243"/>
      <c r="M219" s="212"/>
      <c r="N219" s="212"/>
      <c r="O219" s="213"/>
      <c r="P219" s="212"/>
      <c r="Q219" s="214"/>
      <c r="R219" s="212"/>
      <c r="S219" s="212"/>
      <c r="T219" s="212"/>
      <c r="U219" s="212"/>
      <c r="V219" s="214"/>
      <c r="W219" s="214"/>
      <c r="X219" s="214"/>
      <c r="Y219" s="214"/>
      <c r="Z219" s="214"/>
      <c r="AA219" s="212"/>
      <c r="AB219" s="212"/>
      <c r="AC219" s="212"/>
      <c r="AD219" s="214"/>
      <c r="AE219" s="214"/>
      <c r="AF219" s="214"/>
      <c r="AG219" s="214"/>
      <c r="AH219" s="212"/>
      <c r="AI219" s="212"/>
      <c r="AJ219" s="212"/>
      <c r="AK219" s="212"/>
      <c r="AL219" s="212"/>
      <c r="AM219" s="214"/>
      <c r="AN219" s="214"/>
      <c r="AO219" s="212"/>
      <c r="AP219" s="212"/>
      <c r="AQ219" s="214"/>
      <c r="AR219" s="214"/>
      <c r="AS219" s="212"/>
    </row>
    <row r="220" spans="1:45" s="220" customFormat="1" ht="15" customHeight="1" x14ac:dyDescent="0.25">
      <c r="A220" s="250" t="str">
        <f t="shared" si="36"/>
        <v/>
      </c>
      <c r="B220" s="251" t="str">
        <f t="shared" si="29"/>
        <v/>
      </c>
      <c r="C220" s="251" t="str">
        <f>IF(B220="","",VLOOKUP(D220,'Species Data'!B:D,4,FALSE))</f>
        <v/>
      </c>
      <c r="D220" s="251" t="str">
        <f t="shared" ca="1" si="30"/>
        <v/>
      </c>
      <c r="E220" s="251" t="str">
        <f t="shared" ca="1" si="31"/>
        <v/>
      </c>
      <c r="F220" s="251" t="str">
        <f t="shared" ca="1" si="32"/>
        <v/>
      </c>
      <c r="G220" s="251" t="str">
        <f t="shared" ca="1" si="33"/>
        <v/>
      </c>
      <c r="H220" s="208" t="str">
        <f ca="1">IF(G220="","",IF(VLOOKUP(VOC!F220,'Species Data'!D:E,3,FALSE)=0,"X",IF(G220&lt;44.1,2,1)))</f>
        <v/>
      </c>
      <c r="I220" s="208" t="str">
        <f t="shared" ca="1" si="34"/>
        <v/>
      </c>
      <c r="J220" s="252" t="str">
        <f ca="1">IF(I220="","",IF(COUNTIF($D$12:D220,D220)=1,IF(H220=1,I220*H220,IF(H220="X","X",0)),0))</f>
        <v/>
      </c>
      <c r="K220" s="253" t="str">
        <f t="shared" ca="1" si="35"/>
        <v/>
      </c>
      <c r="L220" s="243"/>
      <c r="M220" s="212"/>
      <c r="N220" s="212"/>
      <c r="O220" s="213"/>
      <c r="P220" s="212"/>
      <c r="Q220" s="214"/>
      <c r="R220" s="212"/>
      <c r="S220" s="212"/>
      <c r="T220" s="212"/>
      <c r="U220" s="212"/>
      <c r="V220" s="214"/>
      <c r="W220" s="214"/>
      <c r="X220" s="214"/>
      <c r="Y220" s="214"/>
      <c r="Z220" s="214"/>
      <c r="AA220" s="212"/>
      <c r="AB220" s="212"/>
      <c r="AC220" s="212"/>
      <c r="AD220" s="214"/>
      <c r="AE220" s="214"/>
      <c r="AF220" s="214"/>
      <c r="AG220" s="214"/>
      <c r="AH220" s="212"/>
      <c r="AI220" s="212"/>
      <c r="AJ220" s="212"/>
      <c r="AK220" s="212"/>
      <c r="AL220" s="212"/>
      <c r="AM220" s="214"/>
      <c r="AN220" s="214"/>
      <c r="AO220" s="212"/>
      <c r="AP220" s="212"/>
      <c r="AQ220" s="214"/>
      <c r="AR220" s="214"/>
      <c r="AS220" s="212"/>
    </row>
    <row r="221" spans="1:45" s="220" customFormat="1" ht="15" customHeight="1" x14ac:dyDescent="0.25">
      <c r="A221" s="250" t="str">
        <f t="shared" si="36"/>
        <v/>
      </c>
      <c r="B221" s="251" t="str">
        <f t="shared" si="29"/>
        <v/>
      </c>
      <c r="C221" s="251" t="str">
        <f>IF(B221="","",VLOOKUP(D221,'Species Data'!B:D,4,FALSE))</f>
        <v/>
      </c>
      <c r="D221" s="251" t="str">
        <f t="shared" ca="1" si="30"/>
        <v/>
      </c>
      <c r="E221" s="251" t="str">
        <f t="shared" ca="1" si="31"/>
        <v/>
      </c>
      <c r="F221" s="251" t="str">
        <f t="shared" ca="1" si="32"/>
        <v/>
      </c>
      <c r="G221" s="251" t="str">
        <f t="shared" ca="1" si="33"/>
        <v/>
      </c>
      <c r="H221" s="208" t="str">
        <f ca="1">IF(G221="","",IF(VLOOKUP(VOC!F221,'Species Data'!D:E,3,FALSE)=0,"X",IF(G221&lt;44.1,2,1)))</f>
        <v/>
      </c>
      <c r="I221" s="208" t="str">
        <f t="shared" ca="1" si="34"/>
        <v/>
      </c>
      <c r="J221" s="252" t="str">
        <f ca="1">IF(I221="","",IF(COUNTIF($D$12:D221,D221)=1,IF(H221=1,I221*H221,IF(H221="X","X",0)),0))</f>
        <v/>
      </c>
      <c r="K221" s="253" t="str">
        <f t="shared" ca="1" si="35"/>
        <v/>
      </c>
      <c r="L221" s="243"/>
      <c r="M221" s="212"/>
      <c r="N221" s="212"/>
      <c r="O221" s="213"/>
      <c r="P221" s="212"/>
      <c r="Q221" s="214"/>
      <c r="R221" s="212"/>
      <c r="S221" s="212"/>
      <c r="T221" s="212"/>
      <c r="U221" s="212"/>
      <c r="V221" s="214"/>
      <c r="W221" s="214"/>
      <c r="X221" s="214"/>
      <c r="Y221" s="214"/>
      <c r="Z221" s="214"/>
      <c r="AA221" s="212"/>
      <c r="AB221" s="212"/>
      <c r="AC221" s="212"/>
      <c r="AD221" s="214"/>
      <c r="AE221" s="214"/>
      <c r="AF221" s="214"/>
      <c r="AG221" s="214"/>
      <c r="AH221" s="212"/>
      <c r="AI221" s="212"/>
      <c r="AJ221" s="212"/>
      <c r="AK221" s="212"/>
      <c r="AL221" s="212"/>
      <c r="AM221" s="214"/>
      <c r="AN221" s="214"/>
      <c r="AO221" s="212"/>
      <c r="AP221" s="212"/>
      <c r="AQ221" s="214"/>
      <c r="AR221" s="214"/>
      <c r="AS221" s="212"/>
    </row>
    <row r="222" spans="1:45" s="220" customFormat="1" ht="15" customHeight="1" x14ac:dyDescent="0.25">
      <c r="A222" s="250" t="str">
        <f t="shared" si="36"/>
        <v/>
      </c>
      <c r="B222" s="251" t="str">
        <f t="shared" si="29"/>
        <v/>
      </c>
      <c r="C222" s="251" t="str">
        <f>IF(B222="","",VLOOKUP(D222,'Species Data'!B:D,4,FALSE))</f>
        <v/>
      </c>
      <c r="D222" s="251" t="str">
        <f t="shared" ca="1" si="30"/>
        <v/>
      </c>
      <c r="E222" s="251" t="str">
        <f t="shared" ca="1" si="31"/>
        <v/>
      </c>
      <c r="F222" s="251" t="str">
        <f t="shared" ca="1" si="32"/>
        <v/>
      </c>
      <c r="G222" s="251" t="str">
        <f t="shared" ca="1" si="33"/>
        <v/>
      </c>
      <c r="H222" s="208" t="str">
        <f ca="1">IF(G222="","",IF(VLOOKUP(VOC!F222,'Species Data'!D:E,3,FALSE)=0,"X",IF(G222&lt;44.1,2,1)))</f>
        <v/>
      </c>
      <c r="I222" s="208" t="str">
        <f t="shared" ca="1" si="34"/>
        <v/>
      </c>
      <c r="J222" s="252" t="str">
        <f ca="1">IF(I222="","",IF(COUNTIF($D$12:D222,D222)=1,IF(H222=1,I222*H222,IF(H222="X","X",0)),0))</f>
        <v/>
      </c>
      <c r="K222" s="253" t="str">
        <f t="shared" ca="1" si="35"/>
        <v/>
      </c>
      <c r="L222" s="243"/>
      <c r="M222" s="212"/>
      <c r="N222" s="212"/>
      <c r="O222" s="213"/>
      <c r="P222" s="212"/>
      <c r="Q222" s="214"/>
      <c r="R222" s="212"/>
      <c r="S222" s="212"/>
      <c r="T222" s="212"/>
      <c r="U222" s="212"/>
      <c r="V222" s="214"/>
      <c r="W222" s="214"/>
      <c r="X222" s="214"/>
      <c r="Y222" s="214"/>
      <c r="Z222" s="214"/>
      <c r="AA222" s="212"/>
      <c r="AB222" s="212"/>
      <c r="AC222" s="212"/>
      <c r="AD222" s="214"/>
      <c r="AE222" s="214"/>
      <c r="AF222" s="214"/>
      <c r="AG222" s="214"/>
      <c r="AH222" s="212"/>
      <c r="AI222" s="212"/>
      <c r="AJ222" s="212"/>
      <c r="AK222" s="212"/>
      <c r="AL222" s="212"/>
      <c r="AM222" s="214"/>
      <c r="AN222" s="214"/>
      <c r="AO222" s="212"/>
      <c r="AP222" s="212"/>
      <c r="AQ222" s="214"/>
      <c r="AR222" s="214"/>
      <c r="AS222" s="212"/>
    </row>
    <row r="223" spans="1:45" s="220" customFormat="1" ht="15" customHeight="1" x14ac:dyDescent="0.25">
      <c r="A223" s="250" t="str">
        <f t="shared" si="36"/>
        <v/>
      </c>
      <c r="B223" s="251" t="str">
        <f t="shared" si="29"/>
        <v/>
      </c>
      <c r="C223" s="251" t="str">
        <f>IF(B223="","",VLOOKUP(D223,'Species Data'!B:D,4,FALSE))</f>
        <v/>
      </c>
      <c r="D223" s="251" t="str">
        <f t="shared" ca="1" si="30"/>
        <v/>
      </c>
      <c r="E223" s="251" t="str">
        <f t="shared" ca="1" si="31"/>
        <v/>
      </c>
      <c r="F223" s="251" t="str">
        <f t="shared" ca="1" si="32"/>
        <v/>
      </c>
      <c r="G223" s="251" t="str">
        <f t="shared" ca="1" si="33"/>
        <v/>
      </c>
      <c r="H223" s="208" t="str">
        <f ca="1">IF(G223="","",IF(VLOOKUP(VOC!F223,'Species Data'!D:E,3,FALSE)=0,"X",IF(G223&lt;44.1,2,1)))</f>
        <v/>
      </c>
      <c r="I223" s="208" t="str">
        <f t="shared" ca="1" si="34"/>
        <v/>
      </c>
      <c r="J223" s="252" t="str">
        <f ca="1">IF(I223="","",IF(COUNTIF($D$12:D223,D223)=1,IF(H223=1,I223*H223,IF(H223="X","X",0)),0))</f>
        <v/>
      </c>
      <c r="K223" s="253" t="str">
        <f t="shared" ca="1" si="35"/>
        <v/>
      </c>
      <c r="L223" s="243"/>
      <c r="M223" s="212"/>
      <c r="N223" s="212"/>
      <c r="O223" s="213"/>
      <c r="P223" s="212"/>
      <c r="Q223" s="214"/>
      <c r="R223" s="212"/>
      <c r="S223" s="212"/>
      <c r="T223" s="212"/>
      <c r="U223" s="212"/>
      <c r="V223" s="214"/>
      <c r="W223" s="214"/>
      <c r="X223" s="214"/>
      <c r="Y223" s="214"/>
      <c r="Z223" s="214"/>
      <c r="AA223" s="212"/>
      <c r="AB223" s="212"/>
      <c r="AC223" s="212"/>
      <c r="AD223" s="214"/>
      <c r="AE223" s="214"/>
      <c r="AF223" s="214"/>
      <c r="AG223" s="214"/>
      <c r="AH223" s="212"/>
      <c r="AI223" s="212"/>
      <c r="AJ223" s="212"/>
      <c r="AK223" s="212"/>
      <c r="AL223" s="212"/>
      <c r="AM223" s="214"/>
      <c r="AN223" s="214"/>
      <c r="AO223" s="212"/>
      <c r="AP223" s="212"/>
      <c r="AQ223" s="214"/>
      <c r="AR223" s="214"/>
      <c r="AS223" s="212"/>
    </row>
    <row r="224" spans="1:45" s="220" customFormat="1" ht="15" customHeight="1" x14ac:dyDescent="0.25">
      <c r="A224" s="250" t="str">
        <f t="shared" si="36"/>
        <v/>
      </c>
      <c r="B224" s="251" t="str">
        <f t="shared" si="29"/>
        <v/>
      </c>
      <c r="C224" s="251" t="str">
        <f>IF(B224="","",VLOOKUP(D224,'Species Data'!B:D,4,FALSE))</f>
        <v/>
      </c>
      <c r="D224" s="251" t="str">
        <f t="shared" ca="1" si="30"/>
        <v/>
      </c>
      <c r="E224" s="251" t="str">
        <f t="shared" ca="1" si="31"/>
        <v/>
      </c>
      <c r="F224" s="251" t="str">
        <f t="shared" ca="1" si="32"/>
        <v/>
      </c>
      <c r="G224" s="251" t="str">
        <f t="shared" ca="1" si="33"/>
        <v/>
      </c>
      <c r="H224" s="208" t="str">
        <f ca="1">IF(G224="","",IF(VLOOKUP(VOC!F224,'Species Data'!D:E,3,FALSE)=0,"X",IF(G224&lt;44.1,2,1)))</f>
        <v/>
      </c>
      <c r="I224" s="208" t="str">
        <f t="shared" ca="1" si="34"/>
        <v/>
      </c>
      <c r="J224" s="252" t="str">
        <f ca="1">IF(I224="","",IF(COUNTIF($D$12:D224,D224)=1,IF(H224=1,I224*H224,IF(H224="X","X",0)),0))</f>
        <v/>
      </c>
      <c r="K224" s="253" t="str">
        <f t="shared" ca="1" si="35"/>
        <v/>
      </c>
      <c r="L224" s="243"/>
      <c r="M224" s="212"/>
      <c r="N224" s="212"/>
      <c r="O224" s="213"/>
      <c r="P224" s="212"/>
      <c r="Q224" s="214"/>
      <c r="R224" s="212"/>
      <c r="S224" s="212"/>
      <c r="T224" s="212"/>
      <c r="U224" s="212"/>
      <c r="V224" s="214"/>
      <c r="W224" s="214"/>
      <c r="X224" s="214"/>
      <c r="Y224" s="214"/>
      <c r="Z224" s="214"/>
      <c r="AA224" s="212"/>
      <c r="AB224" s="212"/>
      <c r="AC224" s="212"/>
      <c r="AD224" s="214"/>
      <c r="AE224" s="214"/>
      <c r="AF224" s="214"/>
      <c r="AG224" s="214"/>
      <c r="AH224" s="212"/>
      <c r="AI224" s="212"/>
      <c r="AJ224" s="212"/>
      <c r="AK224" s="212"/>
      <c r="AL224" s="212"/>
      <c r="AM224" s="214"/>
      <c r="AN224" s="214"/>
      <c r="AO224" s="212"/>
      <c r="AP224" s="212"/>
      <c r="AQ224" s="214"/>
      <c r="AR224" s="214"/>
      <c r="AS224" s="212"/>
    </row>
    <row r="225" spans="1:45" s="220" customFormat="1" ht="15" customHeight="1" x14ac:dyDescent="0.25">
      <c r="A225" s="250" t="str">
        <f t="shared" si="36"/>
        <v/>
      </c>
      <c r="B225" s="251" t="str">
        <f t="shared" si="29"/>
        <v/>
      </c>
      <c r="C225" s="251" t="str">
        <f>IF(B225="","",VLOOKUP(D225,'Species Data'!B:D,4,FALSE))</f>
        <v/>
      </c>
      <c r="D225" s="251" t="str">
        <f t="shared" ca="1" si="30"/>
        <v/>
      </c>
      <c r="E225" s="251" t="str">
        <f t="shared" ca="1" si="31"/>
        <v/>
      </c>
      <c r="F225" s="251" t="str">
        <f t="shared" ca="1" si="32"/>
        <v/>
      </c>
      <c r="G225" s="251" t="str">
        <f t="shared" ca="1" si="33"/>
        <v/>
      </c>
      <c r="H225" s="208" t="str">
        <f ca="1">IF(G225="","",IF(VLOOKUP(VOC!F225,'Species Data'!D:E,3,FALSE)=0,"X",IF(G225&lt;44.1,2,1)))</f>
        <v/>
      </c>
      <c r="I225" s="208" t="str">
        <f t="shared" ca="1" si="34"/>
        <v/>
      </c>
      <c r="J225" s="252" t="str">
        <f ca="1">IF(I225="","",IF(COUNTIF($D$12:D225,D225)=1,IF(H225=1,I225*H225,IF(H225="X","X",0)),0))</f>
        <v/>
      </c>
      <c r="K225" s="253" t="str">
        <f t="shared" ca="1" si="35"/>
        <v/>
      </c>
      <c r="L225" s="243"/>
      <c r="M225" s="212"/>
      <c r="N225" s="212"/>
      <c r="O225" s="213"/>
      <c r="P225" s="212"/>
      <c r="Q225" s="214"/>
      <c r="R225" s="212"/>
      <c r="S225" s="212"/>
      <c r="T225" s="212"/>
      <c r="U225" s="212"/>
      <c r="V225" s="214"/>
      <c r="W225" s="214"/>
      <c r="X225" s="214"/>
      <c r="Y225" s="214"/>
      <c r="Z225" s="214"/>
      <c r="AA225" s="212"/>
      <c r="AB225" s="212"/>
      <c r="AC225" s="212"/>
      <c r="AD225" s="214"/>
      <c r="AE225" s="214"/>
      <c r="AF225" s="214"/>
      <c r="AG225" s="214"/>
      <c r="AH225" s="212"/>
      <c r="AI225" s="212"/>
      <c r="AJ225" s="212"/>
      <c r="AK225" s="212"/>
      <c r="AL225" s="212"/>
      <c r="AM225" s="214"/>
      <c r="AN225" s="214"/>
      <c r="AO225" s="212"/>
      <c r="AP225" s="212"/>
      <c r="AQ225" s="214"/>
      <c r="AR225" s="214"/>
      <c r="AS225" s="212"/>
    </row>
    <row r="226" spans="1:45" s="220" customFormat="1" ht="15" customHeight="1" x14ac:dyDescent="0.25">
      <c r="A226" s="250" t="str">
        <f t="shared" si="36"/>
        <v/>
      </c>
      <c r="B226" s="251" t="str">
        <f t="shared" si="29"/>
        <v/>
      </c>
      <c r="C226" s="251" t="str">
        <f>IF(B226="","",VLOOKUP(D226,'Species Data'!B:D,4,FALSE))</f>
        <v/>
      </c>
      <c r="D226" s="251" t="str">
        <f t="shared" ca="1" si="30"/>
        <v/>
      </c>
      <c r="E226" s="251" t="str">
        <f t="shared" ca="1" si="31"/>
        <v/>
      </c>
      <c r="F226" s="251" t="str">
        <f t="shared" ca="1" si="32"/>
        <v/>
      </c>
      <c r="G226" s="251" t="str">
        <f t="shared" ca="1" si="33"/>
        <v/>
      </c>
      <c r="H226" s="208" t="str">
        <f ca="1">IF(G226="","",IF(VLOOKUP(VOC!F226,'Species Data'!D:E,3,FALSE)=0,"X",IF(G226&lt;44.1,2,1)))</f>
        <v/>
      </c>
      <c r="I226" s="208" t="str">
        <f t="shared" ca="1" si="34"/>
        <v/>
      </c>
      <c r="J226" s="252" t="str">
        <f ca="1">IF(I226="","",IF(COUNTIF($D$12:D226,D226)=1,IF(H226=1,I226*H226,IF(H226="X","X",0)),0))</f>
        <v/>
      </c>
      <c r="K226" s="253" t="str">
        <f t="shared" ca="1" si="35"/>
        <v/>
      </c>
      <c r="L226" s="243"/>
      <c r="M226" s="212"/>
      <c r="N226" s="212"/>
      <c r="O226" s="213"/>
      <c r="P226" s="212"/>
      <c r="Q226" s="214"/>
      <c r="R226" s="212"/>
      <c r="S226" s="212"/>
      <c r="T226" s="212"/>
      <c r="U226" s="212"/>
      <c r="V226" s="214"/>
      <c r="W226" s="214"/>
      <c r="X226" s="214"/>
      <c r="Y226" s="214"/>
      <c r="Z226" s="214"/>
      <c r="AA226" s="212"/>
      <c r="AB226" s="212"/>
      <c r="AC226" s="212"/>
      <c r="AD226" s="214"/>
      <c r="AE226" s="214"/>
      <c r="AF226" s="214"/>
      <c r="AG226" s="214"/>
      <c r="AH226" s="212"/>
      <c r="AI226" s="212"/>
      <c r="AJ226" s="212"/>
      <c r="AK226" s="212"/>
      <c r="AL226" s="212"/>
      <c r="AM226" s="214"/>
      <c r="AN226" s="214"/>
      <c r="AO226" s="212"/>
      <c r="AP226" s="212"/>
      <c r="AQ226" s="214"/>
      <c r="AR226" s="214"/>
      <c r="AS226" s="212"/>
    </row>
    <row r="227" spans="1:45" s="220" customFormat="1" x14ac:dyDescent="0.25">
      <c r="A227" s="250" t="str">
        <f t="shared" si="36"/>
        <v/>
      </c>
      <c r="B227" s="251" t="str">
        <f t="shared" si="29"/>
        <v/>
      </c>
      <c r="C227" s="251" t="str">
        <f>IF(B227="","",VLOOKUP(D227,'Species Data'!B:D,4,FALSE))</f>
        <v/>
      </c>
      <c r="D227" s="251" t="str">
        <f t="shared" ca="1" si="30"/>
        <v/>
      </c>
      <c r="E227" s="251" t="str">
        <f t="shared" ca="1" si="31"/>
        <v/>
      </c>
      <c r="F227" s="251" t="str">
        <f t="shared" ca="1" si="32"/>
        <v/>
      </c>
      <c r="G227" s="251" t="str">
        <f t="shared" ca="1" si="33"/>
        <v/>
      </c>
      <c r="H227" s="208" t="str">
        <f ca="1">IF(G227="","",IF(VLOOKUP(VOC!F227,'Species Data'!D:E,3,FALSE)=0,"X",IF(G227&lt;44.1,2,1)))</f>
        <v/>
      </c>
      <c r="I227" s="208" t="str">
        <f t="shared" ca="1" si="34"/>
        <v/>
      </c>
      <c r="J227" s="252" t="str">
        <f ca="1">IF(I227="","",IF(COUNTIF($D$12:D227,D227)=1,IF(H227=1,I227*H227,IF(H227="X","X",0)),0))</f>
        <v/>
      </c>
      <c r="K227" s="253" t="str">
        <f t="shared" ca="1" si="35"/>
        <v/>
      </c>
      <c r="L227" s="243"/>
      <c r="M227" s="212"/>
      <c r="N227" s="212"/>
      <c r="O227" s="213"/>
      <c r="P227" s="212"/>
      <c r="Q227" s="214"/>
      <c r="R227" s="212"/>
      <c r="S227" s="212"/>
      <c r="T227" s="212"/>
      <c r="U227" s="212"/>
      <c r="V227" s="214"/>
      <c r="W227" s="214"/>
      <c r="X227" s="214"/>
      <c r="Y227" s="214"/>
      <c r="Z227" s="214"/>
      <c r="AA227" s="212"/>
      <c r="AB227" s="212"/>
      <c r="AC227" s="212"/>
      <c r="AD227" s="214"/>
      <c r="AE227" s="214"/>
      <c r="AF227" s="214"/>
      <c r="AG227" s="214"/>
      <c r="AH227" s="212"/>
      <c r="AI227" s="212"/>
      <c r="AJ227" s="212"/>
      <c r="AK227" s="212"/>
      <c r="AL227" s="212"/>
      <c r="AM227" s="214"/>
      <c r="AN227" s="214"/>
      <c r="AO227" s="212"/>
      <c r="AP227" s="212"/>
      <c r="AQ227" s="214"/>
      <c r="AR227" s="214"/>
      <c r="AS227" s="212"/>
    </row>
    <row r="228" spans="1:45" s="220" customFormat="1" x14ac:dyDescent="0.25">
      <c r="A228" s="250" t="str">
        <f t="shared" si="36"/>
        <v/>
      </c>
      <c r="B228" s="251" t="str">
        <f t="shared" si="29"/>
        <v/>
      </c>
      <c r="C228" s="251" t="str">
        <f>IF(B228="","",VLOOKUP(D228,'Species Data'!B:D,4,FALSE))</f>
        <v/>
      </c>
      <c r="D228" s="251" t="str">
        <f t="shared" ca="1" si="30"/>
        <v/>
      </c>
      <c r="E228" s="251" t="str">
        <f t="shared" ca="1" si="31"/>
        <v/>
      </c>
      <c r="F228" s="251" t="str">
        <f t="shared" ca="1" si="32"/>
        <v/>
      </c>
      <c r="G228" s="251" t="str">
        <f t="shared" ca="1" si="33"/>
        <v/>
      </c>
      <c r="H228" s="208" t="str">
        <f ca="1">IF(G228="","",IF(VLOOKUP(VOC!F228,'Species Data'!D:E,3,FALSE)=0,"X",IF(G228&lt;44.1,2,1)))</f>
        <v/>
      </c>
      <c r="I228" s="208" t="str">
        <f t="shared" ca="1" si="34"/>
        <v/>
      </c>
      <c r="J228" s="252" t="str">
        <f ca="1">IF(I228="","",IF(COUNTIF($D$12:D228,D228)=1,IF(H228=1,I228*H228,IF(H228="X","X",0)),0))</f>
        <v/>
      </c>
      <c r="K228" s="253" t="str">
        <f t="shared" ca="1" si="35"/>
        <v/>
      </c>
      <c r="L228" s="243"/>
      <c r="M228" s="212"/>
      <c r="N228" s="212"/>
      <c r="O228" s="213"/>
      <c r="P228" s="212"/>
      <c r="Q228" s="214"/>
      <c r="R228" s="212"/>
      <c r="S228" s="212"/>
      <c r="T228" s="212"/>
      <c r="U228" s="212"/>
      <c r="V228" s="214"/>
      <c r="W228" s="214"/>
      <c r="X228" s="214"/>
      <c r="Y228" s="214"/>
      <c r="Z228" s="214"/>
      <c r="AA228" s="212"/>
      <c r="AB228" s="212"/>
      <c r="AC228" s="212"/>
      <c r="AD228" s="214"/>
      <c r="AE228" s="214"/>
      <c r="AF228" s="214"/>
      <c r="AG228" s="214"/>
      <c r="AH228" s="212"/>
      <c r="AI228" s="212"/>
      <c r="AJ228" s="212"/>
      <c r="AK228" s="212"/>
      <c r="AL228" s="212"/>
      <c r="AM228" s="214"/>
      <c r="AN228" s="214"/>
      <c r="AO228" s="212"/>
      <c r="AP228" s="212"/>
      <c r="AQ228" s="214"/>
      <c r="AR228" s="214"/>
      <c r="AS228" s="212"/>
    </row>
    <row r="229" spans="1:45" s="220" customFormat="1" x14ac:dyDescent="0.25">
      <c r="A229" s="250" t="str">
        <f t="shared" si="36"/>
        <v/>
      </c>
      <c r="B229" s="251" t="str">
        <f t="shared" si="29"/>
        <v/>
      </c>
      <c r="C229" s="251" t="str">
        <f>IF(B229="","",VLOOKUP(D229,'Species Data'!B:D,4,FALSE))</f>
        <v/>
      </c>
      <c r="D229" s="251" t="str">
        <f t="shared" ca="1" si="30"/>
        <v/>
      </c>
      <c r="E229" s="251" t="str">
        <f t="shared" ca="1" si="31"/>
        <v/>
      </c>
      <c r="F229" s="251" t="str">
        <f t="shared" ca="1" si="32"/>
        <v/>
      </c>
      <c r="G229" s="251" t="str">
        <f t="shared" ca="1" si="33"/>
        <v/>
      </c>
      <c r="H229" s="208" t="str">
        <f ca="1">IF(G229="","",IF(VLOOKUP(VOC!F229,'Species Data'!D:E,3,FALSE)=0,"X",IF(G229&lt;44.1,2,1)))</f>
        <v/>
      </c>
      <c r="I229" s="208" t="str">
        <f t="shared" ca="1" si="34"/>
        <v/>
      </c>
      <c r="J229" s="252" t="str">
        <f ca="1">IF(I229="","",IF(COUNTIF($D$12:D229,D229)=1,IF(H229=1,I229*H229,IF(H229="X","X",0)),0))</f>
        <v/>
      </c>
      <c r="K229" s="253" t="str">
        <f t="shared" ca="1" si="35"/>
        <v/>
      </c>
      <c r="L229" s="243"/>
      <c r="M229" s="212"/>
      <c r="N229" s="212"/>
      <c r="O229" s="213"/>
      <c r="P229" s="212"/>
      <c r="Q229" s="214"/>
      <c r="R229" s="212"/>
      <c r="S229" s="212"/>
      <c r="T229" s="212"/>
      <c r="U229" s="212"/>
      <c r="V229" s="214"/>
      <c r="W229" s="214"/>
      <c r="X229" s="214"/>
      <c r="Y229" s="214"/>
      <c r="Z229" s="214"/>
      <c r="AA229" s="212"/>
      <c r="AB229" s="212"/>
      <c r="AC229" s="212"/>
      <c r="AD229" s="214"/>
      <c r="AE229" s="214"/>
      <c r="AF229" s="214"/>
      <c r="AG229" s="214"/>
      <c r="AH229" s="212"/>
      <c r="AI229" s="212"/>
      <c r="AJ229" s="212"/>
      <c r="AK229" s="212"/>
      <c r="AL229" s="212"/>
      <c r="AM229" s="214"/>
      <c r="AN229" s="214"/>
      <c r="AO229" s="212"/>
      <c r="AP229" s="212"/>
      <c r="AQ229" s="214"/>
      <c r="AR229" s="214"/>
      <c r="AS229" s="212"/>
    </row>
    <row r="230" spans="1:45" s="215" customFormat="1" x14ac:dyDescent="0.25">
      <c r="A230" s="250" t="str">
        <f t="shared" si="36"/>
        <v/>
      </c>
      <c r="B230" s="251" t="str">
        <f t="shared" si="29"/>
        <v/>
      </c>
      <c r="C230" s="251" t="str">
        <f>IF(B230="","",VLOOKUP(D230,'Species Data'!B:D,4,FALSE))</f>
        <v/>
      </c>
      <c r="D230" s="251" t="str">
        <f t="shared" ca="1" si="30"/>
        <v/>
      </c>
      <c r="E230" s="251" t="str">
        <f t="shared" ca="1" si="31"/>
        <v/>
      </c>
      <c r="F230" s="251" t="str">
        <f t="shared" ca="1" si="32"/>
        <v/>
      </c>
      <c r="G230" s="251" t="str">
        <f t="shared" ca="1" si="33"/>
        <v/>
      </c>
      <c r="H230" s="208" t="str">
        <f ca="1">IF(G230="","",IF(VLOOKUP(VOC!F230,'Species Data'!D:E,3,FALSE)=0,"X",IF(G230&lt;44.1,2,1)))</f>
        <v/>
      </c>
      <c r="I230" s="208" t="str">
        <f t="shared" ca="1" si="34"/>
        <v/>
      </c>
      <c r="J230" s="252" t="str">
        <f ca="1">IF(I230="","",IF(COUNTIF($D$12:D230,D230)=1,IF(H230=1,I230*H230,IF(H230="X","X",0)),0))</f>
        <v/>
      </c>
      <c r="K230" s="253" t="str">
        <f t="shared" ca="1" si="35"/>
        <v/>
      </c>
      <c r="L230" s="243"/>
      <c r="M230" s="212"/>
      <c r="N230" s="212"/>
      <c r="O230" s="213"/>
      <c r="P230" s="212"/>
      <c r="Q230" s="214"/>
      <c r="R230" s="212"/>
      <c r="S230" s="212"/>
      <c r="T230" s="212"/>
      <c r="U230" s="212"/>
      <c r="V230" s="214"/>
      <c r="W230" s="214"/>
      <c r="X230" s="214"/>
      <c r="Y230" s="214"/>
      <c r="Z230" s="214"/>
      <c r="AA230" s="212"/>
      <c r="AB230" s="212"/>
      <c r="AC230" s="212"/>
      <c r="AD230" s="214"/>
      <c r="AE230" s="214"/>
      <c r="AF230" s="214"/>
      <c r="AG230" s="214"/>
      <c r="AH230" s="212"/>
      <c r="AI230" s="212"/>
      <c r="AJ230" s="212"/>
      <c r="AK230" s="212"/>
      <c r="AL230" s="212"/>
      <c r="AM230" s="214"/>
      <c r="AN230" s="214"/>
      <c r="AO230" s="212"/>
      <c r="AP230" s="212"/>
      <c r="AQ230" s="214"/>
      <c r="AR230" s="214"/>
      <c r="AS230" s="212"/>
    </row>
    <row r="231" spans="1:45" s="215" customFormat="1" x14ac:dyDescent="0.25">
      <c r="A231" s="250" t="str">
        <f t="shared" si="36"/>
        <v/>
      </c>
      <c r="B231" s="251" t="str">
        <f t="shared" si="29"/>
        <v/>
      </c>
      <c r="C231" s="251" t="str">
        <f>IF(B231="","",VLOOKUP(D231,'Species Data'!B:D,4,FALSE))</f>
        <v/>
      </c>
      <c r="D231" s="251" t="str">
        <f t="shared" ca="1" si="30"/>
        <v/>
      </c>
      <c r="E231" s="251" t="str">
        <f t="shared" ca="1" si="31"/>
        <v/>
      </c>
      <c r="F231" s="251" t="str">
        <f t="shared" ca="1" si="32"/>
        <v/>
      </c>
      <c r="G231" s="251" t="str">
        <f t="shared" ca="1" si="33"/>
        <v/>
      </c>
      <c r="H231" s="208" t="str">
        <f ca="1">IF(G231="","",IF(VLOOKUP(VOC!F231,'Species Data'!D:E,3,FALSE)=0,"X",IF(G231&lt;44.1,2,1)))</f>
        <v/>
      </c>
      <c r="I231" s="208" t="str">
        <f t="shared" ca="1" si="34"/>
        <v/>
      </c>
      <c r="J231" s="252" t="str">
        <f ca="1">IF(I231="","",IF(COUNTIF($D$12:D231,D231)=1,IF(H231=1,I231*H231,IF(H231="X","X",0)),0))</f>
        <v/>
      </c>
      <c r="K231" s="253" t="str">
        <f t="shared" ca="1" si="35"/>
        <v/>
      </c>
      <c r="L231" s="243"/>
      <c r="M231" s="212"/>
      <c r="N231" s="212"/>
      <c r="O231" s="213"/>
      <c r="P231" s="212"/>
      <c r="Q231" s="214"/>
      <c r="R231" s="212"/>
      <c r="S231" s="212"/>
      <c r="T231" s="212"/>
      <c r="U231" s="212"/>
      <c r="V231" s="214"/>
      <c r="W231" s="214"/>
      <c r="X231" s="214"/>
      <c r="Y231" s="214"/>
      <c r="Z231" s="214"/>
      <c r="AA231" s="212"/>
      <c r="AB231" s="212"/>
      <c r="AC231" s="212"/>
      <c r="AD231" s="214"/>
      <c r="AE231" s="214"/>
      <c r="AF231" s="214"/>
      <c r="AG231" s="214"/>
      <c r="AH231" s="212"/>
      <c r="AI231" s="212"/>
      <c r="AJ231" s="212"/>
      <c r="AK231" s="212"/>
      <c r="AL231" s="212"/>
      <c r="AM231" s="214"/>
      <c r="AN231" s="214"/>
      <c r="AO231" s="212"/>
      <c r="AP231" s="212"/>
      <c r="AQ231" s="214"/>
      <c r="AR231" s="214"/>
      <c r="AS231" s="212"/>
    </row>
    <row r="232" spans="1:45" s="215" customFormat="1" x14ac:dyDescent="0.25">
      <c r="A232" s="250" t="str">
        <f t="shared" si="36"/>
        <v/>
      </c>
      <c r="B232" s="251" t="str">
        <f t="shared" si="29"/>
        <v/>
      </c>
      <c r="C232" s="251" t="str">
        <f>IF(B232="","",VLOOKUP(D232,'Species Data'!B:D,4,FALSE))</f>
        <v/>
      </c>
      <c r="D232" s="251" t="str">
        <f t="shared" ca="1" si="30"/>
        <v/>
      </c>
      <c r="E232" s="251" t="str">
        <f t="shared" ca="1" si="31"/>
        <v/>
      </c>
      <c r="F232" s="251" t="str">
        <f t="shared" ca="1" si="32"/>
        <v/>
      </c>
      <c r="G232" s="251" t="str">
        <f t="shared" ca="1" si="33"/>
        <v/>
      </c>
      <c r="H232" s="208" t="str">
        <f ca="1">IF(G232="","",IF(VLOOKUP(VOC!F232,'Species Data'!D:E,3,FALSE)=0,"X",IF(G232&lt;44.1,2,1)))</f>
        <v/>
      </c>
      <c r="I232" s="208" t="str">
        <f t="shared" ca="1" si="34"/>
        <v/>
      </c>
      <c r="J232" s="252" t="str">
        <f ca="1">IF(I232="","",IF(COUNTIF($D$12:D232,D232)=1,IF(H232=1,I232*H232,IF(H232="X","X",0)),0))</f>
        <v/>
      </c>
      <c r="K232" s="253" t="str">
        <f t="shared" ca="1" si="35"/>
        <v/>
      </c>
      <c r="L232" s="243"/>
      <c r="M232" s="212"/>
      <c r="N232" s="212"/>
      <c r="O232" s="213"/>
      <c r="P232" s="212"/>
      <c r="Q232" s="214"/>
      <c r="R232" s="212"/>
      <c r="S232" s="212"/>
      <c r="T232" s="212"/>
      <c r="U232" s="212"/>
      <c r="V232" s="214"/>
      <c r="W232" s="214"/>
      <c r="X232" s="214"/>
      <c r="Y232" s="214"/>
      <c r="Z232" s="214"/>
      <c r="AA232" s="212"/>
      <c r="AB232" s="212"/>
      <c r="AC232" s="212"/>
      <c r="AD232" s="214"/>
      <c r="AE232" s="214"/>
      <c r="AF232" s="214"/>
      <c r="AG232" s="214"/>
      <c r="AH232" s="212"/>
      <c r="AI232" s="212"/>
      <c r="AJ232" s="212"/>
      <c r="AK232" s="212"/>
      <c r="AL232" s="212"/>
      <c r="AM232" s="214"/>
      <c r="AN232" s="214"/>
      <c r="AO232" s="212"/>
      <c r="AP232" s="212"/>
      <c r="AQ232" s="214"/>
      <c r="AR232" s="214"/>
      <c r="AS232" s="212"/>
    </row>
    <row r="233" spans="1:45" s="215" customFormat="1" x14ac:dyDescent="0.25">
      <c r="A233" s="250" t="str">
        <f t="shared" si="36"/>
        <v/>
      </c>
      <c r="B233" s="251" t="str">
        <f t="shared" si="29"/>
        <v/>
      </c>
      <c r="C233" s="251" t="str">
        <f>IF(B233="","",VLOOKUP(D233,'Species Data'!B:D,4,FALSE))</f>
        <v/>
      </c>
      <c r="D233" s="251" t="str">
        <f t="shared" ca="1" si="30"/>
        <v/>
      </c>
      <c r="E233" s="251" t="str">
        <f t="shared" ca="1" si="31"/>
        <v/>
      </c>
      <c r="F233" s="251" t="str">
        <f t="shared" ca="1" si="32"/>
        <v/>
      </c>
      <c r="G233" s="251" t="str">
        <f t="shared" ca="1" si="33"/>
        <v/>
      </c>
      <c r="H233" s="208" t="str">
        <f ca="1">IF(G233="","",IF(VLOOKUP(VOC!F233,'Species Data'!D:E,3,FALSE)=0,"X",IF(G233&lt;44.1,2,1)))</f>
        <v/>
      </c>
      <c r="I233" s="208" t="str">
        <f t="shared" ca="1" si="34"/>
        <v/>
      </c>
      <c r="J233" s="252" t="str">
        <f ca="1">IF(I233="","",IF(COUNTIF($D$12:D233,D233)=1,IF(H233=1,I233*H233,IF(H233="X","X",0)),0))</f>
        <v/>
      </c>
      <c r="K233" s="253" t="str">
        <f t="shared" ca="1" si="35"/>
        <v/>
      </c>
      <c r="L233" s="243"/>
      <c r="M233" s="212"/>
      <c r="N233" s="212"/>
      <c r="O233" s="213"/>
      <c r="P233" s="212"/>
      <c r="Q233" s="214"/>
      <c r="R233" s="212"/>
      <c r="S233" s="212"/>
      <c r="T233" s="212"/>
      <c r="U233" s="212"/>
      <c r="V233" s="214"/>
      <c r="W233" s="214"/>
      <c r="X233" s="214"/>
      <c r="Y233" s="214"/>
      <c r="Z233" s="214"/>
      <c r="AA233" s="212"/>
      <c r="AB233" s="212"/>
      <c r="AC233" s="212"/>
      <c r="AD233" s="214"/>
      <c r="AE233" s="214"/>
      <c r="AF233" s="214"/>
      <c r="AG233" s="214"/>
      <c r="AH233" s="212"/>
      <c r="AI233" s="212"/>
      <c r="AJ233" s="212"/>
      <c r="AK233" s="212"/>
      <c r="AL233" s="212"/>
      <c r="AM233" s="214"/>
      <c r="AN233" s="214"/>
      <c r="AO233" s="212"/>
      <c r="AP233" s="212"/>
      <c r="AQ233" s="214"/>
      <c r="AR233" s="214"/>
      <c r="AS233" s="212"/>
    </row>
    <row r="234" spans="1:45" s="215" customFormat="1" x14ac:dyDescent="0.25">
      <c r="A234" s="250" t="str">
        <f t="shared" si="36"/>
        <v/>
      </c>
      <c r="B234" s="251" t="str">
        <f t="shared" si="29"/>
        <v/>
      </c>
      <c r="C234" s="251" t="str">
        <f>IF(B234="","",VLOOKUP(D234,'Species Data'!B:D,4,FALSE))</f>
        <v/>
      </c>
      <c r="D234" s="251" t="str">
        <f t="shared" ca="1" si="30"/>
        <v/>
      </c>
      <c r="E234" s="251" t="str">
        <f t="shared" ca="1" si="31"/>
        <v/>
      </c>
      <c r="F234" s="251" t="str">
        <f t="shared" ca="1" si="32"/>
        <v/>
      </c>
      <c r="G234" s="251" t="str">
        <f t="shared" ca="1" si="33"/>
        <v/>
      </c>
      <c r="H234" s="208" t="str">
        <f ca="1">IF(G234="","",IF(VLOOKUP(VOC!F234,'Species Data'!D:E,3,FALSE)=0,"X",IF(G234&lt;44.1,2,1)))</f>
        <v/>
      </c>
      <c r="I234" s="208" t="str">
        <f t="shared" ca="1" si="34"/>
        <v/>
      </c>
      <c r="J234" s="252" t="str">
        <f ca="1">IF(I234="","",IF(COUNTIF($D$12:D234,D234)=1,IF(H234=1,I234*H234,IF(H234="X","X",0)),0))</f>
        <v/>
      </c>
      <c r="K234" s="253" t="str">
        <f t="shared" ca="1" si="35"/>
        <v/>
      </c>
      <c r="L234" s="243"/>
      <c r="M234" s="212"/>
      <c r="N234" s="212"/>
      <c r="O234" s="213"/>
      <c r="P234" s="212"/>
      <c r="Q234" s="214"/>
      <c r="R234" s="212"/>
      <c r="S234" s="212"/>
      <c r="T234" s="212"/>
      <c r="U234" s="212"/>
      <c r="V234" s="214"/>
      <c r="W234" s="214"/>
      <c r="X234" s="214"/>
      <c r="Y234" s="214"/>
      <c r="Z234" s="214"/>
      <c r="AA234" s="212"/>
      <c r="AB234" s="212"/>
      <c r="AC234" s="212"/>
      <c r="AD234" s="214"/>
      <c r="AE234" s="214"/>
      <c r="AF234" s="214"/>
      <c r="AG234" s="214"/>
      <c r="AH234" s="212"/>
      <c r="AI234" s="212"/>
      <c r="AJ234" s="212"/>
      <c r="AK234" s="212"/>
      <c r="AL234" s="212"/>
      <c r="AM234" s="214"/>
      <c r="AN234" s="214"/>
      <c r="AO234" s="212"/>
      <c r="AP234" s="212"/>
      <c r="AQ234" s="214"/>
      <c r="AR234" s="214"/>
      <c r="AS234" s="212"/>
    </row>
    <row r="235" spans="1:45" s="215" customFormat="1" x14ac:dyDescent="0.25">
      <c r="A235" s="250" t="str">
        <f t="shared" si="36"/>
        <v/>
      </c>
      <c r="B235" s="251" t="str">
        <f t="shared" si="29"/>
        <v/>
      </c>
      <c r="C235" s="251" t="str">
        <f>IF(B235="","",VLOOKUP(D235,'Species Data'!B:D,4,FALSE))</f>
        <v/>
      </c>
      <c r="D235" s="251" t="str">
        <f t="shared" ca="1" si="30"/>
        <v/>
      </c>
      <c r="E235" s="251" t="str">
        <f t="shared" ca="1" si="31"/>
        <v/>
      </c>
      <c r="F235" s="251" t="str">
        <f t="shared" ca="1" si="32"/>
        <v/>
      </c>
      <c r="G235" s="251" t="str">
        <f t="shared" ca="1" si="33"/>
        <v/>
      </c>
      <c r="H235" s="208" t="str">
        <f ca="1">IF(G235="","",IF(VLOOKUP(VOC!F235,'Species Data'!D:E,3,FALSE)=0,"X",IF(G235&lt;44.1,2,1)))</f>
        <v/>
      </c>
      <c r="I235" s="208" t="str">
        <f t="shared" ca="1" si="34"/>
        <v/>
      </c>
      <c r="J235" s="252" t="str">
        <f ca="1">IF(I235="","",IF(COUNTIF($D$12:D235,D235)=1,IF(H235=1,I235*H235,IF(H235="X","X",0)),0))</f>
        <v/>
      </c>
      <c r="K235" s="253" t="str">
        <f t="shared" ca="1" si="35"/>
        <v/>
      </c>
      <c r="L235" s="243"/>
      <c r="M235" s="212"/>
      <c r="N235" s="212"/>
      <c r="O235" s="213"/>
      <c r="P235" s="212"/>
      <c r="Q235" s="214"/>
      <c r="R235" s="212"/>
      <c r="S235" s="212"/>
      <c r="T235" s="212"/>
      <c r="U235" s="212"/>
      <c r="V235" s="214"/>
      <c r="W235" s="214"/>
      <c r="X235" s="214"/>
      <c r="Y235" s="214"/>
      <c r="Z235" s="214"/>
      <c r="AA235" s="212"/>
      <c r="AB235" s="212"/>
      <c r="AC235" s="212"/>
      <c r="AD235" s="214"/>
      <c r="AE235" s="214"/>
      <c r="AF235" s="214"/>
      <c r="AG235" s="214"/>
      <c r="AH235" s="212"/>
      <c r="AI235" s="212"/>
      <c r="AJ235" s="212"/>
      <c r="AK235" s="212"/>
      <c r="AL235" s="212"/>
      <c r="AM235" s="214"/>
      <c r="AN235" s="214"/>
      <c r="AO235" s="212"/>
      <c r="AP235" s="212"/>
      <c r="AQ235" s="214"/>
      <c r="AR235" s="214"/>
      <c r="AS235" s="212"/>
    </row>
    <row r="236" spans="1:45" s="215" customFormat="1" x14ac:dyDescent="0.25">
      <c r="A236" s="250" t="str">
        <f t="shared" si="36"/>
        <v/>
      </c>
      <c r="B236" s="251" t="str">
        <f t="shared" si="29"/>
        <v/>
      </c>
      <c r="C236" s="251" t="str">
        <f>IF(B236="","",VLOOKUP(D236,'Species Data'!B:D,4,FALSE))</f>
        <v/>
      </c>
      <c r="D236" s="251" t="str">
        <f t="shared" ca="1" si="30"/>
        <v/>
      </c>
      <c r="E236" s="251" t="str">
        <f t="shared" ca="1" si="31"/>
        <v/>
      </c>
      <c r="F236" s="251" t="str">
        <f t="shared" ca="1" si="32"/>
        <v/>
      </c>
      <c r="G236" s="251" t="str">
        <f t="shared" ca="1" si="33"/>
        <v/>
      </c>
      <c r="H236" s="208" t="str">
        <f ca="1">IF(G236="","",IF(VLOOKUP(VOC!F236,'Species Data'!D:E,3,FALSE)=0,"X",IF(G236&lt;44.1,2,1)))</f>
        <v/>
      </c>
      <c r="I236" s="208" t="str">
        <f t="shared" ca="1" si="34"/>
        <v/>
      </c>
      <c r="J236" s="252" t="str">
        <f ca="1">IF(I236="","",IF(COUNTIF($D$12:D236,D236)=1,IF(H236=1,I236*H236,IF(H236="X","X",0)),0))</f>
        <v/>
      </c>
      <c r="K236" s="253" t="str">
        <f t="shared" ca="1" si="35"/>
        <v/>
      </c>
      <c r="L236" s="243"/>
      <c r="M236" s="212"/>
      <c r="N236" s="212"/>
      <c r="O236" s="213"/>
      <c r="P236" s="212"/>
      <c r="Q236" s="214"/>
      <c r="R236" s="212"/>
      <c r="S236" s="212"/>
      <c r="T236" s="212"/>
      <c r="U236" s="212"/>
      <c r="V236" s="214"/>
      <c r="W236" s="214"/>
      <c r="X236" s="214"/>
      <c r="Y236" s="214"/>
      <c r="Z236" s="214"/>
      <c r="AA236" s="212"/>
      <c r="AB236" s="212"/>
      <c r="AC236" s="212"/>
      <c r="AD236" s="214"/>
      <c r="AE236" s="214"/>
      <c r="AF236" s="214"/>
      <c r="AG236" s="214"/>
      <c r="AH236" s="212"/>
      <c r="AI236" s="212"/>
      <c r="AJ236" s="212"/>
      <c r="AK236" s="212"/>
      <c r="AL236" s="212"/>
      <c r="AM236" s="214"/>
      <c r="AN236" s="214"/>
      <c r="AO236" s="212"/>
      <c r="AP236" s="212"/>
      <c r="AQ236" s="214"/>
      <c r="AR236" s="214"/>
      <c r="AS236" s="212"/>
    </row>
    <row r="237" spans="1:45" s="215" customFormat="1" x14ac:dyDescent="0.25">
      <c r="A237" s="250" t="str">
        <f t="shared" si="36"/>
        <v/>
      </c>
      <c r="B237" s="251" t="str">
        <f t="shared" si="29"/>
        <v/>
      </c>
      <c r="C237" s="251" t="str">
        <f>IF(B237="","",VLOOKUP(D237,'Species Data'!B:D,4,FALSE))</f>
        <v/>
      </c>
      <c r="D237" s="251" t="str">
        <f t="shared" ca="1" si="30"/>
        <v/>
      </c>
      <c r="E237" s="251" t="str">
        <f t="shared" ca="1" si="31"/>
        <v/>
      </c>
      <c r="F237" s="251" t="str">
        <f t="shared" ca="1" si="32"/>
        <v/>
      </c>
      <c r="G237" s="251" t="str">
        <f t="shared" ca="1" si="33"/>
        <v/>
      </c>
      <c r="H237" s="208" t="str">
        <f ca="1">IF(G237="","",IF(VLOOKUP(VOC!F237,'Species Data'!D:E,3,FALSE)=0,"X",IF(G237&lt;44.1,2,1)))</f>
        <v/>
      </c>
      <c r="I237" s="208" t="str">
        <f t="shared" ca="1" si="34"/>
        <v/>
      </c>
      <c r="J237" s="252" t="str">
        <f ca="1">IF(I237="","",IF(COUNTIF($D$12:D237,D237)=1,IF(H237=1,I237*H237,IF(H237="X","X",0)),0))</f>
        <v/>
      </c>
      <c r="K237" s="253" t="str">
        <f t="shared" ca="1" si="35"/>
        <v/>
      </c>
      <c r="L237" s="243"/>
      <c r="M237" s="212"/>
      <c r="N237" s="212"/>
      <c r="O237" s="213"/>
      <c r="P237" s="212"/>
      <c r="Q237" s="214"/>
      <c r="R237" s="212"/>
      <c r="S237" s="212"/>
      <c r="T237" s="212"/>
      <c r="U237" s="212"/>
      <c r="V237" s="214"/>
      <c r="W237" s="214"/>
      <c r="X237" s="214"/>
      <c r="Y237" s="214"/>
      <c r="Z237" s="214"/>
      <c r="AA237" s="212"/>
      <c r="AB237" s="212"/>
      <c r="AC237" s="212"/>
      <c r="AD237" s="214"/>
      <c r="AE237" s="214"/>
      <c r="AF237" s="214"/>
      <c r="AG237" s="214"/>
      <c r="AH237" s="212"/>
      <c r="AI237" s="212"/>
      <c r="AJ237" s="212"/>
      <c r="AK237" s="212"/>
      <c r="AL237" s="212"/>
      <c r="AM237" s="214"/>
      <c r="AN237" s="214"/>
      <c r="AO237" s="212"/>
      <c r="AP237" s="212"/>
      <c r="AQ237" s="214"/>
      <c r="AR237" s="214"/>
      <c r="AS237" s="212"/>
    </row>
    <row r="238" spans="1:45" s="215" customFormat="1" x14ac:dyDescent="0.25">
      <c r="A238" s="250" t="str">
        <f t="shared" si="36"/>
        <v/>
      </c>
      <c r="B238" s="251" t="str">
        <f t="shared" si="29"/>
        <v/>
      </c>
      <c r="C238" s="251" t="str">
        <f>IF(B238="","",VLOOKUP(D238,'Species Data'!B:D,4,FALSE))</f>
        <v/>
      </c>
      <c r="D238" s="251" t="str">
        <f t="shared" ca="1" si="30"/>
        <v/>
      </c>
      <c r="E238" s="251" t="str">
        <f t="shared" ca="1" si="31"/>
        <v/>
      </c>
      <c r="F238" s="251" t="str">
        <f t="shared" ca="1" si="32"/>
        <v/>
      </c>
      <c r="G238" s="251" t="str">
        <f t="shared" ca="1" si="33"/>
        <v/>
      </c>
      <c r="H238" s="208" t="str">
        <f ca="1">IF(G238="","",IF(VLOOKUP(VOC!F238,'Species Data'!D:E,3,FALSE)=0,"X",IF(G238&lt;44.1,2,1)))</f>
        <v/>
      </c>
      <c r="I238" s="208" t="str">
        <f t="shared" ca="1" si="34"/>
        <v/>
      </c>
      <c r="J238" s="252" t="str">
        <f ca="1">IF(I238="","",IF(COUNTIF($D$12:D238,D238)=1,IF(H238=1,I238*H238,IF(H238="X","X",0)),0))</f>
        <v/>
      </c>
      <c r="K238" s="253" t="str">
        <f t="shared" ca="1" si="35"/>
        <v/>
      </c>
      <c r="L238" s="243"/>
      <c r="M238" s="212"/>
      <c r="N238" s="212"/>
      <c r="O238" s="213"/>
      <c r="P238" s="212"/>
      <c r="Q238" s="214"/>
      <c r="R238" s="212"/>
      <c r="S238" s="212"/>
      <c r="T238" s="212"/>
      <c r="U238" s="212"/>
      <c r="V238" s="214"/>
      <c r="W238" s="214"/>
      <c r="X238" s="214"/>
      <c r="Y238" s="214"/>
      <c r="Z238" s="214"/>
      <c r="AA238" s="212"/>
      <c r="AB238" s="212"/>
      <c r="AC238" s="212"/>
      <c r="AD238" s="214"/>
      <c r="AE238" s="214"/>
      <c r="AF238" s="214"/>
      <c r="AG238" s="214"/>
      <c r="AH238" s="212"/>
      <c r="AI238" s="212"/>
      <c r="AJ238" s="212"/>
      <c r="AK238" s="212"/>
      <c r="AL238" s="212"/>
      <c r="AM238" s="214"/>
      <c r="AN238" s="214"/>
      <c r="AO238" s="212"/>
      <c r="AP238" s="212"/>
      <c r="AQ238" s="214"/>
      <c r="AR238" s="214"/>
      <c r="AS238" s="212"/>
    </row>
    <row r="239" spans="1:45" s="215" customFormat="1" x14ac:dyDescent="0.25">
      <c r="A239" s="250" t="str">
        <f t="shared" si="36"/>
        <v/>
      </c>
      <c r="B239" s="251" t="str">
        <f t="shared" si="29"/>
        <v/>
      </c>
      <c r="C239" s="251" t="str">
        <f>IF(B239="","",VLOOKUP(D239,'Species Data'!B:D,4,FALSE))</f>
        <v/>
      </c>
      <c r="D239" s="251" t="str">
        <f t="shared" ca="1" si="30"/>
        <v/>
      </c>
      <c r="E239" s="251" t="str">
        <f t="shared" ca="1" si="31"/>
        <v/>
      </c>
      <c r="F239" s="251" t="str">
        <f t="shared" ca="1" si="32"/>
        <v/>
      </c>
      <c r="G239" s="251" t="str">
        <f t="shared" ca="1" si="33"/>
        <v/>
      </c>
      <c r="H239" s="208" t="str">
        <f ca="1">IF(G239="","",IF(VLOOKUP(VOC!F239,'Species Data'!D:E,3,FALSE)=0,"X",IF(G239&lt;44.1,2,1)))</f>
        <v/>
      </c>
      <c r="I239" s="208" t="str">
        <f t="shared" ca="1" si="34"/>
        <v/>
      </c>
      <c r="J239" s="252" t="str">
        <f ca="1">IF(I239="","",IF(COUNTIF($D$12:D239,D239)=1,IF(H239=1,I239*H239,IF(H239="X","X",0)),0))</f>
        <v/>
      </c>
      <c r="K239" s="253" t="str">
        <f t="shared" ca="1" si="35"/>
        <v/>
      </c>
      <c r="L239" s="243"/>
      <c r="M239" s="212"/>
      <c r="N239" s="212"/>
      <c r="O239" s="213"/>
      <c r="P239" s="212"/>
      <c r="Q239" s="214"/>
      <c r="R239" s="212"/>
      <c r="S239" s="212"/>
      <c r="T239" s="212"/>
      <c r="U239" s="212"/>
      <c r="V239" s="214"/>
      <c r="W239" s="214"/>
      <c r="X239" s="214"/>
      <c r="Y239" s="214"/>
      <c r="Z239" s="214"/>
      <c r="AA239" s="212"/>
      <c r="AB239" s="212"/>
      <c r="AC239" s="212"/>
      <c r="AD239" s="214"/>
      <c r="AE239" s="214"/>
      <c r="AF239" s="214"/>
      <c r="AG239" s="214"/>
      <c r="AH239" s="212"/>
      <c r="AI239" s="212"/>
      <c r="AJ239" s="212"/>
      <c r="AK239" s="212"/>
      <c r="AL239" s="212"/>
      <c r="AM239" s="214"/>
      <c r="AN239" s="214"/>
      <c r="AO239" s="212"/>
      <c r="AP239" s="212"/>
      <c r="AQ239" s="214"/>
      <c r="AR239" s="214"/>
      <c r="AS239" s="212"/>
    </row>
    <row r="240" spans="1:45" s="215" customFormat="1" x14ac:dyDescent="0.25">
      <c r="A240" s="250" t="str">
        <f t="shared" si="36"/>
        <v/>
      </c>
      <c r="B240" s="251" t="str">
        <f t="shared" si="29"/>
        <v/>
      </c>
      <c r="C240" s="251" t="str">
        <f>IF(B240="","",VLOOKUP(D240,'Species Data'!B:D,4,FALSE))</f>
        <v/>
      </c>
      <c r="D240" s="251" t="str">
        <f t="shared" ca="1" si="30"/>
        <v/>
      </c>
      <c r="E240" s="251" t="str">
        <f t="shared" ca="1" si="31"/>
        <v/>
      </c>
      <c r="F240" s="251" t="str">
        <f t="shared" ca="1" si="32"/>
        <v/>
      </c>
      <c r="G240" s="251" t="str">
        <f t="shared" ca="1" si="33"/>
        <v/>
      </c>
      <c r="H240" s="208" t="str">
        <f ca="1">IF(G240="","",IF(VLOOKUP(VOC!F240,'Species Data'!D:E,3,FALSE)=0,"X",IF(G240&lt;44.1,2,1)))</f>
        <v/>
      </c>
      <c r="I240" s="208" t="str">
        <f t="shared" ca="1" si="34"/>
        <v/>
      </c>
      <c r="J240" s="252" t="str">
        <f ca="1">IF(I240="","",IF(COUNTIF($D$12:D240,D240)=1,IF(H240=1,I240*H240,IF(H240="X","X",0)),0))</f>
        <v/>
      </c>
      <c r="K240" s="253" t="str">
        <f t="shared" ca="1" si="35"/>
        <v/>
      </c>
      <c r="L240" s="243"/>
      <c r="M240" s="212"/>
      <c r="N240" s="212"/>
      <c r="O240" s="213"/>
      <c r="P240" s="212"/>
      <c r="Q240" s="214"/>
      <c r="R240" s="212"/>
      <c r="S240" s="212"/>
      <c r="T240" s="212"/>
      <c r="U240" s="212"/>
      <c r="V240" s="214"/>
      <c r="W240" s="214"/>
      <c r="X240" s="214"/>
      <c r="Y240" s="214"/>
      <c r="Z240" s="214"/>
      <c r="AA240" s="212"/>
      <c r="AB240" s="212"/>
      <c r="AC240" s="212"/>
      <c r="AD240" s="214"/>
      <c r="AE240" s="214"/>
      <c r="AF240" s="214"/>
      <c r="AG240" s="214"/>
      <c r="AH240" s="212"/>
      <c r="AI240" s="212"/>
      <c r="AJ240" s="212"/>
      <c r="AK240" s="212"/>
      <c r="AL240" s="212"/>
      <c r="AM240" s="214"/>
      <c r="AN240" s="214"/>
      <c r="AO240" s="212"/>
      <c r="AP240" s="212"/>
      <c r="AQ240" s="214"/>
      <c r="AR240" s="214"/>
      <c r="AS240" s="212"/>
    </row>
    <row r="241" spans="1:45" s="215" customFormat="1" x14ac:dyDescent="0.25">
      <c r="A241" s="250" t="str">
        <f t="shared" si="36"/>
        <v/>
      </c>
      <c r="B241" s="251" t="str">
        <f t="shared" si="29"/>
        <v/>
      </c>
      <c r="C241" s="251" t="str">
        <f>IF(B241="","",VLOOKUP(D241,'Species Data'!B:D,4,FALSE))</f>
        <v/>
      </c>
      <c r="D241" s="251" t="str">
        <f t="shared" ca="1" si="30"/>
        <v/>
      </c>
      <c r="E241" s="251" t="str">
        <f t="shared" ca="1" si="31"/>
        <v/>
      </c>
      <c r="F241" s="251" t="str">
        <f t="shared" ca="1" si="32"/>
        <v/>
      </c>
      <c r="G241" s="251" t="str">
        <f t="shared" ca="1" si="33"/>
        <v/>
      </c>
      <c r="H241" s="208" t="str">
        <f ca="1">IF(G241="","",IF(VLOOKUP(VOC!F241,'Species Data'!D:E,3,FALSE)=0,"X",IF(G241&lt;44.1,2,1)))</f>
        <v/>
      </c>
      <c r="I241" s="208" t="str">
        <f t="shared" ca="1" si="34"/>
        <v/>
      </c>
      <c r="J241" s="252" t="str">
        <f ca="1">IF(I241="","",IF(COUNTIF($D$12:D241,D241)=1,IF(H241=1,I241*H241,IF(H241="X","X",0)),0))</f>
        <v/>
      </c>
      <c r="K241" s="253" t="str">
        <f t="shared" ca="1" si="35"/>
        <v/>
      </c>
      <c r="L241" s="243"/>
      <c r="M241" s="212"/>
      <c r="N241" s="212"/>
      <c r="O241" s="213"/>
      <c r="P241" s="212"/>
      <c r="Q241" s="214"/>
      <c r="R241" s="212"/>
      <c r="S241" s="212"/>
      <c r="T241" s="212"/>
      <c r="U241" s="212"/>
      <c r="V241" s="214"/>
      <c r="W241" s="214"/>
      <c r="X241" s="214"/>
      <c r="Y241" s="214"/>
      <c r="Z241" s="214"/>
      <c r="AA241" s="212"/>
      <c r="AB241" s="212"/>
      <c r="AC241" s="212"/>
      <c r="AD241" s="214"/>
      <c r="AE241" s="214"/>
      <c r="AF241" s="214"/>
      <c r="AG241" s="214"/>
      <c r="AH241" s="212"/>
      <c r="AI241" s="212"/>
      <c r="AJ241" s="212"/>
      <c r="AK241" s="212"/>
      <c r="AL241" s="212"/>
      <c r="AM241" s="214"/>
      <c r="AN241" s="214"/>
      <c r="AO241" s="212"/>
      <c r="AP241" s="212"/>
      <c r="AQ241" s="214"/>
      <c r="AR241" s="214"/>
      <c r="AS241" s="212"/>
    </row>
    <row r="242" spans="1:45" s="215" customFormat="1" x14ac:dyDescent="0.25">
      <c r="A242" s="250" t="str">
        <f t="shared" si="36"/>
        <v/>
      </c>
      <c r="B242" s="251" t="str">
        <f t="shared" si="29"/>
        <v/>
      </c>
      <c r="C242" s="251" t="str">
        <f>IF(B242="","",VLOOKUP(D242,'Species Data'!B:D,4,FALSE))</f>
        <v/>
      </c>
      <c r="D242" s="251" t="str">
        <f t="shared" ca="1" si="30"/>
        <v/>
      </c>
      <c r="E242" s="251" t="str">
        <f t="shared" ca="1" si="31"/>
        <v/>
      </c>
      <c r="F242" s="251" t="str">
        <f t="shared" ca="1" si="32"/>
        <v/>
      </c>
      <c r="G242" s="251" t="str">
        <f t="shared" ca="1" si="33"/>
        <v/>
      </c>
      <c r="H242" s="208" t="str">
        <f ca="1">IF(G242="","",IF(VLOOKUP(VOC!F242,'Species Data'!D:E,3,FALSE)=0,"X",IF(G242&lt;44.1,2,1)))</f>
        <v/>
      </c>
      <c r="I242" s="208" t="str">
        <f t="shared" ca="1" si="34"/>
        <v/>
      </c>
      <c r="J242" s="252" t="str">
        <f ca="1">IF(I242="","",IF(COUNTIF($D$12:D242,D242)=1,IF(H242=1,I242*H242,IF(H242="X","X",0)),0))</f>
        <v/>
      </c>
      <c r="K242" s="253" t="str">
        <f t="shared" ca="1" si="35"/>
        <v/>
      </c>
      <c r="L242" s="243"/>
      <c r="M242" s="212"/>
      <c r="N242" s="212"/>
      <c r="O242" s="213"/>
      <c r="P242" s="212"/>
      <c r="Q242" s="214"/>
      <c r="R242" s="212"/>
      <c r="S242" s="212"/>
      <c r="T242" s="212"/>
      <c r="U242" s="212"/>
      <c r="V242" s="214"/>
      <c r="W242" s="214"/>
      <c r="X242" s="214"/>
      <c r="Y242" s="214"/>
      <c r="Z242" s="214"/>
      <c r="AA242" s="212"/>
      <c r="AB242" s="212"/>
      <c r="AC242" s="212"/>
      <c r="AD242" s="214"/>
      <c r="AE242" s="214"/>
      <c r="AF242" s="214"/>
      <c r="AG242" s="214"/>
      <c r="AH242" s="212"/>
      <c r="AI242" s="212"/>
      <c r="AJ242" s="212"/>
      <c r="AK242" s="212"/>
      <c r="AL242" s="212"/>
      <c r="AM242" s="214"/>
      <c r="AN242" s="214"/>
      <c r="AO242" s="212"/>
      <c r="AP242" s="212"/>
      <c r="AQ242" s="214"/>
      <c r="AR242" s="214"/>
      <c r="AS242" s="212"/>
    </row>
    <row r="243" spans="1:45" s="215" customFormat="1" x14ac:dyDescent="0.25">
      <c r="A243" s="250" t="str">
        <f t="shared" si="36"/>
        <v/>
      </c>
      <c r="B243" s="251" t="str">
        <f t="shared" si="29"/>
        <v/>
      </c>
      <c r="C243" s="251" t="str">
        <f>IF(B243="","",VLOOKUP(D243,'Species Data'!B:D,4,FALSE))</f>
        <v/>
      </c>
      <c r="D243" s="251" t="str">
        <f t="shared" ca="1" si="30"/>
        <v/>
      </c>
      <c r="E243" s="251" t="str">
        <f t="shared" ca="1" si="31"/>
        <v/>
      </c>
      <c r="F243" s="251" t="str">
        <f t="shared" ca="1" si="32"/>
        <v/>
      </c>
      <c r="G243" s="251" t="str">
        <f t="shared" ca="1" si="33"/>
        <v/>
      </c>
      <c r="H243" s="208" t="str">
        <f ca="1">IF(G243="","",IF(VLOOKUP(VOC!F243,'Species Data'!D:E,3,FALSE)=0,"X",IF(G243&lt;44.1,2,1)))</f>
        <v/>
      </c>
      <c r="I243" s="208" t="str">
        <f t="shared" ca="1" si="34"/>
        <v/>
      </c>
      <c r="J243" s="252" t="str">
        <f ca="1">IF(I243="","",IF(COUNTIF($D$12:D243,D243)=1,IF(H243=1,I243*H243,IF(H243="X","X",0)),0))</f>
        <v/>
      </c>
      <c r="K243" s="253" t="str">
        <f t="shared" ca="1" si="35"/>
        <v/>
      </c>
      <c r="L243" s="243"/>
      <c r="M243" s="212"/>
      <c r="N243" s="212"/>
      <c r="O243" s="213"/>
      <c r="P243" s="212"/>
      <c r="Q243" s="214"/>
      <c r="R243" s="212"/>
      <c r="S243" s="212"/>
      <c r="T243" s="212"/>
      <c r="U243" s="212"/>
      <c r="V243" s="214"/>
      <c r="W243" s="214"/>
      <c r="X243" s="214"/>
      <c r="Y243" s="214"/>
      <c r="Z243" s="214"/>
      <c r="AA243" s="212"/>
      <c r="AB243" s="212"/>
      <c r="AC243" s="212"/>
      <c r="AD243" s="214"/>
      <c r="AE243" s="214"/>
      <c r="AF243" s="214"/>
      <c r="AG243" s="214"/>
      <c r="AH243" s="212"/>
      <c r="AI243" s="212"/>
      <c r="AJ243" s="212"/>
      <c r="AK243" s="212"/>
      <c r="AL243" s="212"/>
      <c r="AM243" s="214"/>
      <c r="AN243" s="214"/>
      <c r="AO243" s="212"/>
      <c r="AP243" s="212"/>
      <c r="AQ243" s="214"/>
      <c r="AR243" s="214"/>
      <c r="AS243" s="212"/>
    </row>
    <row r="244" spans="1:45" s="215" customFormat="1" x14ac:dyDescent="0.25">
      <c r="A244" s="250" t="str">
        <f t="shared" si="36"/>
        <v/>
      </c>
      <c r="B244" s="251" t="str">
        <f t="shared" si="29"/>
        <v/>
      </c>
      <c r="C244" s="251" t="str">
        <f>IF(B244="","",VLOOKUP(D244,'Species Data'!B:D,4,FALSE))</f>
        <v/>
      </c>
      <c r="D244" s="251" t="str">
        <f t="shared" ca="1" si="30"/>
        <v/>
      </c>
      <c r="E244" s="251" t="str">
        <f t="shared" ca="1" si="31"/>
        <v/>
      </c>
      <c r="F244" s="251" t="str">
        <f t="shared" ca="1" si="32"/>
        <v/>
      </c>
      <c r="G244" s="251" t="str">
        <f t="shared" ca="1" si="33"/>
        <v/>
      </c>
      <c r="H244" s="208" t="str">
        <f ca="1">IF(G244="","",IF(VLOOKUP(VOC!F244,'Species Data'!D:E,3,FALSE)=0,"X",IF(G244&lt;44.1,2,1)))</f>
        <v/>
      </c>
      <c r="I244" s="208" t="str">
        <f t="shared" ca="1" si="34"/>
        <v/>
      </c>
      <c r="J244" s="252" t="str">
        <f ca="1">IF(I244="","",IF(COUNTIF($D$12:D244,D244)=1,IF(H244=1,I244*H244,IF(H244="X","X",0)),0))</f>
        <v/>
      </c>
      <c r="K244" s="253" t="str">
        <f t="shared" ca="1" si="35"/>
        <v/>
      </c>
      <c r="L244" s="243"/>
      <c r="M244" s="212"/>
      <c r="N244" s="212"/>
      <c r="O244" s="213"/>
      <c r="P244" s="212"/>
      <c r="Q244" s="214"/>
      <c r="R244" s="212"/>
      <c r="S244" s="212"/>
      <c r="T244" s="212"/>
      <c r="U244" s="212"/>
      <c r="V244" s="214"/>
      <c r="W244" s="214"/>
      <c r="X244" s="214"/>
      <c r="Y244" s="214"/>
      <c r="Z244" s="214"/>
      <c r="AA244" s="212"/>
      <c r="AB244" s="212"/>
      <c r="AC244" s="212"/>
      <c r="AD244" s="214"/>
      <c r="AE244" s="214"/>
      <c r="AF244" s="214"/>
      <c r="AG244" s="214"/>
      <c r="AH244" s="212"/>
      <c r="AI244" s="212"/>
      <c r="AJ244" s="212"/>
      <c r="AK244" s="212"/>
      <c r="AL244" s="212"/>
      <c r="AM244" s="214"/>
      <c r="AN244" s="214"/>
      <c r="AO244" s="212"/>
      <c r="AP244" s="212"/>
      <c r="AQ244" s="214"/>
      <c r="AR244" s="214"/>
      <c r="AS244" s="212"/>
    </row>
    <row r="245" spans="1:45" s="216" customFormat="1" x14ac:dyDescent="0.25">
      <c r="A245" s="250" t="str">
        <f t="shared" si="36"/>
        <v/>
      </c>
      <c r="B245" s="251" t="str">
        <f t="shared" si="29"/>
        <v/>
      </c>
      <c r="C245" s="251" t="str">
        <f>IF(B245="","",VLOOKUP(D245,'Species Data'!B:D,4,FALSE))</f>
        <v/>
      </c>
      <c r="D245" s="251" t="str">
        <f t="shared" ca="1" si="30"/>
        <v/>
      </c>
      <c r="E245" s="251" t="str">
        <f t="shared" ca="1" si="31"/>
        <v/>
      </c>
      <c r="F245" s="251" t="str">
        <f t="shared" ca="1" si="32"/>
        <v/>
      </c>
      <c r="G245" s="251" t="str">
        <f t="shared" ca="1" si="33"/>
        <v/>
      </c>
      <c r="H245" s="208" t="str">
        <f ca="1">IF(G245="","",IF(VLOOKUP(VOC!F245,'Species Data'!D:E,3,FALSE)=0,"X",IF(G245&lt;44.1,2,1)))</f>
        <v/>
      </c>
      <c r="I245" s="208" t="str">
        <f t="shared" ca="1" si="34"/>
        <v/>
      </c>
      <c r="J245" s="252" t="str">
        <f ca="1">IF(I245="","",IF(COUNTIF($D$12:D245,D245)=1,IF(H245=1,I245*H245,IF(H245="X","X",0)),0))</f>
        <v/>
      </c>
      <c r="K245" s="253" t="str">
        <f t="shared" ca="1" si="35"/>
        <v/>
      </c>
      <c r="L245" s="243"/>
      <c r="M245" s="212"/>
      <c r="N245" s="212"/>
      <c r="O245" s="213"/>
      <c r="P245" s="212"/>
      <c r="Q245" s="214"/>
      <c r="R245" s="212"/>
      <c r="S245" s="212"/>
      <c r="T245" s="212"/>
      <c r="U245" s="212"/>
      <c r="V245" s="214"/>
      <c r="W245" s="214"/>
      <c r="X245" s="214"/>
      <c r="Y245" s="214"/>
      <c r="Z245" s="214"/>
      <c r="AA245" s="212"/>
      <c r="AB245" s="212"/>
      <c r="AC245" s="212"/>
      <c r="AD245" s="214"/>
      <c r="AE245" s="214"/>
      <c r="AF245" s="214"/>
      <c r="AG245" s="214"/>
      <c r="AH245" s="212"/>
      <c r="AI245" s="212"/>
      <c r="AJ245" s="212"/>
      <c r="AK245" s="212"/>
      <c r="AL245" s="212"/>
      <c r="AM245" s="214"/>
      <c r="AN245" s="214"/>
      <c r="AO245" s="212"/>
      <c r="AP245" s="212"/>
      <c r="AQ245" s="214"/>
      <c r="AR245" s="214"/>
      <c r="AS245" s="212"/>
    </row>
    <row r="246" spans="1:45" s="216" customFormat="1" x14ac:dyDescent="0.25">
      <c r="A246" s="250" t="str">
        <f t="shared" si="36"/>
        <v/>
      </c>
      <c r="B246" s="251" t="str">
        <f t="shared" si="29"/>
        <v/>
      </c>
      <c r="C246" s="251" t="str">
        <f>IF(B246="","",VLOOKUP(D246,'Species Data'!B:D,4,FALSE))</f>
        <v/>
      </c>
      <c r="D246" s="251" t="str">
        <f t="shared" ca="1" si="30"/>
        <v/>
      </c>
      <c r="E246" s="251" t="str">
        <f t="shared" ca="1" si="31"/>
        <v/>
      </c>
      <c r="F246" s="251" t="str">
        <f t="shared" ca="1" si="32"/>
        <v/>
      </c>
      <c r="G246" s="251" t="str">
        <f t="shared" ca="1" si="33"/>
        <v/>
      </c>
      <c r="H246" s="208" t="str">
        <f ca="1">IF(G246="","",IF(VLOOKUP(VOC!F246,'Species Data'!D:E,3,FALSE)=0,"X",IF(G246&lt;44.1,2,1)))</f>
        <v/>
      </c>
      <c r="I246" s="208" t="str">
        <f t="shared" ca="1" si="34"/>
        <v/>
      </c>
      <c r="J246" s="252" t="str">
        <f ca="1">IF(I246="","",IF(COUNTIF($D$12:D246,D246)=1,IF(H246=1,I246*H246,IF(H246="X","X",0)),0))</f>
        <v/>
      </c>
      <c r="K246" s="253" t="str">
        <f t="shared" ca="1" si="35"/>
        <v/>
      </c>
      <c r="L246" s="243"/>
      <c r="M246" s="212"/>
      <c r="N246" s="212"/>
      <c r="O246" s="213"/>
      <c r="P246" s="212"/>
      <c r="Q246" s="214"/>
      <c r="R246" s="212"/>
      <c r="S246" s="212"/>
      <c r="T246" s="212"/>
      <c r="U246" s="212"/>
      <c r="V246" s="214"/>
      <c r="W246" s="214"/>
      <c r="X246" s="214"/>
      <c r="Y246" s="214"/>
      <c r="Z246" s="214"/>
      <c r="AA246" s="212"/>
      <c r="AB246" s="212"/>
      <c r="AC246" s="212"/>
      <c r="AD246" s="214"/>
      <c r="AE246" s="214"/>
      <c r="AF246" s="214"/>
      <c r="AG246" s="214"/>
      <c r="AH246" s="212"/>
      <c r="AI246" s="212"/>
      <c r="AJ246" s="212"/>
      <c r="AK246" s="212"/>
      <c r="AL246" s="212"/>
      <c r="AM246" s="214"/>
      <c r="AN246" s="214"/>
      <c r="AO246" s="212"/>
      <c r="AP246" s="212"/>
      <c r="AQ246" s="214"/>
      <c r="AR246" s="214"/>
      <c r="AS246" s="212"/>
    </row>
    <row r="247" spans="1:45" s="216" customFormat="1" x14ac:dyDescent="0.25">
      <c r="A247" s="250" t="str">
        <f t="shared" si="36"/>
        <v/>
      </c>
      <c r="B247" s="251" t="str">
        <f t="shared" si="29"/>
        <v/>
      </c>
      <c r="C247" s="251" t="str">
        <f>IF(B247="","",VLOOKUP(D247,'Species Data'!B:D,4,FALSE))</f>
        <v/>
      </c>
      <c r="D247" s="251" t="str">
        <f t="shared" ca="1" si="30"/>
        <v/>
      </c>
      <c r="E247" s="251" t="str">
        <f t="shared" ca="1" si="31"/>
        <v/>
      </c>
      <c r="F247" s="251" t="str">
        <f t="shared" ca="1" si="32"/>
        <v/>
      </c>
      <c r="G247" s="251" t="str">
        <f t="shared" ca="1" si="33"/>
        <v/>
      </c>
      <c r="H247" s="208" t="str">
        <f ca="1">IF(G247="","",IF(VLOOKUP(VOC!F247,'Species Data'!D:E,3,FALSE)=0,"X",IF(G247&lt;44.1,2,1)))</f>
        <v/>
      </c>
      <c r="I247" s="208" t="str">
        <f t="shared" ca="1" si="34"/>
        <v/>
      </c>
      <c r="J247" s="252" t="str">
        <f ca="1">IF(I247="","",IF(COUNTIF($D$12:D247,D247)=1,IF(H247=1,I247*H247,IF(H247="X","X",0)),0))</f>
        <v/>
      </c>
      <c r="K247" s="253" t="str">
        <f t="shared" ca="1" si="35"/>
        <v/>
      </c>
      <c r="L247" s="243"/>
      <c r="M247" s="212"/>
      <c r="N247" s="212"/>
      <c r="O247" s="213"/>
      <c r="P247" s="212"/>
      <c r="Q247" s="214"/>
      <c r="R247" s="212"/>
      <c r="S247" s="212"/>
      <c r="T247" s="212"/>
      <c r="U247" s="212"/>
      <c r="V247" s="214"/>
      <c r="W247" s="214"/>
      <c r="X247" s="214"/>
      <c r="Y247" s="214"/>
      <c r="Z247" s="214"/>
      <c r="AA247" s="212"/>
      <c r="AB247" s="212"/>
      <c r="AC247" s="212"/>
      <c r="AD247" s="214"/>
      <c r="AE247" s="214"/>
      <c r="AF247" s="214"/>
      <c r="AG247" s="214"/>
      <c r="AH247" s="212"/>
      <c r="AI247" s="212"/>
      <c r="AJ247" s="212"/>
      <c r="AK247" s="212"/>
      <c r="AL247" s="212"/>
      <c r="AM247" s="214"/>
      <c r="AN247" s="214"/>
      <c r="AO247" s="212"/>
      <c r="AP247" s="212"/>
      <c r="AQ247" s="214"/>
      <c r="AR247" s="214"/>
      <c r="AS247" s="212"/>
    </row>
    <row r="248" spans="1:45" s="216" customFormat="1" x14ac:dyDescent="0.25">
      <c r="A248" s="250" t="str">
        <f t="shared" si="36"/>
        <v/>
      </c>
      <c r="B248" s="251" t="str">
        <f t="shared" si="29"/>
        <v/>
      </c>
      <c r="C248" s="251" t="str">
        <f>IF(B248="","",VLOOKUP(D248,'Species Data'!B:D,4,FALSE))</f>
        <v/>
      </c>
      <c r="D248" s="251" t="str">
        <f t="shared" ca="1" si="30"/>
        <v/>
      </c>
      <c r="E248" s="251" t="str">
        <f t="shared" ca="1" si="31"/>
        <v/>
      </c>
      <c r="F248" s="251" t="str">
        <f t="shared" ca="1" si="32"/>
        <v/>
      </c>
      <c r="G248" s="251" t="str">
        <f t="shared" ca="1" si="33"/>
        <v/>
      </c>
      <c r="H248" s="208" t="str">
        <f ca="1">IF(G248="","",IF(VLOOKUP(VOC!F248,'Species Data'!D:E,3,FALSE)=0,"X",IF(G248&lt;44.1,2,1)))</f>
        <v/>
      </c>
      <c r="I248" s="208" t="str">
        <f t="shared" ca="1" si="34"/>
        <v/>
      </c>
      <c r="J248" s="252" t="str">
        <f ca="1">IF(I248="","",IF(COUNTIF($D$12:D248,D248)=1,IF(H248=1,I248*H248,IF(H248="X","X",0)),0))</f>
        <v/>
      </c>
      <c r="K248" s="253" t="str">
        <f t="shared" ca="1" si="35"/>
        <v/>
      </c>
      <c r="L248" s="243"/>
      <c r="M248" s="212"/>
      <c r="N248" s="212"/>
      <c r="O248" s="213"/>
      <c r="P248" s="212"/>
      <c r="Q248" s="214"/>
      <c r="R248" s="212"/>
      <c r="S248" s="212"/>
      <c r="T248" s="212"/>
      <c r="U248" s="212"/>
      <c r="V248" s="214"/>
      <c r="W248" s="214"/>
      <c r="X248" s="214"/>
      <c r="Y248" s="214"/>
      <c r="Z248" s="214"/>
      <c r="AA248" s="212"/>
      <c r="AB248" s="212"/>
      <c r="AC248" s="212"/>
      <c r="AD248" s="214"/>
      <c r="AE248" s="214"/>
      <c r="AF248" s="214"/>
      <c r="AG248" s="214"/>
      <c r="AH248" s="212"/>
      <c r="AI248" s="212"/>
      <c r="AJ248" s="212"/>
      <c r="AK248" s="212"/>
      <c r="AL248" s="212"/>
      <c r="AM248" s="214"/>
      <c r="AN248" s="214"/>
      <c r="AO248" s="212"/>
      <c r="AP248" s="212"/>
      <c r="AQ248" s="214"/>
      <c r="AR248" s="214"/>
      <c r="AS248" s="212"/>
    </row>
    <row r="249" spans="1:45" s="216" customFormat="1" x14ac:dyDescent="0.25">
      <c r="A249" s="250" t="str">
        <f t="shared" si="36"/>
        <v/>
      </c>
      <c r="B249" s="251" t="str">
        <f t="shared" si="29"/>
        <v/>
      </c>
      <c r="C249" s="251" t="str">
        <f>IF(B249="","",VLOOKUP(D249,'Species Data'!B:D,4,FALSE))</f>
        <v/>
      </c>
      <c r="D249" s="251" t="str">
        <f t="shared" ca="1" si="30"/>
        <v/>
      </c>
      <c r="E249" s="251" t="str">
        <f t="shared" ca="1" si="31"/>
        <v/>
      </c>
      <c r="F249" s="251" t="str">
        <f t="shared" ca="1" si="32"/>
        <v/>
      </c>
      <c r="G249" s="251" t="str">
        <f t="shared" ca="1" si="33"/>
        <v/>
      </c>
      <c r="H249" s="208" t="str">
        <f ca="1">IF(G249="","",IF(VLOOKUP(VOC!F249,'Species Data'!D:E,3,FALSE)=0,"X",IF(G249&lt;44.1,2,1)))</f>
        <v/>
      </c>
      <c r="I249" s="208" t="str">
        <f t="shared" ca="1" si="34"/>
        <v/>
      </c>
      <c r="J249" s="252" t="str">
        <f ca="1">IF(I249="","",IF(COUNTIF($D$12:D249,D249)=1,IF(H249=1,I249*H249,IF(H249="X","X",0)),0))</f>
        <v/>
      </c>
      <c r="K249" s="253" t="str">
        <f t="shared" ca="1" si="35"/>
        <v/>
      </c>
      <c r="L249" s="243"/>
      <c r="M249" s="212"/>
      <c r="N249" s="212"/>
      <c r="O249" s="213"/>
      <c r="P249" s="212"/>
      <c r="Q249" s="214"/>
      <c r="R249" s="212"/>
      <c r="S249" s="212"/>
      <c r="T249" s="212"/>
      <c r="U249" s="212"/>
      <c r="V249" s="214"/>
      <c r="W249" s="214"/>
      <c r="X249" s="214"/>
      <c r="Y249" s="214"/>
      <c r="Z249" s="214"/>
      <c r="AA249" s="212"/>
      <c r="AB249" s="212"/>
      <c r="AC249" s="212"/>
      <c r="AD249" s="214"/>
      <c r="AE249" s="214"/>
      <c r="AF249" s="214"/>
      <c r="AG249" s="214"/>
      <c r="AH249" s="212"/>
      <c r="AI249" s="212"/>
      <c r="AJ249" s="212"/>
      <c r="AK249" s="212"/>
      <c r="AL249" s="212"/>
      <c r="AM249" s="214"/>
      <c r="AN249" s="214"/>
      <c r="AO249" s="212"/>
      <c r="AP249" s="212"/>
      <c r="AQ249" s="214"/>
      <c r="AR249" s="214"/>
      <c r="AS249" s="212"/>
    </row>
    <row r="250" spans="1:45" s="216" customFormat="1" x14ac:dyDescent="0.25">
      <c r="A250" s="250" t="str">
        <f t="shared" si="36"/>
        <v/>
      </c>
      <c r="B250" s="251" t="str">
        <f t="shared" si="29"/>
        <v/>
      </c>
      <c r="C250" s="251" t="str">
        <f>IF(B250="","",VLOOKUP(D250,'Species Data'!B:D,4,FALSE))</f>
        <v/>
      </c>
      <c r="D250" s="251" t="str">
        <f t="shared" ca="1" si="30"/>
        <v/>
      </c>
      <c r="E250" s="251" t="str">
        <f t="shared" ca="1" si="31"/>
        <v/>
      </c>
      <c r="F250" s="251" t="str">
        <f t="shared" ca="1" si="32"/>
        <v/>
      </c>
      <c r="G250" s="251" t="str">
        <f t="shared" ca="1" si="33"/>
        <v/>
      </c>
      <c r="H250" s="208" t="str">
        <f ca="1">IF(G250="","",IF(VLOOKUP(VOC!F250,'Species Data'!D:E,3,FALSE)=0,"X",IF(G250&lt;44.1,2,1)))</f>
        <v/>
      </c>
      <c r="I250" s="208" t="str">
        <f t="shared" ca="1" si="34"/>
        <v/>
      </c>
      <c r="J250" s="252" t="str">
        <f ca="1">IF(I250="","",IF(COUNTIF($D$12:D250,D250)=1,IF(H250=1,I250*H250,IF(H250="X","X",0)),0))</f>
        <v/>
      </c>
      <c r="K250" s="253" t="str">
        <f t="shared" ca="1" si="35"/>
        <v/>
      </c>
      <c r="L250" s="243"/>
      <c r="M250" s="212"/>
      <c r="N250" s="212"/>
      <c r="O250" s="213"/>
      <c r="P250" s="212"/>
      <c r="Q250" s="214"/>
      <c r="R250" s="212"/>
      <c r="S250" s="212"/>
      <c r="T250" s="212"/>
      <c r="U250" s="212"/>
      <c r="V250" s="214"/>
      <c r="W250" s="214"/>
      <c r="X250" s="214"/>
      <c r="Y250" s="214"/>
      <c r="Z250" s="214"/>
      <c r="AA250" s="212"/>
      <c r="AB250" s="212"/>
      <c r="AC250" s="212"/>
      <c r="AD250" s="214"/>
      <c r="AE250" s="214"/>
      <c r="AF250" s="214"/>
      <c r="AG250" s="214"/>
      <c r="AH250" s="212"/>
      <c r="AI250" s="212"/>
      <c r="AJ250" s="212"/>
      <c r="AK250" s="212"/>
      <c r="AL250" s="212"/>
      <c r="AM250" s="214"/>
      <c r="AN250" s="214"/>
      <c r="AO250" s="212"/>
      <c r="AP250" s="212"/>
      <c r="AQ250" s="214"/>
      <c r="AR250" s="214"/>
      <c r="AS250" s="212"/>
    </row>
    <row r="251" spans="1:45" s="216" customFormat="1" x14ac:dyDescent="0.25">
      <c r="A251" s="250" t="str">
        <f t="shared" si="36"/>
        <v/>
      </c>
      <c r="B251" s="251" t="str">
        <f t="shared" si="29"/>
        <v/>
      </c>
      <c r="C251" s="251" t="str">
        <f>IF(B251="","",VLOOKUP(D251,'Species Data'!B:D,4,FALSE))</f>
        <v/>
      </c>
      <c r="D251" s="251" t="str">
        <f t="shared" ca="1" si="30"/>
        <v/>
      </c>
      <c r="E251" s="251" t="str">
        <f t="shared" ca="1" si="31"/>
        <v/>
      </c>
      <c r="F251" s="251" t="str">
        <f t="shared" ca="1" si="32"/>
        <v/>
      </c>
      <c r="G251" s="251" t="str">
        <f t="shared" ca="1" si="33"/>
        <v/>
      </c>
      <c r="H251" s="208" t="str">
        <f ca="1">IF(G251="","",IF(VLOOKUP(VOC!F251,'Species Data'!D:E,3,FALSE)=0,"X",IF(G251&lt;44.1,2,1)))</f>
        <v/>
      </c>
      <c r="I251" s="208" t="str">
        <f t="shared" ca="1" si="34"/>
        <v/>
      </c>
      <c r="J251" s="252" t="str">
        <f ca="1">IF(I251="","",IF(COUNTIF($D$12:D251,D251)=1,IF(H251=1,I251*H251,IF(H251="X","X",0)),0))</f>
        <v/>
      </c>
      <c r="K251" s="253" t="str">
        <f t="shared" ca="1" si="35"/>
        <v/>
      </c>
      <c r="L251" s="243"/>
      <c r="M251" s="212"/>
      <c r="N251" s="212"/>
      <c r="O251" s="213"/>
      <c r="P251" s="212"/>
      <c r="Q251" s="214"/>
      <c r="R251" s="212"/>
      <c r="S251" s="212"/>
      <c r="T251" s="212"/>
      <c r="U251" s="212"/>
      <c r="V251" s="214"/>
      <c r="W251" s="214"/>
      <c r="X251" s="214"/>
      <c r="Y251" s="214"/>
      <c r="Z251" s="214"/>
      <c r="AA251" s="212"/>
      <c r="AB251" s="212"/>
      <c r="AC251" s="212"/>
      <c r="AD251" s="214"/>
      <c r="AE251" s="214"/>
      <c r="AF251" s="214"/>
      <c r="AG251" s="214"/>
      <c r="AH251" s="212"/>
      <c r="AI251" s="212"/>
      <c r="AJ251" s="212"/>
      <c r="AK251" s="212"/>
      <c r="AL251" s="212"/>
      <c r="AM251" s="214"/>
      <c r="AN251" s="214"/>
      <c r="AO251" s="212"/>
      <c r="AP251" s="212"/>
      <c r="AQ251" s="214"/>
      <c r="AR251" s="214"/>
      <c r="AS251" s="212"/>
    </row>
    <row r="252" spans="1:45" s="216" customFormat="1" x14ac:dyDescent="0.25">
      <c r="A252" s="250" t="str">
        <f t="shared" si="36"/>
        <v/>
      </c>
      <c r="B252" s="251" t="str">
        <f t="shared" si="29"/>
        <v/>
      </c>
      <c r="C252" s="251" t="str">
        <f>IF(B252="","",VLOOKUP(D252,'Species Data'!B:D,4,FALSE))</f>
        <v/>
      </c>
      <c r="D252" s="251" t="str">
        <f t="shared" ca="1" si="30"/>
        <v/>
      </c>
      <c r="E252" s="251" t="str">
        <f t="shared" ca="1" si="31"/>
        <v/>
      </c>
      <c r="F252" s="251" t="str">
        <f t="shared" ca="1" si="32"/>
        <v/>
      </c>
      <c r="G252" s="251" t="str">
        <f t="shared" ca="1" si="33"/>
        <v/>
      </c>
      <c r="H252" s="208" t="str">
        <f ca="1">IF(G252="","",IF(VLOOKUP(VOC!F252,'Species Data'!D:E,3,FALSE)=0,"X",IF(G252&lt;44.1,2,1)))</f>
        <v/>
      </c>
      <c r="I252" s="208" t="str">
        <f t="shared" ca="1" si="34"/>
        <v/>
      </c>
      <c r="J252" s="252" t="str">
        <f ca="1">IF(I252="","",IF(COUNTIF($D$12:D252,D252)=1,IF(H252=1,I252*H252,IF(H252="X","X",0)),0))</f>
        <v/>
      </c>
      <c r="K252" s="253" t="str">
        <f t="shared" ca="1" si="35"/>
        <v/>
      </c>
      <c r="L252" s="243"/>
      <c r="M252" s="212"/>
      <c r="N252" s="212"/>
      <c r="O252" s="213"/>
      <c r="P252" s="212"/>
      <c r="Q252" s="214"/>
      <c r="R252" s="212"/>
      <c r="S252" s="212"/>
      <c r="T252" s="212"/>
      <c r="U252" s="212"/>
      <c r="V252" s="214"/>
      <c r="W252" s="214"/>
      <c r="X252" s="214"/>
      <c r="Y252" s="214"/>
      <c r="Z252" s="214"/>
      <c r="AA252" s="212"/>
      <c r="AB252" s="212"/>
      <c r="AC252" s="212"/>
      <c r="AD252" s="214"/>
      <c r="AE252" s="214"/>
      <c r="AF252" s="214"/>
      <c r="AG252" s="214"/>
      <c r="AH252" s="212"/>
      <c r="AI252" s="212"/>
      <c r="AJ252" s="212"/>
      <c r="AK252" s="212"/>
      <c r="AL252" s="212"/>
      <c r="AM252" s="214"/>
      <c r="AN252" s="214"/>
      <c r="AO252" s="212"/>
      <c r="AP252" s="212"/>
      <c r="AQ252" s="214"/>
      <c r="AR252" s="214"/>
      <c r="AS252" s="212"/>
    </row>
    <row r="253" spans="1:45" s="216" customFormat="1" x14ac:dyDescent="0.25">
      <c r="A253" s="250" t="str">
        <f t="shared" si="36"/>
        <v/>
      </c>
      <c r="B253" s="251" t="str">
        <f t="shared" si="29"/>
        <v/>
      </c>
      <c r="C253" s="251" t="str">
        <f>IF(B253="","",VLOOKUP(D253,'Species Data'!B:D,4,FALSE))</f>
        <v/>
      </c>
      <c r="D253" s="251" t="str">
        <f t="shared" ca="1" si="30"/>
        <v/>
      </c>
      <c r="E253" s="251" t="str">
        <f t="shared" ca="1" si="31"/>
        <v/>
      </c>
      <c r="F253" s="251" t="str">
        <f t="shared" ca="1" si="32"/>
        <v/>
      </c>
      <c r="G253" s="251" t="str">
        <f t="shared" ca="1" si="33"/>
        <v/>
      </c>
      <c r="H253" s="208" t="str">
        <f ca="1">IF(G253="","",IF(VLOOKUP(VOC!F253,'Species Data'!D:E,3,FALSE)=0,"X",IF(G253&lt;44.1,2,1)))</f>
        <v/>
      </c>
      <c r="I253" s="208" t="str">
        <f t="shared" ca="1" si="34"/>
        <v/>
      </c>
      <c r="J253" s="252" t="str">
        <f ca="1">IF(I253="","",IF(COUNTIF($D$12:D253,D253)=1,IF(H253=1,I253*H253,IF(H253="X","X",0)),0))</f>
        <v/>
      </c>
      <c r="K253" s="253" t="str">
        <f t="shared" ca="1" si="35"/>
        <v/>
      </c>
      <c r="L253" s="243"/>
      <c r="M253" s="212"/>
      <c r="N253" s="212"/>
      <c r="O253" s="213"/>
      <c r="P253" s="212"/>
      <c r="Q253" s="214"/>
      <c r="R253" s="212"/>
      <c r="S253" s="212"/>
      <c r="T253" s="212"/>
      <c r="U253" s="212"/>
      <c r="V253" s="214"/>
      <c r="W253" s="214"/>
      <c r="X253" s="214"/>
      <c r="Y253" s="214"/>
      <c r="Z253" s="214"/>
      <c r="AA253" s="212"/>
      <c r="AB253" s="212"/>
      <c r="AC253" s="212"/>
      <c r="AD253" s="214"/>
      <c r="AE253" s="214"/>
      <c r="AF253" s="214"/>
      <c r="AG253" s="214"/>
      <c r="AH253" s="212"/>
      <c r="AI253" s="212"/>
      <c r="AJ253" s="212"/>
      <c r="AK253" s="212"/>
      <c r="AL253" s="212"/>
      <c r="AM253" s="214"/>
      <c r="AN253" s="214"/>
      <c r="AO253" s="212"/>
      <c r="AP253" s="212"/>
      <c r="AQ253" s="214"/>
      <c r="AR253" s="214"/>
      <c r="AS253" s="212"/>
    </row>
    <row r="254" spans="1:45" s="216" customFormat="1" x14ac:dyDescent="0.25">
      <c r="A254" s="250" t="str">
        <f t="shared" si="36"/>
        <v/>
      </c>
      <c r="B254" s="251" t="str">
        <f t="shared" si="29"/>
        <v/>
      </c>
      <c r="C254" s="251" t="str">
        <f>IF(B254="","",VLOOKUP(D254,'Species Data'!B:D,4,FALSE))</f>
        <v/>
      </c>
      <c r="D254" s="251" t="str">
        <f t="shared" ca="1" si="30"/>
        <v/>
      </c>
      <c r="E254" s="251" t="str">
        <f t="shared" ca="1" si="31"/>
        <v/>
      </c>
      <c r="F254" s="251" t="str">
        <f t="shared" ca="1" si="32"/>
        <v/>
      </c>
      <c r="G254" s="251" t="str">
        <f t="shared" ca="1" si="33"/>
        <v/>
      </c>
      <c r="H254" s="208" t="str">
        <f ca="1">IF(G254="","",IF(VLOOKUP(VOC!F254,'Species Data'!D:E,3,FALSE)=0,"X",IF(G254&lt;44.1,2,1)))</f>
        <v/>
      </c>
      <c r="I254" s="208" t="str">
        <f t="shared" ca="1" si="34"/>
        <v/>
      </c>
      <c r="J254" s="252" t="str">
        <f ca="1">IF(I254="","",IF(COUNTIF($D$12:D254,D254)=1,IF(H254=1,I254*H254,IF(H254="X","X",0)),0))</f>
        <v/>
      </c>
      <c r="K254" s="253" t="str">
        <f t="shared" ca="1" si="35"/>
        <v/>
      </c>
      <c r="L254" s="243"/>
      <c r="M254" s="212"/>
      <c r="N254" s="212"/>
      <c r="O254" s="213"/>
      <c r="P254" s="212"/>
      <c r="Q254" s="214"/>
      <c r="R254" s="212"/>
      <c r="S254" s="212"/>
      <c r="T254" s="212"/>
      <c r="U254" s="212"/>
      <c r="V254" s="214"/>
      <c r="W254" s="214"/>
      <c r="X254" s="214"/>
      <c r="Y254" s="214"/>
      <c r="Z254" s="214"/>
      <c r="AA254" s="212"/>
      <c r="AB254" s="212"/>
      <c r="AC254" s="212"/>
      <c r="AD254" s="214"/>
      <c r="AE254" s="214"/>
      <c r="AF254" s="214"/>
      <c r="AG254" s="214"/>
      <c r="AH254" s="212"/>
      <c r="AI254" s="212"/>
      <c r="AJ254" s="212"/>
      <c r="AK254" s="212"/>
      <c r="AL254" s="212"/>
      <c r="AM254" s="214"/>
      <c r="AN254" s="214"/>
      <c r="AO254" s="212"/>
      <c r="AP254" s="212"/>
      <c r="AQ254" s="214"/>
      <c r="AR254" s="214"/>
      <c r="AS254" s="212"/>
    </row>
    <row r="255" spans="1:45" s="216" customFormat="1" x14ac:dyDescent="0.25">
      <c r="A255" s="250" t="str">
        <f t="shared" si="36"/>
        <v/>
      </c>
      <c r="B255" s="251" t="str">
        <f t="shared" si="29"/>
        <v/>
      </c>
      <c r="C255" s="251" t="str">
        <f>IF(B255="","",VLOOKUP(D255,'Species Data'!B:D,4,FALSE))</f>
        <v/>
      </c>
      <c r="D255" s="251" t="str">
        <f t="shared" ca="1" si="30"/>
        <v/>
      </c>
      <c r="E255" s="251" t="str">
        <f t="shared" ca="1" si="31"/>
        <v/>
      </c>
      <c r="F255" s="251" t="str">
        <f t="shared" ca="1" si="32"/>
        <v/>
      </c>
      <c r="G255" s="251" t="str">
        <f t="shared" ca="1" si="33"/>
        <v/>
      </c>
      <c r="H255" s="208" t="str">
        <f ca="1">IF(G255="","",IF(VLOOKUP(VOC!F255,'Species Data'!D:E,3,FALSE)=0,"X",IF(G255&lt;44.1,2,1)))</f>
        <v/>
      </c>
      <c r="I255" s="208" t="str">
        <f t="shared" ca="1" si="34"/>
        <v/>
      </c>
      <c r="J255" s="252" t="str">
        <f ca="1">IF(I255="","",IF(COUNTIF($D$12:D255,D255)=1,IF(H255=1,I255*H255,IF(H255="X","X",0)),0))</f>
        <v/>
      </c>
      <c r="K255" s="253" t="str">
        <f t="shared" ca="1" si="35"/>
        <v/>
      </c>
      <c r="L255" s="243"/>
      <c r="M255" s="212"/>
      <c r="N255" s="212"/>
      <c r="O255" s="213"/>
      <c r="P255" s="212"/>
      <c r="Q255" s="214"/>
      <c r="R255" s="212"/>
      <c r="S255" s="212"/>
      <c r="T255" s="212"/>
      <c r="U255" s="212"/>
      <c r="V255" s="214"/>
      <c r="W255" s="214"/>
      <c r="X255" s="214"/>
      <c r="Y255" s="214"/>
      <c r="Z255" s="214"/>
      <c r="AA255" s="212"/>
      <c r="AB255" s="212"/>
      <c r="AC255" s="212"/>
      <c r="AD255" s="214"/>
      <c r="AE255" s="214"/>
      <c r="AF255" s="214"/>
      <c r="AG255" s="214"/>
      <c r="AH255" s="212"/>
      <c r="AI255" s="212"/>
      <c r="AJ255" s="212"/>
      <c r="AK255" s="212"/>
      <c r="AL255" s="212"/>
      <c r="AM255" s="214"/>
      <c r="AN255" s="214"/>
      <c r="AO255" s="212"/>
      <c r="AP255" s="212"/>
      <c r="AQ255" s="214"/>
      <c r="AR255" s="214"/>
      <c r="AS255" s="212"/>
    </row>
    <row r="256" spans="1:45" s="216" customFormat="1" x14ac:dyDescent="0.25">
      <c r="A256" s="250" t="str">
        <f t="shared" si="36"/>
        <v/>
      </c>
      <c r="B256" s="251" t="str">
        <f t="shared" si="29"/>
        <v/>
      </c>
      <c r="C256" s="251" t="str">
        <f>IF(B256="","",VLOOKUP(D256,'Species Data'!B:D,4,FALSE))</f>
        <v/>
      </c>
      <c r="D256" s="251" t="str">
        <f t="shared" ca="1" si="30"/>
        <v/>
      </c>
      <c r="E256" s="251" t="str">
        <f t="shared" ca="1" si="31"/>
        <v/>
      </c>
      <c r="F256" s="251" t="str">
        <f t="shared" ca="1" si="32"/>
        <v/>
      </c>
      <c r="G256" s="251" t="str">
        <f t="shared" ca="1" si="33"/>
        <v/>
      </c>
      <c r="H256" s="208" t="str">
        <f ca="1">IF(G256="","",IF(VLOOKUP(VOC!F256,'Species Data'!D:E,3,FALSE)=0,"X",IF(G256&lt;44.1,2,1)))</f>
        <v/>
      </c>
      <c r="I256" s="208" t="str">
        <f t="shared" ca="1" si="34"/>
        <v/>
      </c>
      <c r="J256" s="252" t="str">
        <f ca="1">IF(I256="","",IF(COUNTIF($D$12:D256,D256)=1,IF(H256=1,I256*H256,IF(H256="X","X",0)),0))</f>
        <v/>
      </c>
      <c r="K256" s="253" t="str">
        <f t="shared" ca="1" si="35"/>
        <v/>
      </c>
      <c r="L256" s="243"/>
      <c r="M256" s="212"/>
      <c r="N256" s="212"/>
      <c r="O256" s="213"/>
      <c r="P256" s="212"/>
      <c r="Q256" s="214"/>
      <c r="R256" s="212"/>
      <c r="S256" s="212"/>
      <c r="T256" s="212"/>
      <c r="U256" s="212"/>
      <c r="V256" s="214"/>
      <c r="W256" s="214"/>
      <c r="X256" s="214"/>
      <c r="Y256" s="214"/>
      <c r="Z256" s="214"/>
      <c r="AA256" s="212"/>
      <c r="AB256" s="212"/>
      <c r="AC256" s="212"/>
      <c r="AD256" s="214"/>
      <c r="AE256" s="214"/>
      <c r="AF256" s="214"/>
      <c r="AG256" s="214"/>
      <c r="AH256" s="212"/>
      <c r="AI256" s="212"/>
      <c r="AJ256" s="212"/>
      <c r="AK256" s="212"/>
      <c r="AL256" s="212"/>
      <c r="AM256" s="214"/>
      <c r="AN256" s="214"/>
      <c r="AO256" s="212"/>
      <c r="AP256" s="212"/>
      <c r="AQ256" s="214"/>
      <c r="AR256" s="214"/>
      <c r="AS256" s="212"/>
    </row>
    <row r="257" spans="1:45" s="216" customFormat="1" x14ac:dyDescent="0.25">
      <c r="A257" s="250" t="str">
        <f t="shared" si="36"/>
        <v/>
      </c>
      <c r="B257" s="251" t="str">
        <f t="shared" si="29"/>
        <v/>
      </c>
      <c r="C257" s="251" t="str">
        <f>IF(B257="","",VLOOKUP(D257,'Species Data'!B:D,4,FALSE))</f>
        <v/>
      </c>
      <c r="D257" s="251" t="str">
        <f t="shared" ca="1" si="30"/>
        <v/>
      </c>
      <c r="E257" s="251" t="str">
        <f t="shared" ca="1" si="31"/>
        <v/>
      </c>
      <c r="F257" s="251" t="str">
        <f t="shared" ca="1" si="32"/>
        <v/>
      </c>
      <c r="G257" s="251" t="str">
        <f t="shared" ca="1" si="33"/>
        <v/>
      </c>
      <c r="H257" s="208" t="str">
        <f ca="1">IF(G257="","",IF(VLOOKUP(VOC!F257,'Species Data'!D:E,3,FALSE)=0,"X",IF(G257&lt;44.1,2,1)))</f>
        <v/>
      </c>
      <c r="I257" s="208" t="str">
        <f t="shared" ca="1" si="34"/>
        <v/>
      </c>
      <c r="J257" s="252" t="str">
        <f ca="1">IF(I257="","",IF(COUNTIF($D$12:D257,D257)=1,IF(H257=1,I257*H257,IF(H257="X","X",0)),0))</f>
        <v/>
      </c>
      <c r="K257" s="253" t="str">
        <f t="shared" ca="1" si="35"/>
        <v/>
      </c>
      <c r="L257" s="243"/>
      <c r="M257" s="212"/>
      <c r="N257" s="212"/>
      <c r="O257" s="213"/>
      <c r="P257" s="212"/>
      <c r="Q257" s="214"/>
      <c r="R257" s="212"/>
      <c r="S257" s="212"/>
      <c r="T257" s="212"/>
      <c r="U257" s="212"/>
      <c r="V257" s="214"/>
      <c r="W257" s="214"/>
      <c r="X257" s="214"/>
      <c r="Y257" s="214"/>
      <c r="Z257" s="214"/>
      <c r="AA257" s="212"/>
      <c r="AB257" s="212"/>
      <c r="AC257" s="212"/>
      <c r="AD257" s="214"/>
      <c r="AE257" s="214"/>
      <c r="AF257" s="214"/>
      <c r="AG257" s="214"/>
      <c r="AH257" s="212"/>
      <c r="AI257" s="212"/>
      <c r="AJ257" s="212"/>
      <c r="AK257" s="212"/>
      <c r="AL257" s="212"/>
      <c r="AM257" s="214"/>
      <c r="AN257" s="214"/>
      <c r="AO257" s="212"/>
      <c r="AP257" s="212"/>
      <c r="AQ257" s="214"/>
      <c r="AR257" s="214"/>
      <c r="AS257" s="212"/>
    </row>
    <row r="258" spans="1:45" s="216" customFormat="1" x14ac:dyDescent="0.25">
      <c r="A258" s="250" t="str">
        <f t="shared" si="36"/>
        <v/>
      </c>
      <c r="B258" s="251" t="str">
        <f t="shared" si="29"/>
        <v/>
      </c>
      <c r="C258" s="251" t="str">
        <f>IF(B258="","",VLOOKUP(D258,'Species Data'!B:D,4,FALSE))</f>
        <v/>
      </c>
      <c r="D258" s="251" t="str">
        <f t="shared" ca="1" si="30"/>
        <v/>
      </c>
      <c r="E258" s="251" t="str">
        <f t="shared" ca="1" si="31"/>
        <v/>
      </c>
      <c r="F258" s="251" t="str">
        <f t="shared" ca="1" si="32"/>
        <v/>
      </c>
      <c r="G258" s="251" t="str">
        <f t="shared" ca="1" si="33"/>
        <v/>
      </c>
      <c r="H258" s="208" t="str">
        <f ca="1">IF(G258="","",IF(VLOOKUP(VOC!F258,'Species Data'!D:E,3,FALSE)=0,"X",IF(G258&lt;44.1,2,1)))</f>
        <v/>
      </c>
      <c r="I258" s="208" t="str">
        <f t="shared" ca="1" si="34"/>
        <v/>
      </c>
      <c r="J258" s="252" t="str">
        <f ca="1">IF(I258="","",IF(COUNTIF($D$12:D258,D258)=1,IF(H258=1,I258*H258,IF(H258="X","X",0)),0))</f>
        <v/>
      </c>
      <c r="K258" s="253" t="str">
        <f t="shared" ca="1" si="35"/>
        <v/>
      </c>
      <c r="L258" s="243"/>
      <c r="M258" s="212"/>
      <c r="N258" s="212"/>
      <c r="O258" s="213"/>
      <c r="P258" s="212"/>
      <c r="Q258" s="214"/>
      <c r="R258" s="212"/>
      <c r="S258" s="212"/>
      <c r="T258" s="212"/>
      <c r="U258" s="212"/>
      <c r="V258" s="214"/>
      <c r="W258" s="214"/>
      <c r="X258" s="214"/>
      <c r="Y258" s="214"/>
      <c r="Z258" s="214"/>
      <c r="AA258" s="212"/>
      <c r="AB258" s="212"/>
      <c r="AC258" s="212"/>
      <c r="AD258" s="214"/>
      <c r="AE258" s="214"/>
      <c r="AF258" s="214"/>
      <c r="AG258" s="214"/>
      <c r="AH258" s="212"/>
      <c r="AI258" s="212"/>
      <c r="AJ258" s="212"/>
      <c r="AK258" s="212"/>
      <c r="AL258" s="212"/>
      <c r="AM258" s="214"/>
      <c r="AN258" s="214"/>
      <c r="AO258" s="212"/>
      <c r="AP258" s="212"/>
      <c r="AQ258" s="214"/>
      <c r="AR258" s="214"/>
      <c r="AS258" s="212"/>
    </row>
    <row r="259" spans="1:45" s="216" customFormat="1" x14ac:dyDescent="0.25">
      <c r="A259" s="250" t="str">
        <f t="shared" si="36"/>
        <v/>
      </c>
      <c r="B259" s="251" t="str">
        <f t="shared" si="29"/>
        <v/>
      </c>
      <c r="C259" s="251" t="str">
        <f>IF(B259="","",VLOOKUP(D259,'Species Data'!B:D,4,FALSE))</f>
        <v/>
      </c>
      <c r="D259" s="251" t="str">
        <f t="shared" ca="1" si="30"/>
        <v/>
      </c>
      <c r="E259" s="251" t="str">
        <f t="shared" ca="1" si="31"/>
        <v/>
      </c>
      <c r="F259" s="251" t="str">
        <f t="shared" ca="1" si="32"/>
        <v/>
      </c>
      <c r="G259" s="251" t="str">
        <f t="shared" ca="1" si="33"/>
        <v/>
      </c>
      <c r="H259" s="208" t="str">
        <f ca="1">IF(G259="","",IF(VLOOKUP(VOC!F259,'Species Data'!D:E,3,FALSE)=0,"X",IF(G259&lt;44.1,2,1)))</f>
        <v/>
      </c>
      <c r="I259" s="208" t="str">
        <f t="shared" ca="1" si="34"/>
        <v/>
      </c>
      <c r="J259" s="252" t="str">
        <f ca="1">IF(I259="","",IF(COUNTIF($D$12:D259,D259)=1,IF(H259=1,I259*H259,IF(H259="X","X",0)),0))</f>
        <v/>
      </c>
      <c r="K259" s="253" t="str">
        <f t="shared" ca="1" si="35"/>
        <v/>
      </c>
      <c r="L259" s="243"/>
      <c r="M259" s="212"/>
      <c r="N259" s="212"/>
      <c r="O259" s="213"/>
      <c r="P259" s="212"/>
      <c r="Q259" s="214"/>
      <c r="R259" s="212"/>
      <c r="S259" s="212"/>
      <c r="T259" s="212"/>
      <c r="U259" s="212"/>
      <c r="V259" s="214"/>
      <c r="W259" s="214"/>
      <c r="X259" s="214"/>
      <c r="Y259" s="214"/>
      <c r="Z259" s="214"/>
      <c r="AA259" s="212"/>
      <c r="AB259" s="212"/>
      <c r="AC259" s="212"/>
      <c r="AD259" s="214"/>
      <c r="AE259" s="214"/>
      <c r="AF259" s="214"/>
      <c r="AG259" s="214"/>
      <c r="AH259" s="212"/>
      <c r="AI259" s="212"/>
      <c r="AJ259" s="212"/>
      <c r="AK259" s="212"/>
      <c r="AL259" s="212"/>
      <c r="AM259" s="214"/>
      <c r="AN259" s="214"/>
      <c r="AO259" s="212"/>
      <c r="AP259" s="212"/>
      <c r="AQ259" s="214"/>
      <c r="AR259" s="214"/>
      <c r="AS259" s="212"/>
    </row>
    <row r="260" spans="1:45" s="216" customFormat="1" x14ac:dyDescent="0.25">
      <c r="A260" s="250" t="str">
        <f t="shared" si="36"/>
        <v/>
      </c>
      <c r="B260" s="251" t="str">
        <f t="shared" si="29"/>
        <v/>
      </c>
      <c r="C260" s="251" t="str">
        <f>IF(B260="","",VLOOKUP(D260,'Species Data'!B:D,4,FALSE))</f>
        <v/>
      </c>
      <c r="D260" s="251" t="str">
        <f t="shared" ca="1" si="30"/>
        <v/>
      </c>
      <c r="E260" s="251" t="str">
        <f t="shared" ca="1" si="31"/>
        <v/>
      </c>
      <c r="F260" s="251" t="str">
        <f t="shared" ca="1" si="32"/>
        <v/>
      </c>
      <c r="G260" s="251" t="str">
        <f t="shared" ca="1" si="33"/>
        <v/>
      </c>
      <c r="H260" s="208" t="str">
        <f ca="1">IF(G260="","",IF(VLOOKUP(VOC!F260,'Species Data'!D:E,3,FALSE)=0,"X",IF(G260&lt;44.1,2,1)))</f>
        <v/>
      </c>
      <c r="I260" s="208" t="str">
        <f t="shared" ca="1" si="34"/>
        <v/>
      </c>
      <c r="J260" s="252" t="str">
        <f ca="1">IF(I260="","",IF(COUNTIF($D$12:D260,D260)=1,IF(H260=1,I260*H260,IF(H260="X","X",0)),0))</f>
        <v/>
      </c>
      <c r="K260" s="253" t="str">
        <f t="shared" ca="1" si="35"/>
        <v/>
      </c>
      <c r="L260" s="243"/>
      <c r="M260" s="212"/>
      <c r="N260" s="212"/>
      <c r="O260" s="213"/>
      <c r="P260" s="212"/>
      <c r="Q260" s="214"/>
      <c r="R260" s="212"/>
      <c r="S260" s="212"/>
      <c r="T260" s="212"/>
      <c r="U260" s="212"/>
      <c r="V260" s="214"/>
      <c r="W260" s="214"/>
      <c r="X260" s="214"/>
      <c r="Y260" s="214"/>
      <c r="Z260" s="214"/>
      <c r="AA260" s="212"/>
      <c r="AB260" s="212"/>
      <c r="AC260" s="212"/>
      <c r="AD260" s="214"/>
      <c r="AE260" s="214"/>
      <c r="AF260" s="214"/>
      <c r="AG260" s="214"/>
      <c r="AH260" s="212"/>
      <c r="AI260" s="212"/>
      <c r="AJ260" s="212"/>
      <c r="AK260" s="212"/>
      <c r="AL260" s="212"/>
      <c r="AM260" s="214"/>
      <c r="AN260" s="214"/>
      <c r="AO260" s="212"/>
      <c r="AP260" s="212"/>
      <c r="AQ260" s="214"/>
      <c r="AR260" s="214"/>
      <c r="AS260" s="212"/>
    </row>
    <row r="261" spans="1:45" s="216" customFormat="1" x14ac:dyDescent="0.25">
      <c r="A261" s="250" t="str">
        <f t="shared" si="36"/>
        <v/>
      </c>
      <c r="B261" s="251" t="str">
        <f t="shared" si="29"/>
        <v/>
      </c>
      <c r="C261" s="251" t="str">
        <f>IF(B261="","",VLOOKUP(D261,'Species Data'!B:D,4,FALSE))</f>
        <v/>
      </c>
      <c r="D261" s="251" t="str">
        <f t="shared" ca="1" si="30"/>
        <v/>
      </c>
      <c r="E261" s="251" t="str">
        <f t="shared" ca="1" si="31"/>
        <v/>
      </c>
      <c r="F261" s="251" t="str">
        <f t="shared" ca="1" si="32"/>
        <v/>
      </c>
      <c r="G261" s="251" t="str">
        <f t="shared" ca="1" si="33"/>
        <v/>
      </c>
      <c r="H261" s="208" t="str">
        <f ca="1">IF(G261="","",IF(VLOOKUP(VOC!F261,'Species Data'!D:E,3,FALSE)=0,"X",IF(G261&lt;44.1,2,1)))</f>
        <v/>
      </c>
      <c r="I261" s="208" t="str">
        <f t="shared" ca="1" si="34"/>
        <v/>
      </c>
      <c r="J261" s="252" t="str">
        <f ca="1">IF(I261="","",IF(COUNTIF($D$12:D261,D261)=1,IF(H261=1,I261*H261,IF(H261="X","X",0)),0))</f>
        <v/>
      </c>
      <c r="K261" s="253" t="str">
        <f t="shared" ca="1" si="35"/>
        <v/>
      </c>
      <c r="L261" s="243"/>
      <c r="M261" s="212"/>
      <c r="N261" s="212"/>
      <c r="O261" s="213"/>
      <c r="P261" s="212"/>
      <c r="Q261" s="214"/>
      <c r="R261" s="212"/>
      <c r="S261" s="212"/>
      <c r="T261" s="212"/>
      <c r="U261" s="212"/>
      <c r="V261" s="214"/>
      <c r="W261" s="214"/>
      <c r="X261" s="214"/>
      <c r="Y261" s="214"/>
      <c r="Z261" s="214"/>
      <c r="AA261" s="212"/>
      <c r="AB261" s="212"/>
      <c r="AC261" s="212"/>
      <c r="AD261" s="214"/>
      <c r="AE261" s="214"/>
      <c r="AF261" s="214"/>
      <c r="AG261" s="214"/>
      <c r="AH261" s="212"/>
      <c r="AI261" s="212"/>
      <c r="AJ261" s="212"/>
      <c r="AK261" s="212"/>
      <c r="AL261" s="212"/>
      <c r="AM261" s="214"/>
      <c r="AN261" s="214"/>
      <c r="AO261" s="212"/>
      <c r="AP261" s="212"/>
      <c r="AQ261" s="214"/>
      <c r="AR261" s="214"/>
      <c r="AS261" s="212"/>
    </row>
    <row r="262" spans="1:45" s="221" customFormat="1" x14ac:dyDescent="0.25">
      <c r="A262" s="250" t="str">
        <f t="shared" si="36"/>
        <v/>
      </c>
      <c r="B262" s="251" t="str">
        <f t="shared" si="29"/>
        <v/>
      </c>
      <c r="C262" s="251" t="str">
        <f>IF(B262="","",VLOOKUP(D262,'Species Data'!B:D,4,FALSE))</f>
        <v/>
      </c>
      <c r="D262" s="251" t="str">
        <f t="shared" ca="1" si="30"/>
        <v/>
      </c>
      <c r="E262" s="251" t="str">
        <f t="shared" ca="1" si="31"/>
        <v/>
      </c>
      <c r="F262" s="251" t="str">
        <f t="shared" ca="1" si="32"/>
        <v/>
      </c>
      <c r="G262" s="251" t="str">
        <f t="shared" ca="1" si="33"/>
        <v/>
      </c>
      <c r="H262" s="208" t="str">
        <f ca="1">IF(G262="","",IF(VLOOKUP(VOC!F262,'Species Data'!D:E,3,FALSE)=0,"X",IF(G262&lt;44.1,2,1)))</f>
        <v/>
      </c>
      <c r="I262" s="208" t="str">
        <f t="shared" ca="1" si="34"/>
        <v/>
      </c>
      <c r="J262" s="252" t="str">
        <f ca="1">IF(I262="","",IF(COUNTIF($D$12:D262,D262)=1,IF(H262=1,I262*H262,IF(H262="X","X",0)),0))</f>
        <v/>
      </c>
      <c r="K262" s="253" t="str">
        <f t="shared" ca="1" si="35"/>
        <v/>
      </c>
      <c r="L262" s="243"/>
      <c r="M262" s="212"/>
      <c r="N262" s="212"/>
      <c r="O262" s="213"/>
      <c r="P262" s="212"/>
      <c r="Q262" s="214"/>
      <c r="R262" s="212"/>
      <c r="S262" s="212"/>
      <c r="T262" s="212"/>
      <c r="U262" s="212"/>
      <c r="V262" s="214"/>
      <c r="W262" s="214"/>
      <c r="X262" s="214"/>
      <c r="Y262" s="214"/>
      <c r="Z262" s="214"/>
      <c r="AA262" s="212"/>
      <c r="AB262" s="212"/>
      <c r="AC262" s="212"/>
      <c r="AD262" s="214"/>
      <c r="AE262" s="214"/>
      <c r="AF262" s="214"/>
      <c r="AG262" s="214"/>
      <c r="AH262" s="212"/>
      <c r="AI262" s="212"/>
      <c r="AJ262" s="212"/>
      <c r="AK262" s="212"/>
      <c r="AL262" s="212"/>
      <c r="AM262" s="214"/>
      <c r="AN262" s="214"/>
      <c r="AO262" s="212"/>
      <c r="AP262" s="212"/>
      <c r="AQ262" s="214"/>
      <c r="AR262" s="214"/>
      <c r="AS262" s="212"/>
    </row>
    <row r="263" spans="1:45" s="221" customFormat="1" x14ac:dyDescent="0.25">
      <c r="A263" s="250" t="str">
        <f t="shared" si="36"/>
        <v/>
      </c>
      <c r="B263" s="251" t="str">
        <f t="shared" si="29"/>
        <v/>
      </c>
      <c r="C263" s="251" t="str">
        <f>IF(B263="","",VLOOKUP(D263,'Species Data'!B:D,4,FALSE))</f>
        <v/>
      </c>
      <c r="D263" s="251" t="str">
        <f t="shared" ca="1" si="30"/>
        <v/>
      </c>
      <c r="E263" s="251" t="str">
        <f t="shared" ca="1" si="31"/>
        <v/>
      </c>
      <c r="F263" s="251" t="str">
        <f t="shared" ca="1" si="32"/>
        <v/>
      </c>
      <c r="G263" s="251" t="str">
        <f t="shared" ca="1" si="33"/>
        <v/>
      </c>
      <c r="H263" s="208" t="str">
        <f ca="1">IF(G263="","",IF(VLOOKUP(VOC!F263,'Species Data'!D:E,3,FALSE)=0,"X",IF(G263&lt;44.1,2,1)))</f>
        <v/>
      </c>
      <c r="I263" s="208" t="str">
        <f t="shared" ca="1" si="34"/>
        <v/>
      </c>
      <c r="J263" s="252" t="str">
        <f ca="1">IF(I263="","",IF(COUNTIF($D$12:D263,D263)=1,IF(H263=1,I263*H263,IF(H263="X","X",0)),0))</f>
        <v/>
      </c>
      <c r="K263" s="253" t="str">
        <f t="shared" ca="1" si="35"/>
        <v/>
      </c>
      <c r="L263" s="243"/>
      <c r="M263" s="212"/>
      <c r="N263" s="212"/>
      <c r="O263" s="213"/>
      <c r="P263" s="212"/>
      <c r="Q263" s="214"/>
      <c r="R263" s="212"/>
      <c r="S263" s="212"/>
      <c r="T263" s="212"/>
      <c r="U263" s="212"/>
      <c r="V263" s="214"/>
      <c r="W263" s="214"/>
      <c r="X263" s="214"/>
      <c r="Y263" s="214"/>
      <c r="Z263" s="214"/>
      <c r="AA263" s="212"/>
      <c r="AB263" s="212"/>
      <c r="AC263" s="212"/>
      <c r="AD263" s="214"/>
      <c r="AE263" s="214"/>
      <c r="AF263" s="214"/>
      <c r="AG263" s="214"/>
      <c r="AH263" s="212"/>
      <c r="AI263" s="212"/>
      <c r="AJ263" s="212"/>
      <c r="AK263" s="212"/>
      <c r="AL263" s="212"/>
      <c r="AM263" s="214"/>
      <c r="AN263" s="214"/>
      <c r="AO263" s="212"/>
      <c r="AP263" s="212"/>
      <c r="AQ263" s="214"/>
      <c r="AR263" s="214"/>
      <c r="AS263" s="212"/>
    </row>
    <row r="264" spans="1:45" s="223" customFormat="1" x14ac:dyDescent="0.25">
      <c r="A264" s="250" t="str">
        <f t="shared" si="36"/>
        <v/>
      </c>
      <c r="B264" s="251" t="str">
        <f t="shared" si="29"/>
        <v/>
      </c>
      <c r="C264" s="251" t="str">
        <f>IF(B264="","",VLOOKUP(D264,'Species Data'!B:D,4,FALSE))</f>
        <v/>
      </c>
      <c r="D264" s="251" t="str">
        <f t="shared" ca="1" si="30"/>
        <v/>
      </c>
      <c r="E264" s="251" t="str">
        <f t="shared" ca="1" si="31"/>
        <v/>
      </c>
      <c r="F264" s="251" t="str">
        <f t="shared" ca="1" si="32"/>
        <v/>
      </c>
      <c r="G264" s="251" t="str">
        <f t="shared" ca="1" si="33"/>
        <v/>
      </c>
      <c r="H264" s="208" t="str">
        <f ca="1">IF(G264="","",IF(VLOOKUP(VOC!F264,'Species Data'!D:E,3,FALSE)=0,"X",IF(G264&lt;44.1,2,1)))</f>
        <v/>
      </c>
      <c r="I264" s="208" t="str">
        <f t="shared" ca="1" si="34"/>
        <v/>
      </c>
      <c r="J264" s="252" t="str">
        <f ca="1">IF(I264="","",IF(COUNTIF($D$12:D264,D264)=1,IF(H264=1,I264*H264,IF(H264="X","X",0)),0))</f>
        <v/>
      </c>
      <c r="K264" s="253" t="str">
        <f t="shared" ca="1" si="35"/>
        <v/>
      </c>
      <c r="L264" s="244"/>
      <c r="M264" s="217"/>
      <c r="N264" s="217"/>
      <c r="O264" s="218"/>
      <c r="P264" s="217"/>
      <c r="Q264" s="219"/>
      <c r="R264" s="217"/>
      <c r="S264" s="217"/>
      <c r="T264" s="217"/>
      <c r="U264" s="217"/>
      <c r="V264" s="219"/>
      <c r="W264" s="219"/>
      <c r="X264" s="219"/>
      <c r="Y264" s="219"/>
      <c r="Z264" s="219"/>
      <c r="AA264" s="217"/>
      <c r="AB264" s="217"/>
      <c r="AC264" s="217"/>
      <c r="AD264" s="219"/>
      <c r="AE264" s="219"/>
      <c r="AF264" s="219"/>
      <c r="AG264" s="219"/>
      <c r="AH264" s="217"/>
      <c r="AI264" s="217"/>
      <c r="AJ264" s="217"/>
      <c r="AK264" s="217"/>
      <c r="AL264" s="217"/>
      <c r="AM264" s="219"/>
      <c r="AN264" s="219"/>
      <c r="AO264" s="217"/>
      <c r="AP264" s="217"/>
      <c r="AQ264" s="219"/>
      <c r="AR264" s="219"/>
      <c r="AS264" s="217"/>
    </row>
    <row r="265" spans="1:45" s="223" customFormat="1" x14ac:dyDescent="0.25">
      <c r="A265" s="250" t="str">
        <f t="shared" si="36"/>
        <v/>
      </c>
      <c r="B265" s="251" t="str">
        <f t="shared" si="29"/>
        <v/>
      </c>
      <c r="C265" s="251" t="str">
        <f>IF(B265="","",VLOOKUP(D265,'Species Data'!B:D,4,FALSE))</f>
        <v/>
      </c>
      <c r="D265" s="251" t="str">
        <f t="shared" ca="1" si="30"/>
        <v/>
      </c>
      <c r="E265" s="251" t="str">
        <f t="shared" ca="1" si="31"/>
        <v/>
      </c>
      <c r="F265" s="251" t="str">
        <f t="shared" ca="1" si="32"/>
        <v/>
      </c>
      <c r="G265" s="251" t="str">
        <f t="shared" ca="1" si="33"/>
        <v/>
      </c>
      <c r="H265" s="208" t="str">
        <f ca="1">IF(G265="","",IF(VLOOKUP(VOC!F265,'Species Data'!D:E,3,FALSE)=0,"X",IF(G265&lt;44.1,2,1)))</f>
        <v/>
      </c>
      <c r="I265" s="208" t="str">
        <f t="shared" ca="1" si="34"/>
        <v/>
      </c>
      <c r="J265" s="252" t="str">
        <f ca="1">IF(I265="","",IF(COUNTIF($D$12:D265,D265)=1,IF(H265=1,I265*H265,IF(H265="X","X",0)),0))</f>
        <v/>
      </c>
      <c r="K265" s="253" t="str">
        <f t="shared" ca="1" si="35"/>
        <v/>
      </c>
      <c r="L265" s="244"/>
      <c r="M265" s="217"/>
      <c r="N265" s="217"/>
      <c r="O265" s="218"/>
      <c r="P265" s="217"/>
      <c r="Q265" s="219"/>
      <c r="R265" s="217"/>
      <c r="S265" s="217"/>
      <c r="T265" s="217"/>
      <c r="U265" s="217"/>
      <c r="V265" s="219"/>
      <c r="W265" s="219"/>
      <c r="X265" s="219"/>
      <c r="Y265" s="219"/>
      <c r="Z265" s="219"/>
      <c r="AA265" s="217"/>
      <c r="AB265" s="217"/>
      <c r="AC265" s="217"/>
      <c r="AD265" s="219"/>
      <c r="AE265" s="219"/>
      <c r="AF265" s="219"/>
      <c r="AG265" s="219"/>
      <c r="AH265" s="217"/>
      <c r="AI265" s="217"/>
      <c r="AJ265" s="217"/>
      <c r="AK265" s="217"/>
      <c r="AL265" s="217"/>
      <c r="AM265" s="219"/>
      <c r="AN265" s="219"/>
      <c r="AO265" s="217"/>
      <c r="AP265" s="217"/>
      <c r="AQ265" s="219"/>
      <c r="AR265" s="219"/>
      <c r="AS265" s="217"/>
    </row>
    <row r="266" spans="1:45" s="223" customFormat="1" x14ac:dyDescent="0.25">
      <c r="A266" s="250" t="str">
        <f t="shared" si="36"/>
        <v/>
      </c>
      <c r="B266" s="251" t="str">
        <f t="shared" si="29"/>
        <v/>
      </c>
      <c r="C266" s="251" t="str">
        <f>IF(B266="","",VLOOKUP(D266,'Species Data'!B:D,4,FALSE))</f>
        <v/>
      </c>
      <c r="D266" s="251" t="str">
        <f t="shared" ca="1" si="30"/>
        <v/>
      </c>
      <c r="E266" s="251" t="str">
        <f t="shared" ca="1" si="31"/>
        <v/>
      </c>
      <c r="F266" s="251" t="str">
        <f t="shared" ca="1" si="32"/>
        <v/>
      </c>
      <c r="G266" s="251" t="str">
        <f t="shared" ca="1" si="33"/>
        <v/>
      </c>
      <c r="H266" s="208" t="str">
        <f ca="1">IF(G266="","",IF(VLOOKUP(VOC!F266,'Species Data'!D:E,3,FALSE)=0,"X",IF(G266&lt;44.1,2,1)))</f>
        <v/>
      </c>
      <c r="I266" s="208" t="str">
        <f t="shared" ca="1" si="34"/>
        <v/>
      </c>
      <c r="J266" s="252" t="str">
        <f ca="1">IF(I266="","",IF(COUNTIF($D$12:D266,D266)=1,IF(H266=1,I266*H266,IF(H266="X","X",0)),0))</f>
        <v/>
      </c>
      <c r="K266" s="253" t="str">
        <f t="shared" ca="1" si="35"/>
        <v/>
      </c>
      <c r="L266" s="244"/>
      <c r="M266" s="217"/>
      <c r="N266" s="217"/>
      <c r="O266" s="218"/>
      <c r="P266" s="217"/>
      <c r="Q266" s="219"/>
      <c r="R266" s="217"/>
      <c r="S266" s="217"/>
      <c r="T266" s="217"/>
      <c r="U266" s="217"/>
      <c r="V266" s="219"/>
      <c r="W266" s="219"/>
      <c r="X266" s="219"/>
      <c r="Y266" s="219"/>
      <c r="Z266" s="219"/>
      <c r="AA266" s="217"/>
      <c r="AB266" s="217"/>
      <c r="AC266" s="217"/>
      <c r="AD266" s="219"/>
      <c r="AE266" s="219"/>
      <c r="AF266" s="219"/>
      <c r="AG266" s="219"/>
      <c r="AH266" s="217"/>
      <c r="AI266" s="217"/>
      <c r="AJ266" s="217"/>
      <c r="AK266" s="217"/>
      <c r="AL266" s="217"/>
      <c r="AM266" s="219"/>
      <c r="AN266" s="219"/>
      <c r="AO266" s="217"/>
      <c r="AP266" s="217"/>
      <c r="AQ266" s="219"/>
      <c r="AR266" s="219"/>
      <c r="AS266" s="217"/>
    </row>
    <row r="267" spans="1:45" s="223" customFormat="1" x14ac:dyDescent="0.25">
      <c r="A267" s="250" t="str">
        <f t="shared" si="36"/>
        <v/>
      </c>
      <c r="B267" s="251" t="str">
        <f t="shared" si="29"/>
        <v/>
      </c>
      <c r="C267" s="251" t="str">
        <f>IF(B267="","",VLOOKUP(D267,'Species Data'!B:D,4,FALSE))</f>
        <v/>
      </c>
      <c r="D267" s="251" t="str">
        <f t="shared" ca="1" si="30"/>
        <v/>
      </c>
      <c r="E267" s="251" t="str">
        <f t="shared" ca="1" si="31"/>
        <v/>
      </c>
      <c r="F267" s="251" t="str">
        <f t="shared" ca="1" si="32"/>
        <v/>
      </c>
      <c r="G267" s="251" t="str">
        <f t="shared" ca="1" si="33"/>
        <v/>
      </c>
      <c r="H267" s="208" t="str">
        <f ca="1">IF(G267="","",IF(VLOOKUP(VOC!F267,'Species Data'!D:E,3,FALSE)=0,"X",IF(G267&lt;44.1,2,1)))</f>
        <v/>
      </c>
      <c r="I267" s="208" t="str">
        <f t="shared" ca="1" si="34"/>
        <v/>
      </c>
      <c r="J267" s="252" t="str">
        <f ca="1">IF(I267="","",IF(COUNTIF($D$12:D267,D267)=1,IF(H267=1,I267*H267,IF(H267="X","X",0)),0))</f>
        <v/>
      </c>
      <c r="K267" s="253" t="str">
        <f t="shared" ca="1" si="35"/>
        <v/>
      </c>
      <c r="L267" s="244"/>
      <c r="M267" s="217"/>
      <c r="N267" s="217"/>
      <c r="O267" s="218"/>
      <c r="P267" s="217"/>
      <c r="Q267" s="219"/>
      <c r="R267" s="217"/>
      <c r="S267" s="217"/>
      <c r="T267" s="217"/>
      <c r="U267" s="217"/>
      <c r="V267" s="219"/>
      <c r="W267" s="219"/>
      <c r="X267" s="219"/>
      <c r="Y267" s="219"/>
      <c r="Z267" s="219"/>
      <c r="AA267" s="217"/>
      <c r="AB267" s="217"/>
      <c r="AC267" s="217"/>
      <c r="AD267" s="219"/>
      <c r="AE267" s="219"/>
      <c r="AF267" s="219"/>
      <c r="AG267" s="219"/>
      <c r="AH267" s="217"/>
      <c r="AI267" s="217"/>
      <c r="AJ267" s="217"/>
      <c r="AK267" s="217"/>
      <c r="AL267" s="217"/>
      <c r="AM267" s="219"/>
      <c r="AN267" s="219"/>
      <c r="AO267" s="217"/>
      <c r="AP267" s="217"/>
      <c r="AQ267" s="219"/>
      <c r="AR267" s="219"/>
      <c r="AS267" s="217"/>
    </row>
    <row r="268" spans="1:45" s="223" customFormat="1" x14ac:dyDescent="0.25">
      <c r="A268" s="250" t="str">
        <f t="shared" si="36"/>
        <v/>
      </c>
      <c r="B268" s="251" t="str">
        <f t="shared" ref="B268:B331" si="37">IF(ROW(A268)-(ROW($A$12))&lt;$B$10,$B$9,"")</f>
        <v/>
      </c>
      <c r="C268" s="251" t="str">
        <f>IF(B268="","",VLOOKUP(D268,'Species Data'!B:D,4,FALSE))</f>
        <v/>
      </c>
      <c r="D268" s="251" t="str">
        <f t="shared" ref="D268:D331" ca="1" si="38">IF(B268="","",INDIRECT("AE"&amp;$A268))</f>
        <v/>
      </c>
      <c r="E268" s="251" t="str">
        <f t="shared" ref="E268:E331" ca="1" si="39">IF(D268="","",INDIRECT("AF"&amp;$A268))</f>
        <v/>
      </c>
      <c r="F268" s="251" t="str">
        <f t="shared" ref="F268:F331" ca="1" si="40">IF(E268="","",INDIRECT("AO"&amp;$A268))</f>
        <v/>
      </c>
      <c r="G268" s="251" t="str">
        <f t="shared" ref="G268:G331" ca="1" si="41">IF(F268="","",INDIRECT("AQ"&amp;$A268))</f>
        <v/>
      </c>
      <c r="H268" s="208" t="str">
        <f ca="1">IF(G268="","",IF(VLOOKUP(VOC!F268,'Species Data'!D:E,3,FALSE)=0,"X",IF(G268&lt;44.1,2,1)))</f>
        <v/>
      </c>
      <c r="I268" s="208" t="str">
        <f t="shared" ref="I268:I331" ca="1" si="42">IF(H268="","",SUMIF(D:D,D268,E:E)/($E$9/100))</f>
        <v/>
      </c>
      <c r="J268" s="252" t="str">
        <f ca="1">IF(I268="","",IF(COUNTIF($D$12:D268,D268)=1,IF(H268=1,I268*H268,IF(H268="X","X",0)),0))</f>
        <v/>
      </c>
      <c r="K268" s="253" t="str">
        <f t="shared" ref="K268:K331" ca="1" si="43">IF(J268="","",IF(J268="X",0,J268/$J$9*100))</f>
        <v/>
      </c>
      <c r="L268" s="244"/>
      <c r="M268" s="217"/>
      <c r="N268" s="217"/>
      <c r="O268" s="218"/>
      <c r="P268" s="217"/>
      <c r="Q268" s="219"/>
      <c r="R268" s="217"/>
      <c r="S268" s="217"/>
      <c r="T268" s="217"/>
      <c r="U268" s="217"/>
      <c r="V268" s="219"/>
      <c r="W268" s="219"/>
      <c r="X268" s="219"/>
      <c r="Y268" s="219"/>
      <c r="Z268" s="219"/>
      <c r="AA268" s="217"/>
      <c r="AB268" s="217"/>
      <c r="AC268" s="217"/>
      <c r="AD268" s="219"/>
      <c r="AE268" s="219"/>
      <c r="AF268" s="219"/>
      <c r="AG268" s="219"/>
      <c r="AH268" s="217"/>
      <c r="AI268" s="217"/>
      <c r="AJ268" s="217"/>
      <c r="AK268" s="217"/>
      <c r="AL268" s="217"/>
      <c r="AM268" s="219"/>
      <c r="AN268" s="219"/>
      <c r="AO268" s="217"/>
      <c r="AP268" s="217"/>
      <c r="AQ268" s="219"/>
      <c r="AR268" s="219"/>
      <c r="AS268" s="217"/>
    </row>
    <row r="269" spans="1:45" s="223" customFormat="1" x14ac:dyDescent="0.25">
      <c r="A269" s="250" t="str">
        <f t="shared" si="36"/>
        <v/>
      </c>
      <c r="B269" s="251" t="str">
        <f t="shared" si="37"/>
        <v/>
      </c>
      <c r="C269" s="251" t="str">
        <f>IF(B269="","",VLOOKUP(D269,'Species Data'!B:D,4,FALSE))</f>
        <v/>
      </c>
      <c r="D269" s="251" t="str">
        <f t="shared" ca="1" si="38"/>
        <v/>
      </c>
      <c r="E269" s="251" t="str">
        <f t="shared" ca="1" si="39"/>
        <v/>
      </c>
      <c r="F269" s="251" t="str">
        <f t="shared" ca="1" si="40"/>
        <v/>
      </c>
      <c r="G269" s="251" t="str">
        <f t="shared" ca="1" si="41"/>
        <v/>
      </c>
      <c r="H269" s="208" t="str">
        <f ca="1">IF(G269="","",IF(VLOOKUP(VOC!F269,'Species Data'!D:E,3,FALSE)=0,"X",IF(G269&lt;44.1,2,1)))</f>
        <v/>
      </c>
      <c r="I269" s="208" t="str">
        <f t="shared" ca="1" si="42"/>
        <v/>
      </c>
      <c r="J269" s="252" t="str">
        <f ca="1">IF(I269="","",IF(COUNTIF($D$12:D269,D269)=1,IF(H269=1,I269*H269,IF(H269="X","X",0)),0))</f>
        <v/>
      </c>
      <c r="K269" s="253" t="str">
        <f t="shared" ca="1" si="43"/>
        <v/>
      </c>
      <c r="L269" s="244"/>
      <c r="M269" s="217"/>
      <c r="N269" s="217"/>
      <c r="O269" s="218"/>
      <c r="P269" s="217"/>
      <c r="Q269" s="219"/>
      <c r="R269" s="217"/>
      <c r="S269" s="217"/>
      <c r="T269" s="217"/>
      <c r="U269" s="217"/>
      <c r="V269" s="219"/>
      <c r="W269" s="219"/>
      <c r="X269" s="219"/>
      <c r="Y269" s="219"/>
      <c r="Z269" s="219"/>
      <c r="AA269" s="217"/>
      <c r="AB269" s="217"/>
      <c r="AC269" s="217"/>
      <c r="AD269" s="219"/>
      <c r="AE269" s="219"/>
      <c r="AF269" s="219"/>
      <c r="AG269" s="219"/>
      <c r="AH269" s="217"/>
      <c r="AI269" s="217"/>
      <c r="AJ269" s="217"/>
      <c r="AK269" s="217"/>
      <c r="AL269" s="217"/>
      <c r="AM269" s="219"/>
      <c r="AN269" s="219"/>
      <c r="AO269" s="217"/>
      <c r="AP269" s="217"/>
      <c r="AQ269" s="219"/>
      <c r="AR269" s="219"/>
      <c r="AS269" s="217"/>
    </row>
    <row r="270" spans="1:45" s="223" customFormat="1" x14ac:dyDescent="0.25">
      <c r="A270" s="250" t="str">
        <f t="shared" ref="A270:A333" si="44">IF(B270="","",A269+1)</f>
        <v/>
      </c>
      <c r="B270" s="251" t="str">
        <f t="shared" si="37"/>
        <v/>
      </c>
      <c r="C270" s="251" t="str">
        <f>IF(B270="","",VLOOKUP(D270,'Species Data'!B:D,4,FALSE))</f>
        <v/>
      </c>
      <c r="D270" s="251" t="str">
        <f t="shared" ca="1" si="38"/>
        <v/>
      </c>
      <c r="E270" s="251" t="str">
        <f t="shared" ca="1" si="39"/>
        <v/>
      </c>
      <c r="F270" s="251" t="str">
        <f t="shared" ca="1" si="40"/>
        <v/>
      </c>
      <c r="G270" s="251" t="str">
        <f t="shared" ca="1" si="41"/>
        <v/>
      </c>
      <c r="H270" s="208" t="str">
        <f ca="1">IF(G270="","",IF(VLOOKUP(VOC!F270,'Species Data'!D:E,3,FALSE)=0,"X",IF(G270&lt;44.1,2,1)))</f>
        <v/>
      </c>
      <c r="I270" s="208" t="str">
        <f t="shared" ca="1" si="42"/>
        <v/>
      </c>
      <c r="J270" s="252" t="str">
        <f ca="1">IF(I270="","",IF(COUNTIF($D$12:D270,D270)=1,IF(H270=1,I270*H270,IF(H270="X","X",0)),0))</f>
        <v/>
      </c>
      <c r="K270" s="253" t="str">
        <f t="shared" ca="1" si="43"/>
        <v/>
      </c>
      <c r="L270" s="244"/>
      <c r="M270" s="217"/>
      <c r="N270" s="217"/>
      <c r="O270" s="218"/>
      <c r="P270" s="217"/>
      <c r="Q270" s="219"/>
      <c r="R270" s="217"/>
      <c r="S270" s="217"/>
      <c r="T270" s="217"/>
      <c r="U270" s="217"/>
      <c r="V270" s="219"/>
      <c r="W270" s="219"/>
      <c r="X270" s="219"/>
      <c r="Y270" s="219"/>
      <c r="Z270" s="219"/>
      <c r="AA270" s="217"/>
      <c r="AB270" s="217"/>
      <c r="AC270" s="217"/>
      <c r="AD270" s="219"/>
      <c r="AE270" s="219"/>
      <c r="AF270" s="219"/>
      <c r="AG270" s="219"/>
      <c r="AH270" s="217"/>
      <c r="AI270" s="217"/>
      <c r="AJ270" s="217"/>
      <c r="AK270" s="217"/>
      <c r="AL270" s="217"/>
      <c r="AM270" s="219"/>
      <c r="AN270" s="219"/>
      <c r="AO270" s="217"/>
      <c r="AP270" s="217"/>
      <c r="AQ270" s="219"/>
      <c r="AR270" s="219"/>
      <c r="AS270" s="217"/>
    </row>
    <row r="271" spans="1:45" s="223" customFormat="1" x14ac:dyDescent="0.25">
      <c r="A271" s="250" t="str">
        <f t="shared" si="44"/>
        <v/>
      </c>
      <c r="B271" s="251" t="str">
        <f t="shared" si="37"/>
        <v/>
      </c>
      <c r="C271" s="251" t="str">
        <f>IF(B271="","",VLOOKUP(D271,'Species Data'!B:D,4,FALSE))</f>
        <v/>
      </c>
      <c r="D271" s="251" t="str">
        <f t="shared" ca="1" si="38"/>
        <v/>
      </c>
      <c r="E271" s="251" t="str">
        <f t="shared" ca="1" si="39"/>
        <v/>
      </c>
      <c r="F271" s="251" t="str">
        <f t="shared" ca="1" si="40"/>
        <v/>
      </c>
      <c r="G271" s="251" t="str">
        <f t="shared" ca="1" si="41"/>
        <v/>
      </c>
      <c r="H271" s="208" t="str">
        <f ca="1">IF(G271="","",IF(VLOOKUP(VOC!F271,'Species Data'!D:E,3,FALSE)=0,"X",IF(G271&lt;44.1,2,1)))</f>
        <v/>
      </c>
      <c r="I271" s="208" t="str">
        <f t="shared" ca="1" si="42"/>
        <v/>
      </c>
      <c r="J271" s="252" t="str">
        <f ca="1">IF(I271="","",IF(COUNTIF($D$12:D271,D271)=1,IF(H271=1,I271*H271,IF(H271="X","X",0)),0))</f>
        <v/>
      </c>
      <c r="K271" s="253" t="str">
        <f t="shared" ca="1" si="43"/>
        <v/>
      </c>
      <c r="L271" s="244"/>
      <c r="M271" s="217"/>
      <c r="N271" s="217"/>
      <c r="O271" s="218"/>
      <c r="P271" s="217"/>
      <c r="Q271" s="219"/>
      <c r="R271" s="217"/>
      <c r="S271" s="217"/>
      <c r="T271" s="217"/>
      <c r="U271" s="217"/>
      <c r="V271" s="219"/>
      <c r="W271" s="219"/>
      <c r="X271" s="219"/>
      <c r="Y271" s="219"/>
      <c r="Z271" s="219"/>
      <c r="AA271" s="217"/>
      <c r="AB271" s="217"/>
      <c r="AC271" s="217"/>
      <c r="AD271" s="219"/>
      <c r="AE271" s="219"/>
      <c r="AF271" s="219"/>
      <c r="AG271" s="219"/>
      <c r="AH271" s="217"/>
      <c r="AI271" s="217"/>
      <c r="AJ271" s="217"/>
      <c r="AK271" s="217"/>
      <c r="AL271" s="217"/>
      <c r="AM271" s="219"/>
      <c r="AN271" s="219"/>
      <c r="AO271" s="217"/>
      <c r="AP271" s="217"/>
      <c r="AQ271" s="219"/>
      <c r="AR271" s="219"/>
      <c r="AS271" s="217"/>
    </row>
    <row r="272" spans="1:45" s="223" customFormat="1" x14ac:dyDescent="0.25">
      <c r="A272" s="250" t="str">
        <f t="shared" si="44"/>
        <v/>
      </c>
      <c r="B272" s="251" t="str">
        <f t="shared" si="37"/>
        <v/>
      </c>
      <c r="C272" s="251" t="str">
        <f>IF(B272="","",VLOOKUP(D272,'Species Data'!B:D,4,FALSE))</f>
        <v/>
      </c>
      <c r="D272" s="251" t="str">
        <f t="shared" ca="1" si="38"/>
        <v/>
      </c>
      <c r="E272" s="251" t="str">
        <f t="shared" ca="1" si="39"/>
        <v/>
      </c>
      <c r="F272" s="251" t="str">
        <f t="shared" ca="1" si="40"/>
        <v/>
      </c>
      <c r="G272" s="251" t="str">
        <f t="shared" ca="1" si="41"/>
        <v/>
      </c>
      <c r="H272" s="208" t="str">
        <f ca="1">IF(G272="","",IF(VLOOKUP(VOC!F272,'Species Data'!D:E,3,FALSE)=0,"X",IF(G272&lt;44.1,2,1)))</f>
        <v/>
      </c>
      <c r="I272" s="208" t="str">
        <f t="shared" ca="1" si="42"/>
        <v/>
      </c>
      <c r="J272" s="252" t="str">
        <f ca="1">IF(I272="","",IF(COUNTIF($D$12:D272,D272)=1,IF(H272=1,I272*H272,IF(H272="X","X",0)),0))</f>
        <v/>
      </c>
      <c r="K272" s="253" t="str">
        <f t="shared" ca="1" si="43"/>
        <v/>
      </c>
      <c r="L272" s="244"/>
      <c r="M272" s="217"/>
      <c r="N272" s="217"/>
      <c r="O272" s="218"/>
      <c r="P272" s="217"/>
      <c r="Q272" s="219"/>
      <c r="R272" s="217"/>
      <c r="S272" s="217"/>
      <c r="T272" s="217"/>
      <c r="U272" s="217"/>
      <c r="V272" s="219"/>
      <c r="W272" s="219"/>
      <c r="X272" s="219"/>
      <c r="Y272" s="219"/>
      <c r="Z272" s="219"/>
      <c r="AA272" s="217"/>
      <c r="AB272" s="217"/>
      <c r="AC272" s="217"/>
      <c r="AD272" s="219"/>
      <c r="AE272" s="219"/>
      <c r="AF272" s="219"/>
      <c r="AG272" s="219"/>
      <c r="AH272" s="217"/>
      <c r="AI272" s="217"/>
      <c r="AJ272" s="217"/>
      <c r="AK272" s="217"/>
      <c r="AL272" s="217"/>
      <c r="AM272" s="219"/>
      <c r="AN272" s="219"/>
      <c r="AO272" s="217"/>
      <c r="AP272" s="217"/>
      <c r="AQ272" s="219"/>
      <c r="AR272" s="219"/>
      <c r="AS272" s="217"/>
    </row>
    <row r="273" spans="1:45" s="223" customFormat="1" x14ac:dyDescent="0.25">
      <c r="A273" s="250" t="str">
        <f t="shared" si="44"/>
        <v/>
      </c>
      <c r="B273" s="251" t="str">
        <f t="shared" si="37"/>
        <v/>
      </c>
      <c r="C273" s="251" t="str">
        <f>IF(B273="","",VLOOKUP(D273,'Species Data'!B:D,4,FALSE))</f>
        <v/>
      </c>
      <c r="D273" s="251" t="str">
        <f t="shared" ca="1" si="38"/>
        <v/>
      </c>
      <c r="E273" s="251" t="str">
        <f t="shared" ca="1" si="39"/>
        <v/>
      </c>
      <c r="F273" s="251" t="str">
        <f t="shared" ca="1" si="40"/>
        <v/>
      </c>
      <c r="G273" s="251" t="str">
        <f t="shared" ca="1" si="41"/>
        <v/>
      </c>
      <c r="H273" s="208" t="str">
        <f ca="1">IF(G273="","",IF(VLOOKUP(VOC!F273,'Species Data'!D:E,3,FALSE)=0,"X",IF(G273&lt;44.1,2,1)))</f>
        <v/>
      </c>
      <c r="I273" s="208" t="str">
        <f t="shared" ca="1" si="42"/>
        <v/>
      </c>
      <c r="J273" s="252" t="str">
        <f ca="1">IF(I273="","",IF(COUNTIF($D$12:D273,D273)=1,IF(H273=1,I273*H273,IF(H273="X","X",0)),0))</f>
        <v/>
      </c>
      <c r="K273" s="253" t="str">
        <f t="shared" ca="1" si="43"/>
        <v/>
      </c>
      <c r="L273" s="244"/>
      <c r="M273" s="217"/>
      <c r="N273" s="217"/>
      <c r="O273" s="218"/>
      <c r="P273" s="217"/>
      <c r="Q273" s="219"/>
      <c r="R273" s="217"/>
      <c r="S273" s="217"/>
      <c r="T273" s="217"/>
      <c r="U273" s="217"/>
      <c r="V273" s="219"/>
      <c r="W273" s="219"/>
      <c r="X273" s="219"/>
      <c r="Y273" s="219"/>
      <c r="Z273" s="219"/>
      <c r="AA273" s="217"/>
      <c r="AB273" s="217"/>
      <c r="AC273" s="217"/>
      <c r="AD273" s="219"/>
      <c r="AE273" s="219"/>
      <c r="AF273" s="219"/>
      <c r="AG273" s="219"/>
      <c r="AH273" s="217"/>
      <c r="AI273" s="217"/>
      <c r="AJ273" s="217"/>
      <c r="AK273" s="217"/>
      <c r="AL273" s="217"/>
      <c r="AM273" s="219"/>
      <c r="AN273" s="219"/>
      <c r="AO273" s="217"/>
      <c r="AP273" s="217"/>
      <c r="AQ273" s="219"/>
      <c r="AR273" s="219"/>
      <c r="AS273" s="217"/>
    </row>
    <row r="274" spans="1:45" s="223" customFormat="1" x14ac:dyDescent="0.25">
      <c r="A274" s="250" t="str">
        <f t="shared" si="44"/>
        <v/>
      </c>
      <c r="B274" s="251" t="str">
        <f t="shared" si="37"/>
        <v/>
      </c>
      <c r="C274" s="251" t="str">
        <f>IF(B274="","",VLOOKUP(D274,'Species Data'!B:D,4,FALSE))</f>
        <v/>
      </c>
      <c r="D274" s="251" t="str">
        <f t="shared" ca="1" si="38"/>
        <v/>
      </c>
      <c r="E274" s="251" t="str">
        <f t="shared" ca="1" si="39"/>
        <v/>
      </c>
      <c r="F274" s="251" t="str">
        <f t="shared" ca="1" si="40"/>
        <v/>
      </c>
      <c r="G274" s="251" t="str">
        <f t="shared" ca="1" si="41"/>
        <v/>
      </c>
      <c r="H274" s="208" t="str">
        <f ca="1">IF(G274="","",IF(VLOOKUP(VOC!F274,'Species Data'!D:E,3,FALSE)=0,"X",IF(G274&lt;44.1,2,1)))</f>
        <v/>
      </c>
      <c r="I274" s="208" t="str">
        <f t="shared" ca="1" si="42"/>
        <v/>
      </c>
      <c r="J274" s="252" t="str">
        <f ca="1">IF(I274="","",IF(COUNTIF($D$12:D274,D274)=1,IF(H274=1,I274*H274,IF(H274="X","X",0)),0))</f>
        <v/>
      </c>
      <c r="K274" s="253" t="str">
        <f t="shared" ca="1" si="43"/>
        <v/>
      </c>
      <c r="L274" s="244"/>
      <c r="M274" s="217"/>
      <c r="N274" s="217"/>
      <c r="O274" s="218"/>
      <c r="P274" s="217"/>
      <c r="Q274" s="219"/>
      <c r="R274" s="217"/>
      <c r="S274" s="217"/>
      <c r="T274" s="217"/>
      <c r="U274" s="217"/>
      <c r="V274" s="219"/>
      <c r="W274" s="219"/>
      <c r="X274" s="219"/>
      <c r="Y274" s="219"/>
      <c r="Z274" s="219"/>
      <c r="AA274" s="217"/>
      <c r="AB274" s="217"/>
      <c r="AC274" s="217"/>
      <c r="AD274" s="219"/>
      <c r="AE274" s="219"/>
      <c r="AF274" s="219"/>
      <c r="AG274" s="219"/>
      <c r="AH274" s="217"/>
      <c r="AI274" s="217"/>
      <c r="AJ274" s="217"/>
      <c r="AK274" s="217"/>
      <c r="AL274" s="217"/>
      <c r="AM274" s="219"/>
      <c r="AN274" s="219"/>
      <c r="AO274" s="217"/>
      <c r="AP274" s="217"/>
      <c r="AQ274" s="219"/>
      <c r="AR274" s="219"/>
      <c r="AS274" s="217"/>
    </row>
    <row r="275" spans="1:45" s="223" customFormat="1" x14ac:dyDescent="0.25">
      <c r="A275" s="250" t="str">
        <f t="shared" si="44"/>
        <v/>
      </c>
      <c r="B275" s="251" t="str">
        <f t="shared" si="37"/>
        <v/>
      </c>
      <c r="C275" s="251" t="str">
        <f>IF(B275="","",VLOOKUP(D275,'Species Data'!B:D,4,FALSE))</f>
        <v/>
      </c>
      <c r="D275" s="251" t="str">
        <f t="shared" ca="1" si="38"/>
        <v/>
      </c>
      <c r="E275" s="251" t="str">
        <f t="shared" ca="1" si="39"/>
        <v/>
      </c>
      <c r="F275" s="251" t="str">
        <f t="shared" ca="1" si="40"/>
        <v/>
      </c>
      <c r="G275" s="251" t="str">
        <f t="shared" ca="1" si="41"/>
        <v/>
      </c>
      <c r="H275" s="208" t="str">
        <f ca="1">IF(G275="","",IF(VLOOKUP(VOC!F275,'Species Data'!D:E,3,FALSE)=0,"X",IF(G275&lt;44.1,2,1)))</f>
        <v/>
      </c>
      <c r="I275" s="208" t="str">
        <f t="shared" ca="1" si="42"/>
        <v/>
      </c>
      <c r="J275" s="252" t="str">
        <f ca="1">IF(I275="","",IF(COUNTIF($D$12:D275,D275)=1,IF(H275=1,I275*H275,IF(H275="X","X",0)),0))</f>
        <v/>
      </c>
      <c r="K275" s="253" t="str">
        <f t="shared" ca="1" si="43"/>
        <v/>
      </c>
      <c r="L275" s="244"/>
      <c r="M275" s="217"/>
      <c r="N275" s="217"/>
      <c r="O275" s="218"/>
      <c r="P275" s="217"/>
      <c r="Q275" s="219"/>
      <c r="R275" s="217"/>
      <c r="S275" s="217"/>
      <c r="T275" s="217"/>
      <c r="U275" s="217"/>
      <c r="V275" s="219"/>
      <c r="W275" s="219"/>
      <c r="X275" s="219"/>
      <c r="Y275" s="219"/>
      <c r="Z275" s="219"/>
      <c r="AA275" s="217"/>
      <c r="AB275" s="217"/>
      <c r="AC275" s="217"/>
      <c r="AD275" s="219"/>
      <c r="AE275" s="219"/>
      <c r="AF275" s="219"/>
      <c r="AG275" s="219"/>
      <c r="AH275" s="217"/>
      <c r="AI275" s="217"/>
      <c r="AJ275" s="217"/>
      <c r="AK275" s="217"/>
      <c r="AL275" s="217"/>
      <c r="AM275" s="219"/>
      <c r="AN275" s="219"/>
      <c r="AO275" s="217"/>
      <c r="AP275" s="217"/>
      <c r="AQ275" s="219"/>
      <c r="AR275" s="219"/>
      <c r="AS275" s="217"/>
    </row>
    <row r="276" spans="1:45" s="223" customFormat="1" x14ac:dyDescent="0.25">
      <c r="A276" s="250" t="str">
        <f t="shared" si="44"/>
        <v/>
      </c>
      <c r="B276" s="251" t="str">
        <f t="shared" si="37"/>
        <v/>
      </c>
      <c r="C276" s="251" t="str">
        <f>IF(B276="","",VLOOKUP(D276,'Species Data'!B:D,4,FALSE))</f>
        <v/>
      </c>
      <c r="D276" s="251" t="str">
        <f t="shared" ca="1" si="38"/>
        <v/>
      </c>
      <c r="E276" s="251" t="str">
        <f t="shared" ca="1" si="39"/>
        <v/>
      </c>
      <c r="F276" s="251" t="str">
        <f t="shared" ca="1" si="40"/>
        <v/>
      </c>
      <c r="G276" s="251" t="str">
        <f t="shared" ca="1" si="41"/>
        <v/>
      </c>
      <c r="H276" s="208" t="str">
        <f ca="1">IF(G276="","",IF(VLOOKUP(VOC!F276,'Species Data'!D:E,3,FALSE)=0,"X",IF(G276&lt;44.1,2,1)))</f>
        <v/>
      </c>
      <c r="I276" s="208" t="str">
        <f t="shared" ca="1" si="42"/>
        <v/>
      </c>
      <c r="J276" s="252" t="str">
        <f ca="1">IF(I276="","",IF(COUNTIF($D$12:D276,D276)=1,IF(H276=1,I276*H276,IF(H276="X","X",0)),0))</f>
        <v/>
      </c>
      <c r="K276" s="253" t="str">
        <f t="shared" ca="1" si="43"/>
        <v/>
      </c>
      <c r="L276" s="244"/>
      <c r="M276" s="217"/>
      <c r="N276" s="217"/>
      <c r="O276" s="218"/>
      <c r="P276" s="217"/>
      <c r="Q276" s="219"/>
      <c r="R276" s="217"/>
      <c r="S276" s="217"/>
      <c r="T276" s="217"/>
      <c r="U276" s="217"/>
      <c r="V276" s="219"/>
      <c r="W276" s="219"/>
      <c r="X276" s="219"/>
      <c r="Y276" s="219"/>
      <c r="Z276" s="219"/>
      <c r="AA276" s="217"/>
      <c r="AB276" s="217"/>
      <c r="AC276" s="217"/>
      <c r="AD276" s="219"/>
      <c r="AE276" s="219"/>
      <c r="AF276" s="219"/>
      <c r="AG276" s="219"/>
      <c r="AH276" s="217"/>
      <c r="AI276" s="217"/>
      <c r="AJ276" s="217"/>
      <c r="AK276" s="217"/>
      <c r="AL276" s="217"/>
      <c r="AM276" s="219"/>
      <c r="AN276" s="219"/>
      <c r="AO276" s="217"/>
      <c r="AP276" s="217"/>
      <c r="AQ276" s="219"/>
      <c r="AR276" s="219"/>
      <c r="AS276" s="217"/>
    </row>
    <row r="277" spans="1:45" s="223" customFormat="1" x14ac:dyDescent="0.25">
      <c r="A277" s="250" t="str">
        <f t="shared" si="44"/>
        <v/>
      </c>
      <c r="B277" s="251" t="str">
        <f t="shared" si="37"/>
        <v/>
      </c>
      <c r="C277" s="251" t="str">
        <f>IF(B277="","",VLOOKUP(D277,'Species Data'!B:D,4,FALSE))</f>
        <v/>
      </c>
      <c r="D277" s="251" t="str">
        <f t="shared" ca="1" si="38"/>
        <v/>
      </c>
      <c r="E277" s="251" t="str">
        <f t="shared" ca="1" si="39"/>
        <v/>
      </c>
      <c r="F277" s="251" t="str">
        <f t="shared" ca="1" si="40"/>
        <v/>
      </c>
      <c r="G277" s="251" t="str">
        <f t="shared" ca="1" si="41"/>
        <v/>
      </c>
      <c r="H277" s="208" t="str">
        <f ca="1">IF(G277="","",IF(VLOOKUP(VOC!F277,'Species Data'!D:E,3,FALSE)=0,"X",IF(G277&lt;44.1,2,1)))</f>
        <v/>
      </c>
      <c r="I277" s="208" t="str">
        <f t="shared" ca="1" si="42"/>
        <v/>
      </c>
      <c r="J277" s="252" t="str">
        <f ca="1">IF(I277="","",IF(COUNTIF($D$12:D277,D277)=1,IF(H277=1,I277*H277,IF(H277="X","X",0)),0))</f>
        <v/>
      </c>
      <c r="K277" s="253" t="str">
        <f t="shared" ca="1" si="43"/>
        <v/>
      </c>
      <c r="L277" s="244"/>
      <c r="M277" s="217"/>
      <c r="N277" s="217"/>
      <c r="O277" s="218"/>
      <c r="P277" s="217"/>
      <c r="Q277" s="219"/>
      <c r="R277" s="217"/>
      <c r="S277" s="217"/>
      <c r="T277" s="217"/>
      <c r="U277" s="217"/>
      <c r="V277" s="219"/>
      <c r="W277" s="219"/>
      <c r="X277" s="219"/>
      <c r="Y277" s="219"/>
      <c r="Z277" s="219"/>
      <c r="AA277" s="217"/>
      <c r="AB277" s="217"/>
      <c r="AC277" s="217"/>
      <c r="AD277" s="219"/>
      <c r="AE277" s="219"/>
      <c r="AF277" s="219"/>
      <c r="AG277" s="219"/>
      <c r="AH277" s="217"/>
      <c r="AI277" s="217"/>
      <c r="AJ277" s="217"/>
      <c r="AK277" s="217"/>
      <c r="AL277" s="217"/>
      <c r="AM277" s="219"/>
      <c r="AN277" s="219"/>
      <c r="AO277" s="217"/>
      <c r="AP277" s="217"/>
      <c r="AQ277" s="219"/>
      <c r="AR277" s="219"/>
      <c r="AS277" s="217"/>
    </row>
    <row r="278" spans="1:45" s="223" customFormat="1" x14ac:dyDescent="0.25">
      <c r="A278" s="250" t="str">
        <f t="shared" si="44"/>
        <v/>
      </c>
      <c r="B278" s="251" t="str">
        <f t="shared" si="37"/>
        <v/>
      </c>
      <c r="C278" s="251" t="str">
        <f>IF(B278="","",VLOOKUP(D278,'Species Data'!B:D,4,FALSE))</f>
        <v/>
      </c>
      <c r="D278" s="251" t="str">
        <f t="shared" ca="1" si="38"/>
        <v/>
      </c>
      <c r="E278" s="251" t="str">
        <f t="shared" ca="1" si="39"/>
        <v/>
      </c>
      <c r="F278" s="251" t="str">
        <f t="shared" ca="1" si="40"/>
        <v/>
      </c>
      <c r="G278" s="251" t="str">
        <f t="shared" ca="1" si="41"/>
        <v/>
      </c>
      <c r="H278" s="208" t="str">
        <f ca="1">IF(G278="","",IF(VLOOKUP(VOC!F278,'Species Data'!D:E,3,FALSE)=0,"X",IF(G278&lt;44.1,2,1)))</f>
        <v/>
      </c>
      <c r="I278" s="208" t="str">
        <f t="shared" ca="1" si="42"/>
        <v/>
      </c>
      <c r="J278" s="252" t="str">
        <f ca="1">IF(I278="","",IF(COUNTIF($D$12:D278,D278)=1,IF(H278=1,I278*H278,IF(H278="X","X",0)),0))</f>
        <v/>
      </c>
      <c r="K278" s="253" t="str">
        <f t="shared" ca="1" si="43"/>
        <v/>
      </c>
      <c r="L278" s="244"/>
      <c r="M278" s="217"/>
      <c r="N278" s="217"/>
      <c r="O278" s="218"/>
      <c r="P278" s="217"/>
      <c r="Q278" s="219"/>
      <c r="R278" s="217"/>
      <c r="S278" s="217"/>
      <c r="T278" s="217"/>
      <c r="U278" s="217"/>
      <c r="V278" s="219"/>
      <c r="W278" s="219"/>
      <c r="X278" s="219"/>
      <c r="Y278" s="219"/>
      <c r="Z278" s="219"/>
      <c r="AA278" s="217"/>
      <c r="AB278" s="217"/>
      <c r="AC278" s="217"/>
      <c r="AD278" s="219"/>
      <c r="AE278" s="219"/>
      <c r="AF278" s="219"/>
      <c r="AG278" s="219"/>
      <c r="AH278" s="217"/>
      <c r="AI278" s="217"/>
      <c r="AJ278" s="217"/>
      <c r="AK278" s="217"/>
      <c r="AL278" s="217"/>
      <c r="AM278" s="219"/>
      <c r="AN278" s="219"/>
      <c r="AO278" s="217"/>
      <c r="AP278" s="217"/>
      <c r="AQ278" s="219"/>
      <c r="AR278" s="219"/>
      <c r="AS278" s="217"/>
    </row>
    <row r="279" spans="1:45" s="223" customFormat="1" x14ac:dyDescent="0.25">
      <c r="A279" s="250" t="str">
        <f t="shared" si="44"/>
        <v/>
      </c>
      <c r="B279" s="251" t="str">
        <f t="shared" si="37"/>
        <v/>
      </c>
      <c r="C279" s="251" t="str">
        <f>IF(B279="","",VLOOKUP(D279,'Species Data'!B:D,4,FALSE))</f>
        <v/>
      </c>
      <c r="D279" s="251" t="str">
        <f t="shared" ca="1" si="38"/>
        <v/>
      </c>
      <c r="E279" s="251" t="str">
        <f t="shared" ca="1" si="39"/>
        <v/>
      </c>
      <c r="F279" s="251" t="str">
        <f t="shared" ca="1" si="40"/>
        <v/>
      </c>
      <c r="G279" s="251" t="str">
        <f t="shared" ca="1" si="41"/>
        <v/>
      </c>
      <c r="H279" s="208" t="str">
        <f ca="1">IF(G279="","",IF(VLOOKUP(VOC!F279,'Species Data'!D:E,3,FALSE)=0,"X",IF(G279&lt;44.1,2,1)))</f>
        <v/>
      </c>
      <c r="I279" s="208" t="str">
        <f t="shared" ca="1" si="42"/>
        <v/>
      </c>
      <c r="J279" s="252" t="str">
        <f ca="1">IF(I279="","",IF(COUNTIF($D$12:D279,D279)=1,IF(H279=1,I279*H279,IF(H279="X","X",0)),0))</f>
        <v/>
      </c>
      <c r="K279" s="253" t="str">
        <f t="shared" ca="1" si="43"/>
        <v/>
      </c>
      <c r="L279" s="244"/>
      <c r="M279" s="217"/>
      <c r="N279" s="217"/>
      <c r="O279" s="218"/>
      <c r="P279" s="217"/>
      <c r="Q279" s="219"/>
      <c r="R279" s="217"/>
      <c r="S279" s="217"/>
      <c r="T279" s="217"/>
      <c r="U279" s="217"/>
      <c r="V279" s="219"/>
      <c r="W279" s="219"/>
      <c r="X279" s="219"/>
      <c r="Y279" s="219"/>
      <c r="Z279" s="219"/>
      <c r="AA279" s="217"/>
      <c r="AB279" s="217"/>
      <c r="AC279" s="217"/>
      <c r="AD279" s="219"/>
      <c r="AE279" s="219"/>
      <c r="AF279" s="219"/>
      <c r="AG279" s="219"/>
      <c r="AH279" s="217"/>
      <c r="AI279" s="217"/>
      <c r="AJ279" s="217"/>
      <c r="AK279" s="217"/>
      <c r="AL279" s="217"/>
      <c r="AM279" s="219"/>
      <c r="AN279" s="219"/>
      <c r="AO279" s="217"/>
      <c r="AP279" s="217"/>
      <c r="AQ279" s="219"/>
      <c r="AR279" s="219"/>
      <c r="AS279" s="217"/>
    </row>
    <row r="280" spans="1:45" s="223" customFormat="1" x14ac:dyDescent="0.25">
      <c r="A280" s="250" t="str">
        <f t="shared" si="44"/>
        <v/>
      </c>
      <c r="B280" s="251" t="str">
        <f t="shared" si="37"/>
        <v/>
      </c>
      <c r="C280" s="251" t="str">
        <f>IF(B280="","",VLOOKUP(D280,'Species Data'!B:D,4,FALSE))</f>
        <v/>
      </c>
      <c r="D280" s="251" t="str">
        <f t="shared" ca="1" si="38"/>
        <v/>
      </c>
      <c r="E280" s="251" t="str">
        <f t="shared" ca="1" si="39"/>
        <v/>
      </c>
      <c r="F280" s="251" t="str">
        <f t="shared" ca="1" si="40"/>
        <v/>
      </c>
      <c r="G280" s="251" t="str">
        <f t="shared" ca="1" si="41"/>
        <v/>
      </c>
      <c r="H280" s="208" t="str">
        <f ca="1">IF(G280="","",IF(VLOOKUP(VOC!F280,'Species Data'!D:E,3,FALSE)=0,"X",IF(G280&lt;44.1,2,1)))</f>
        <v/>
      </c>
      <c r="I280" s="208" t="str">
        <f t="shared" ca="1" si="42"/>
        <v/>
      </c>
      <c r="J280" s="252" t="str">
        <f ca="1">IF(I280="","",IF(COUNTIF($D$12:D280,D280)=1,IF(H280=1,I280*H280,IF(H280="X","X",0)),0))</f>
        <v/>
      </c>
      <c r="K280" s="253" t="str">
        <f t="shared" ca="1" si="43"/>
        <v/>
      </c>
      <c r="L280" s="244"/>
      <c r="M280" s="217"/>
      <c r="N280" s="217"/>
      <c r="O280" s="218"/>
      <c r="P280" s="217"/>
      <c r="Q280" s="219"/>
      <c r="R280" s="217"/>
      <c r="S280" s="217"/>
      <c r="T280" s="217"/>
      <c r="U280" s="217"/>
      <c r="V280" s="219"/>
      <c r="W280" s="219"/>
      <c r="X280" s="219"/>
      <c r="Y280" s="219"/>
      <c r="Z280" s="219"/>
      <c r="AA280" s="217"/>
      <c r="AB280" s="217"/>
      <c r="AC280" s="217"/>
      <c r="AD280" s="219"/>
      <c r="AE280" s="219"/>
      <c r="AF280" s="219"/>
      <c r="AG280" s="219"/>
      <c r="AH280" s="217"/>
      <c r="AI280" s="217"/>
      <c r="AJ280" s="217"/>
      <c r="AK280" s="217"/>
      <c r="AL280" s="217"/>
      <c r="AM280" s="219"/>
      <c r="AN280" s="219"/>
      <c r="AO280" s="217"/>
      <c r="AP280" s="217"/>
      <c r="AQ280" s="219"/>
      <c r="AR280" s="219"/>
      <c r="AS280" s="217"/>
    </row>
    <row r="281" spans="1:45" s="223" customFormat="1" x14ac:dyDescent="0.25">
      <c r="A281" s="250" t="str">
        <f t="shared" si="44"/>
        <v/>
      </c>
      <c r="B281" s="251" t="str">
        <f t="shared" si="37"/>
        <v/>
      </c>
      <c r="C281" s="251" t="str">
        <f>IF(B281="","",VLOOKUP(D281,'Species Data'!B:D,4,FALSE))</f>
        <v/>
      </c>
      <c r="D281" s="251" t="str">
        <f t="shared" ca="1" si="38"/>
        <v/>
      </c>
      <c r="E281" s="251" t="str">
        <f t="shared" ca="1" si="39"/>
        <v/>
      </c>
      <c r="F281" s="251" t="str">
        <f t="shared" ca="1" si="40"/>
        <v/>
      </c>
      <c r="G281" s="251" t="str">
        <f t="shared" ca="1" si="41"/>
        <v/>
      </c>
      <c r="H281" s="208" t="str">
        <f ca="1">IF(G281="","",IF(VLOOKUP(VOC!F281,'Species Data'!D:E,3,FALSE)=0,"X",IF(G281&lt;44.1,2,1)))</f>
        <v/>
      </c>
      <c r="I281" s="208" t="str">
        <f t="shared" ca="1" si="42"/>
        <v/>
      </c>
      <c r="J281" s="252" t="str">
        <f ca="1">IF(I281="","",IF(COUNTIF($D$12:D281,D281)=1,IF(H281=1,I281*H281,IF(H281="X","X",0)),0))</f>
        <v/>
      </c>
      <c r="K281" s="253" t="str">
        <f t="shared" ca="1" si="43"/>
        <v/>
      </c>
      <c r="L281" s="244"/>
      <c r="M281" s="217"/>
      <c r="N281" s="217"/>
      <c r="O281" s="218"/>
      <c r="P281" s="217"/>
      <c r="Q281" s="219"/>
      <c r="R281" s="217"/>
      <c r="S281" s="217"/>
      <c r="T281" s="217"/>
      <c r="U281" s="217"/>
      <c r="V281" s="219"/>
      <c r="W281" s="219"/>
      <c r="X281" s="219"/>
      <c r="Y281" s="219"/>
      <c r="Z281" s="219"/>
      <c r="AA281" s="217"/>
      <c r="AB281" s="217"/>
      <c r="AC281" s="217"/>
      <c r="AD281" s="219"/>
      <c r="AE281" s="219"/>
      <c r="AF281" s="219"/>
      <c r="AG281" s="219"/>
      <c r="AH281" s="217"/>
      <c r="AI281" s="217"/>
      <c r="AJ281" s="217"/>
      <c r="AK281" s="217"/>
      <c r="AL281" s="217"/>
      <c r="AM281" s="219"/>
      <c r="AN281" s="219"/>
      <c r="AO281" s="217"/>
      <c r="AP281" s="217"/>
      <c r="AQ281" s="219"/>
      <c r="AR281" s="219"/>
      <c r="AS281" s="217"/>
    </row>
    <row r="282" spans="1:45" s="223" customFormat="1" x14ac:dyDescent="0.25">
      <c r="A282" s="250" t="str">
        <f t="shared" si="44"/>
        <v/>
      </c>
      <c r="B282" s="251" t="str">
        <f t="shared" si="37"/>
        <v/>
      </c>
      <c r="C282" s="251" t="str">
        <f>IF(B282="","",VLOOKUP(D282,'Species Data'!B:D,4,FALSE))</f>
        <v/>
      </c>
      <c r="D282" s="251" t="str">
        <f t="shared" ca="1" si="38"/>
        <v/>
      </c>
      <c r="E282" s="251" t="str">
        <f t="shared" ca="1" si="39"/>
        <v/>
      </c>
      <c r="F282" s="251" t="str">
        <f t="shared" ca="1" si="40"/>
        <v/>
      </c>
      <c r="G282" s="251" t="str">
        <f t="shared" ca="1" si="41"/>
        <v/>
      </c>
      <c r="H282" s="208" t="str">
        <f ca="1">IF(G282="","",IF(VLOOKUP(VOC!F282,'Species Data'!D:E,3,FALSE)=0,"X",IF(G282&lt;44.1,2,1)))</f>
        <v/>
      </c>
      <c r="I282" s="208" t="str">
        <f t="shared" ca="1" si="42"/>
        <v/>
      </c>
      <c r="J282" s="252" t="str">
        <f ca="1">IF(I282="","",IF(COUNTIF($D$12:D282,D282)=1,IF(H282=1,I282*H282,IF(H282="X","X",0)),0))</f>
        <v/>
      </c>
      <c r="K282" s="253" t="str">
        <f t="shared" ca="1" si="43"/>
        <v/>
      </c>
      <c r="L282" s="244"/>
      <c r="M282" s="217"/>
      <c r="N282" s="217"/>
      <c r="O282" s="218"/>
      <c r="P282" s="217"/>
      <c r="Q282" s="219"/>
      <c r="R282" s="217"/>
      <c r="S282" s="217"/>
      <c r="T282" s="217"/>
      <c r="U282" s="217"/>
      <c r="V282" s="219"/>
      <c r="W282" s="219"/>
      <c r="X282" s="219"/>
      <c r="Y282" s="219"/>
      <c r="Z282" s="219"/>
      <c r="AA282" s="217"/>
      <c r="AB282" s="217"/>
      <c r="AC282" s="217"/>
      <c r="AD282" s="219"/>
      <c r="AE282" s="219"/>
      <c r="AF282" s="219"/>
      <c r="AG282" s="219"/>
      <c r="AH282" s="217"/>
      <c r="AI282" s="217"/>
      <c r="AJ282" s="217"/>
      <c r="AK282" s="217"/>
      <c r="AL282" s="217"/>
      <c r="AM282" s="219"/>
      <c r="AN282" s="219"/>
      <c r="AO282" s="217"/>
      <c r="AP282" s="217"/>
      <c r="AQ282" s="219"/>
      <c r="AR282" s="219"/>
      <c r="AS282" s="217"/>
    </row>
    <row r="283" spans="1:45" s="223" customFormat="1" x14ac:dyDescent="0.25">
      <c r="A283" s="250" t="str">
        <f t="shared" si="44"/>
        <v/>
      </c>
      <c r="B283" s="251" t="str">
        <f t="shared" si="37"/>
        <v/>
      </c>
      <c r="C283" s="251" t="str">
        <f>IF(B283="","",VLOOKUP(D283,'Species Data'!B:D,4,FALSE))</f>
        <v/>
      </c>
      <c r="D283" s="251" t="str">
        <f t="shared" ca="1" si="38"/>
        <v/>
      </c>
      <c r="E283" s="251" t="str">
        <f t="shared" ca="1" si="39"/>
        <v/>
      </c>
      <c r="F283" s="251" t="str">
        <f t="shared" ca="1" si="40"/>
        <v/>
      </c>
      <c r="G283" s="251" t="str">
        <f t="shared" ca="1" si="41"/>
        <v/>
      </c>
      <c r="H283" s="208" t="str">
        <f ca="1">IF(G283="","",IF(VLOOKUP(VOC!F283,'Species Data'!D:E,3,FALSE)=0,"X",IF(G283&lt;44.1,2,1)))</f>
        <v/>
      </c>
      <c r="I283" s="208" t="str">
        <f t="shared" ca="1" si="42"/>
        <v/>
      </c>
      <c r="J283" s="252" t="str">
        <f ca="1">IF(I283="","",IF(COUNTIF($D$12:D283,D283)=1,IF(H283=1,I283*H283,IF(H283="X","X",0)),0))</f>
        <v/>
      </c>
      <c r="K283" s="253" t="str">
        <f t="shared" ca="1" si="43"/>
        <v/>
      </c>
      <c r="L283" s="244"/>
      <c r="M283" s="217"/>
      <c r="N283" s="217"/>
      <c r="O283" s="218"/>
      <c r="P283" s="217"/>
      <c r="Q283" s="219"/>
      <c r="R283" s="217"/>
      <c r="S283" s="217"/>
      <c r="T283" s="217"/>
      <c r="U283" s="217"/>
      <c r="V283" s="219"/>
      <c r="W283" s="219"/>
      <c r="X283" s="219"/>
      <c r="Y283" s="219"/>
      <c r="Z283" s="219"/>
      <c r="AA283" s="217"/>
      <c r="AB283" s="217"/>
      <c r="AC283" s="217"/>
      <c r="AD283" s="219"/>
      <c r="AE283" s="219"/>
      <c r="AF283" s="219"/>
      <c r="AG283" s="219"/>
      <c r="AH283" s="217"/>
      <c r="AI283" s="217"/>
      <c r="AJ283" s="217"/>
      <c r="AK283" s="217"/>
      <c r="AL283" s="217"/>
      <c r="AM283" s="219"/>
      <c r="AN283" s="219"/>
      <c r="AO283" s="217"/>
      <c r="AP283" s="217"/>
      <c r="AQ283" s="219"/>
      <c r="AR283" s="219"/>
      <c r="AS283" s="217"/>
    </row>
    <row r="284" spans="1:45" s="223" customFormat="1" x14ac:dyDescent="0.25">
      <c r="A284" s="250" t="str">
        <f t="shared" si="44"/>
        <v/>
      </c>
      <c r="B284" s="251" t="str">
        <f t="shared" si="37"/>
        <v/>
      </c>
      <c r="C284" s="251" t="str">
        <f>IF(B284="","",VLOOKUP(D284,'Species Data'!B:D,4,FALSE))</f>
        <v/>
      </c>
      <c r="D284" s="251" t="str">
        <f t="shared" ca="1" si="38"/>
        <v/>
      </c>
      <c r="E284" s="251" t="str">
        <f t="shared" ca="1" si="39"/>
        <v/>
      </c>
      <c r="F284" s="251" t="str">
        <f t="shared" ca="1" si="40"/>
        <v/>
      </c>
      <c r="G284" s="251" t="str">
        <f t="shared" ca="1" si="41"/>
        <v/>
      </c>
      <c r="H284" s="208" t="str">
        <f ca="1">IF(G284="","",IF(VLOOKUP(VOC!F284,'Species Data'!D:E,3,FALSE)=0,"X",IF(G284&lt;44.1,2,1)))</f>
        <v/>
      </c>
      <c r="I284" s="208" t="str">
        <f t="shared" ca="1" si="42"/>
        <v/>
      </c>
      <c r="J284" s="252" t="str">
        <f ca="1">IF(I284="","",IF(COUNTIF($D$12:D284,D284)=1,IF(H284=1,I284*H284,IF(H284="X","X",0)),0))</f>
        <v/>
      </c>
      <c r="K284" s="253" t="str">
        <f t="shared" ca="1" si="43"/>
        <v/>
      </c>
      <c r="L284" s="244"/>
      <c r="M284" s="217"/>
      <c r="N284" s="217"/>
      <c r="O284" s="218"/>
      <c r="P284" s="217"/>
      <c r="Q284" s="219"/>
      <c r="R284" s="217"/>
      <c r="S284" s="217"/>
      <c r="T284" s="217"/>
      <c r="U284" s="217"/>
      <c r="V284" s="219"/>
      <c r="W284" s="219"/>
      <c r="X284" s="219"/>
      <c r="Y284" s="219"/>
      <c r="Z284" s="219"/>
      <c r="AA284" s="217"/>
      <c r="AB284" s="217"/>
      <c r="AC284" s="217"/>
      <c r="AD284" s="219"/>
      <c r="AE284" s="219"/>
      <c r="AF284" s="219"/>
      <c r="AG284" s="219"/>
      <c r="AH284" s="217"/>
      <c r="AI284" s="217"/>
      <c r="AJ284" s="217"/>
      <c r="AK284" s="217"/>
      <c r="AL284" s="217"/>
      <c r="AM284" s="219"/>
      <c r="AN284" s="219"/>
      <c r="AO284" s="217"/>
      <c r="AP284" s="217"/>
      <c r="AQ284" s="219"/>
      <c r="AR284" s="219"/>
      <c r="AS284" s="217"/>
    </row>
    <row r="285" spans="1:45" s="223" customFormat="1" x14ac:dyDescent="0.25">
      <c r="A285" s="250" t="str">
        <f t="shared" si="44"/>
        <v/>
      </c>
      <c r="B285" s="251" t="str">
        <f t="shared" si="37"/>
        <v/>
      </c>
      <c r="C285" s="251" t="str">
        <f>IF(B285="","",VLOOKUP(D285,'Species Data'!B:D,4,FALSE))</f>
        <v/>
      </c>
      <c r="D285" s="251" t="str">
        <f t="shared" ca="1" si="38"/>
        <v/>
      </c>
      <c r="E285" s="251" t="str">
        <f t="shared" ca="1" si="39"/>
        <v/>
      </c>
      <c r="F285" s="251" t="str">
        <f t="shared" ca="1" si="40"/>
        <v/>
      </c>
      <c r="G285" s="251" t="str">
        <f t="shared" ca="1" si="41"/>
        <v/>
      </c>
      <c r="H285" s="208" t="str">
        <f ca="1">IF(G285="","",IF(VLOOKUP(VOC!F285,'Species Data'!D:E,3,FALSE)=0,"X",IF(G285&lt;44.1,2,1)))</f>
        <v/>
      </c>
      <c r="I285" s="208" t="str">
        <f t="shared" ca="1" si="42"/>
        <v/>
      </c>
      <c r="J285" s="252" t="str">
        <f ca="1">IF(I285="","",IF(COUNTIF($D$12:D285,D285)=1,IF(H285=1,I285*H285,IF(H285="X","X",0)),0))</f>
        <v/>
      </c>
      <c r="K285" s="253" t="str">
        <f t="shared" ca="1" si="43"/>
        <v/>
      </c>
      <c r="L285" s="244"/>
      <c r="M285" s="217"/>
      <c r="N285" s="217"/>
      <c r="O285" s="218"/>
      <c r="P285" s="217"/>
      <c r="Q285" s="219"/>
      <c r="R285" s="217"/>
      <c r="S285" s="217"/>
      <c r="T285" s="217"/>
      <c r="U285" s="217"/>
      <c r="V285" s="219"/>
      <c r="W285" s="219"/>
      <c r="X285" s="219"/>
      <c r="Y285" s="219"/>
      <c r="Z285" s="219"/>
      <c r="AA285" s="217"/>
      <c r="AB285" s="217"/>
      <c r="AC285" s="217"/>
      <c r="AD285" s="219"/>
      <c r="AE285" s="219"/>
      <c r="AF285" s="219"/>
      <c r="AG285" s="219"/>
      <c r="AH285" s="217"/>
      <c r="AI285" s="217"/>
      <c r="AJ285" s="217"/>
      <c r="AK285" s="217"/>
      <c r="AL285" s="217"/>
      <c r="AM285" s="219"/>
      <c r="AN285" s="219"/>
      <c r="AO285" s="217"/>
      <c r="AP285" s="217"/>
      <c r="AQ285" s="219"/>
      <c r="AR285" s="219"/>
      <c r="AS285" s="217"/>
    </row>
    <row r="286" spans="1:45" s="223" customFormat="1" x14ac:dyDescent="0.25">
      <c r="A286" s="250" t="str">
        <f t="shared" si="44"/>
        <v/>
      </c>
      <c r="B286" s="251" t="str">
        <f t="shared" si="37"/>
        <v/>
      </c>
      <c r="C286" s="251" t="str">
        <f>IF(B286="","",VLOOKUP(D286,'Species Data'!B:D,4,FALSE))</f>
        <v/>
      </c>
      <c r="D286" s="251" t="str">
        <f t="shared" ca="1" si="38"/>
        <v/>
      </c>
      <c r="E286" s="251" t="str">
        <f t="shared" ca="1" si="39"/>
        <v/>
      </c>
      <c r="F286" s="251" t="str">
        <f t="shared" ca="1" si="40"/>
        <v/>
      </c>
      <c r="G286" s="251" t="str">
        <f t="shared" ca="1" si="41"/>
        <v/>
      </c>
      <c r="H286" s="208" t="str">
        <f ca="1">IF(G286="","",IF(VLOOKUP(VOC!F286,'Species Data'!D:E,3,FALSE)=0,"X",IF(G286&lt;44.1,2,1)))</f>
        <v/>
      </c>
      <c r="I286" s="208" t="str">
        <f t="shared" ca="1" si="42"/>
        <v/>
      </c>
      <c r="J286" s="252" t="str">
        <f ca="1">IF(I286="","",IF(COUNTIF($D$12:D286,D286)=1,IF(H286=1,I286*H286,IF(H286="X","X",0)),0))</f>
        <v/>
      </c>
      <c r="K286" s="253" t="str">
        <f t="shared" ca="1" si="43"/>
        <v/>
      </c>
      <c r="L286" s="244"/>
      <c r="M286" s="217"/>
      <c r="N286" s="217"/>
      <c r="O286" s="218"/>
      <c r="P286" s="217"/>
      <c r="Q286" s="219"/>
      <c r="R286" s="217"/>
      <c r="S286" s="217"/>
      <c r="T286" s="217"/>
      <c r="U286" s="217"/>
      <c r="V286" s="219"/>
      <c r="W286" s="219"/>
      <c r="X286" s="219"/>
      <c r="Y286" s="219"/>
      <c r="Z286" s="219"/>
      <c r="AA286" s="217"/>
      <c r="AB286" s="217"/>
      <c r="AC286" s="217"/>
      <c r="AD286" s="219"/>
      <c r="AE286" s="219"/>
      <c r="AF286" s="219"/>
      <c r="AG286" s="219"/>
      <c r="AH286" s="217"/>
      <c r="AI286" s="217"/>
      <c r="AJ286" s="217"/>
      <c r="AK286" s="217"/>
      <c r="AL286" s="217"/>
      <c r="AM286" s="219"/>
      <c r="AN286" s="219"/>
      <c r="AO286" s="217"/>
      <c r="AP286" s="217"/>
      <c r="AQ286" s="219"/>
      <c r="AR286" s="219"/>
      <c r="AS286" s="217"/>
    </row>
    <row r="287" spans="1:45" s="223" customFormat="1" x14ac:dyDescent="0.25">
      <c r="A287" s="250" t="str">
        <f t="shared" si="44"/>
        <v/>
      </c>
      <c r="B287" s="251" t="str">
        <f t="shared" si="37"/>
        <v/>
      </c>
      <c r="C287" s="251" t="str">
        <f>IF(B287="","",VLOOKUP(D287,'Species Data'!B:D,4,FALSE))</f>
        <v/>
      </c>
      <c r="D287" s="251" t="str">
        <f t="shared" ca="1" si="38"/>
        <v/>
      </c>
      <c r="E287" s="251" t="str">
        <f t="shared" ca="1" si="39"/>
        <v/>
      </c>
      <c r="F287" s="251" t="str">
        <f t="shared" ca="1" si="40"/>
        <v/>
      </c>
      <c r="G287" s="251" t="str">
        <f t="shared" ca="1" si="41"/>
        <v/>
      </c>
      <c r="H287" s="208" t="str">
        <f ca="1">IF(G287="","",IF(VLOOKUP(VOC!F287,'Species Data'!D:E,3,FALSE)=0,"X",IF(G287&lt;44.1,2,1)))</f>
        <v/>
      </c>
      <c r="I287" s="208" t="str">
        <f t="shared" ca="1" si="42"/>
        <v/>
      </c>
      <c r="J287" s="252" t="str">
        <f ca="1">IF(I287="","",IF(COUNTIF($D$12:D287,D287)=1,IF(H287=1,I287*H287,IF(H287="X","X",0)),0))</f>
        <v/>
      </c>
      <c r="K287" s="253" t="str">
        <f t="shared" ca="1" si="43"/>
        <v/>
      </c>
      <c r="L287" s="244"/>
      <c r="M287" s="217"/>
      <c r="N287" s="217"/>
      <c r="O287" s="218"/>
      <c r="P287" s="217"/>
      <c r="Q287" s="219"/>
      <c r="R287" s="217"/>
      <c r="S287" s="217"/>
      <c r="T287" s="217"/>
      <c r="U287" s="217"/>
      <c r="V287" s="219"/>
      <c r="W287" s="219"/>
      <c r="X287" s="219"/>
      <c r="Y287" s="219"/>
      <c r="Z287" s="219"/>
      <c r="AA287" s="217"/>
      <c r="AB287" s="217"/>
      <c r="AC287" s="217"/>
      <c r="AD287" s="219"/>
      <c r="AE287" s="219"/>
      <c r="AF287" s="219"/>
      <c r="AG287" s="219"/>
      <c r="AH287" s="217"/>
      <c r="AI287" s="217"/>
      <c r="AJ287" s="217"/>
      <c r="AK287" s="217"/>
      <c r="AL287" s="217"/>
      <c r="AM287" s="219"/>
      <c r="AN287" s="219"/>
      <c r="AO287" s="217"/>
      <c r="AP287" s="217"/>
      <c r="AQ287" s="219"/>
      <c r="AR287" s="219"/>
      <c r="AS287" s="217"/>
    </row>
    <row r="288" spans="1:45" s="223" customFormat="1" x14ac:dyDescent="0.25">
      <c r="A288" s="250" t="str">
        <f t="shared" si="44"/>
        <v/>
      </c>
      <c r="B288" s="251" t="str">
        <f t="shared" si="37"/>
        <v/>
      </c>
      <c r="C288" s="251" t="str">
        <f>IF(B288="","",VLOOKUP(D288,'Species Data'!B:D,4,FALSE))</f>
        <v/>
      </c>
      <c r="D288" s="251" t="str">
        <f t="shared" ca="1" si="38"/>
        <v/>
      </c>
      <c r="E288" s="251" t="str">
        <f t="shared" ca="1" si="39"/>
        <v/>
      </c>
      <c r="F288" s="251" t="str">
        <f t="shared" ca="1" si="40"/>
        <v/>
      </c>
      <c r="G288" s="251" t="str">
        <f t="shared" ca="1" si="41"/>
        <v/>
      </c>
      <c r="H288" s="208" t="str">
        <f ca="1">IF(G288="","",IF(VLOOKUP(VOC!F288,'Species Data'!D:E,3,FALSE)=0,"X",IF(G288&lt;44.1,2,1)))</f>
        <v/>
      </c>
      <c r="I288" s="208" t="str">
        <f t="shared" ca="1" si="42"/>
        <v/>
      </c>
      <c r="J288" s="252" t="str">
        <f ca="1">IF(I288="","",IF(COUNTIF($D$12:D288,D288)=1,IF(H288=1,I288*H288,IF(H288="X","X",0)),0))</f>
        <v/>
      </c>
      <c r="K288" s="253" t="str">
        <f t="shared" ca="1" si="43"/>
        <v/>
      </c>
      <c r="L288" s="244"/>
      <c r="M288" s="217"/>
      <c r="N288" s="217"/>
      <c r="O288" s="218"/>
      <c r="P288" s="217"/>
      <c r="Q288" s="219"/>
      <c r="R288" s="217"/>
      <c r="S288" s="217"/>
      <c r="T288" s="217"/>
      <c r="U288" s="217"/>
      <c r="V288" s="219"/>
      <c r="W288" s="219"/>
      <c r="X288" s="219"/>
      <c r="Y288" s="219"/>
      <c r="Z288" s="219"/>
      <c r="AA288" s="217"/>
      <c r="AB288" s="217"/>
      <c r="AC288" s="217"/>
      <c r="AD288" s="219"/>
      <c r="AE288" s="219"/>
      <c r="AF288" s="219"/>
      <c r="AG288" s="219"/>
      <c r="AH288" s="217"/>
      <c r="AI288" s="217"/>
      <c r="AJ288" s="217"/>
      <c r="AK288" s="217"/>
      <c r="AL288" s="217"/>
      <c r="AM288" s="219"/>
      <c r="AN288" s="219"/>
      <c r="AO288" s="217"/>
      <c r="AP288" s="217"/>
      <c r="AQ288" s="219"/>
      <c r="AR288" s="219"/>
      <c r="AS288" s="217"/>
    </row>
    <row r="289" spans="1:45" s="223" customFormat="1" x14ac:dyDescent="0.25">
      <c r="A289" s="250" t="str">
        <f t="shared" si="44"/>
        <v/>
      </c>
      <c r="B289" s="251" t="str">
        <f t="shared" si="37"/>
        <v/>
      </c>
      <c r="C289" s="251" t="str">
        <f>IF(B289="","",VLOOKUP(D289,'Species Data'!B:D,4,FALSE))</f>
        <v/>
      </c>
      <c r="D289" s="251" t="str">
        <f t="shared" ca="1" si="38"/>
        <v/>
      </c>
      <c r="E289" s="251" t="str">
        <f t="shared" ca="1" si="39"/>
        <v/>
      </c>
      <c r="F289" s="251" t="str">
        <f t="shared" ca="1" si="40"/>
        <v/>
      </c>
      <c r="G289" s="251" t="str">
        <f t="shared" ca="1" si="41"/>
        <v/>
      </c>
      <c r="H289" s="208" t="str">
        <f ca="1">IF(G289="","",IF(VLOOKUP(VOC!F289,'Species Data'!D:E,3,FALSE)=0,"X",IF(G289&lt;44.1,2,1)))</f>
        <v/>
      </c>
      <c r="I289" s="208" t="str">
        <f t="shared" ca="1" si="42"/>
        <v/>
      </c>
      <c r="J289" s="252" t="str">
        <f ca="1">IF(I289="","",IF(COUNTIF($D$12:D289,D289)=1,IF(H289=1,I289*H289,IF(H289="X","X",0)),0))</f>
        <v/>
      </c>
      <c r="K289" s="253" t="str">
        <f t="shared" ca="1" si="43"/>
        <v/>
      </c>
      <c r="L289" s="244"/>
      <c r="M289" s="217"/>
      <c r="N289" s="217"/>
      <c r="O289" s="218"/>
      <c r="P289" s="217"/>
      <c r="Q289" s="219"/>
      <c r="R289" s="217"/>
      <c r="S289" s="217"/>
      <c r="T289" s="217"/>
      <c r="U289" s="217"/>
      <c r="V289" s="219"/>
      <c r="W289" s="219"/>
      <c r="X289" s="219"/>
      <c r="Y289" s="219"/>
      <c r="Z289" s="219"/>
      <c r="AA289" s="217"/>
      <c r="AB289" s="217"/>
      <c r="AC289" s="217"/>
      <c r="AD289" s="219"/>
      <c r="AE289" s="219"/>
      <c r="AF289" s="219"/>
      <c r="AG289" s="219"/>
      <c r="AH289" s="217"/>
      <c r="AI289" s="217"/>
      <c r="AJ289" s="217"/>
      <c r="AK289" s="217"/>
      <c r="AL289" s="217"/>
      <c r="AM289" s="219"/>
      <c r="AN289" s="219"/>
      <c r="AO289" s="217"/>
      <c r="AP289" s="217"/>
      <c r="AQ289" s="219"/>
      <c r="AR289" s="219"/>
      <c r="AS289" s="217"/>
    </row>
    <row r="290" spans="1:45" s="223" customFormat="1" x14ac:dyDescent="0.25">
      <c r="A290" s="250" t="str">
        <f t="shared" si="44"/>
        <v/>
      </c>
      <c r="B290" s="251" t="str">
        <f t="shared" si="37"/>
        <v/>
      </c>
      <c r="C290" s="251" t="str">
        <f>IF(B290="","",VLOOKUP(D290,'Species Data'!B:D,4,FALSE))</f>
        <v/>
      </c>
      <c r="D290" s="251" t="str">
        <f t="shared" ca="1" si="38"/>
        <v/>
      </c>
      <c r="E290" s="251" t="str">
        <f t="shared" ca="1" si="39"/>
        <v/>
      </c>
      <c r="F290" s="251" t="str">
        <f t="shared" ca="1" si="40"/>
        <v/>
      </c>
      <c r="G290" s="251" t="str">
        <f t="shared" ca="1" si="41"/>
        <v/>
      </c>
      <c r="H290" s="208" t="str">
        <f ca="1">IF(G290="","",IF(VLOOKUP(VOC!F290,'Species Data'!D:E,3,FALSE)=0,"X",IF(G290&lt;44.1,2,1)))</f>
        <v/>
      </c>
      <c r="I290" s="208" t="str">
        <f t="shared" ca="1" si="42"/>
        <v/>
      </c>
      <c r="J290" s="252" t="str">
        <f ca="1">IF(I290="","",IF(COUNTIF($D$12:D290,D290)=1,IF(H290=1,I290*H290,IF(H290="X","X",0)),0))</f>
        <v/>
      </c>
      <c r="K290" s="253" t="str">
        <f t="shared" ca="1" si="43"/>
        <v/>
      </c>
      <c r="L290" s="244"/>
      <c r="M290" s="217"/>
      <c r="N290" s="217"/>
      <c r="O290" s="218"/>
      <c r="P290" s="217"/>
      <c r="Q290" s="219"/>
      <c r="R290" s="217"/>
      <c r="S290" s="217"/>
      <c r="T290" s="217"/>
      <c r="U290" s="217"/>
      <c r="V290" s="219"/>
      <c r="W290" s="219"/>
      <c r="X290" s="219"/>
      <c r="Y290" s="219"/>
      <c r="Z290" s="219"/>
      <c r="AA290" s="217"/>
      <c r="AB290" s="217"/>
      <c r="AC290" s="217"/>
      <c r="AD290" s="219"/>
      <c r="AE290" s="219"/>
      <c r="AF290" s="219"/>
      <c r="AG290" s="219"/>
      <c r="AH290" s="217"/>
      <c r="AI290" s="217"/>
      <c r="AJ290" s="217"/>
      <c r="AK290" s="217"/>
      <c r="AL290" s="217"/>
      <c r="AM290" s="219"/>
      <c r="AN290" s="219"/>
      <c r="AO290" s="217"/>
      <c r="AP290" s="217"/>
      <c r="AQ290" s="219"/>
      <c r="AR290" s="219"/>
      <c r="AS290" s="217"/>
    </row>
    <row r="291" spans="1:45" s="223" customFormat="1" x14ac:dyDescent="0.25">
      <c r="A291" s="250" t="str">
        <f t="shared" si="44"/>
        <v/>
      </c>
      <c r="B291" s="251" t="str">
        <f t="shared" si="37"/>
        <v/>
      </c>
      <c r="C291" s="251" t="str">
        <f>IF(B291="","",VLOOKUP(D291,'Species Data'!B:D,4,FALSE))</f>
        <v/>
      </c>
      <c r="D291" s="251" t="str">
        <f t="shared" ca="1" si="38"/>
        <v/>
      </c>
      <c r="E291" s="251" t="str">
        <f t="shared" ca="1" si="39"/>
        <v/>
      </c>
      <c r="F291" s="251" t="str">
        <f t="shared" ca="1" si="40"/>
        <v/>
      </c>
      <c r="G291" s="251" t="str">
        <f t="shared" ca="1" si="41"/>
        <v/>
      </c>
      <c r="H291" s="208" t="str">
        <f ca="1">IF(G291="","",IF(VLOOKUP(VOC!F291,'Species Data'!D:E,3,FALSE)=0,"X",IF(G291&lt;44.1,2,1)))</f>
        <v/>
      </c>
      <c r="I291" s="208" t="str">
        <f t="shared" ca="1" si="42"/>
        <v/>
      </c>
      <c r="J291" s="252" t="str">
        <f ca="1">IF(I291="","",IF(COUNTIF($D$12:D291,D291)=1,IF(H291=1,I291*H291,IF(H291="X","X",0)),0))</f>
        <v/>
      </c>
      <c r="K291" s="253" t="str">
        <f t="shared" ca="1" si="43"/>
        <v/>
      </c>
      <c r="L291" s="244"/>
      <c r="M291" s="217"/>
      <c r="N291" s="217"/>
      <c r="O291" s="218"/>
      <c r="P291" s="217"/>
      <c r="Q291" s="219"/>
      <c r="R291" s="217"/>
      <c r="S291" s="217"/>
      <c r="T291" s="217"/>
      <c r="U291" s="217"/>
      <c r="V291" s="219"/>
      <c r="W291" s="219"/>
      <c r="X291" s="219"/>
      <c r="Y291" s="219"/>
      <c r="Z291" s="219"/>
      <c r="AA291" s="217"/>
      <c r="AB291" s="217"/>
      <c r="AC291" s="217"/>
      <c r="AD291" s="219"/>
      <c r="AE291" s="219"/>
      <c r="AF291" s="219"/>
      <c r="AG291" s="219"/>
      <c r="AH291" s="217"/>
      <c r="AI291" s="217"/>
      <c r="AJ291" s="217"/>
      <c r="AK291" s="217"/>
      <c r="AL291" s="217"/>
      <c r="AM291" s="219"/>
      <c r="AN291" s="219"/>
      <c r="AO291" s="217"/>
      <c r="AP291" s="217"/>
      <c r="AQ291" s="219"/>
      <c r="AR291" s="219"/>
      <c r="AS291" s="217"/>
    </row>
    <row r="292" spans="1:45" s="223" customFormat="1" x14ac:dyDescent="0.25">
      <c r="A292" s="250" t="str">
        <f t="shared" si="44"/>
        <v/>
      </c>
      <c r="B292" s="251" t="str">
        <f t="shared" si="37"/>
        <v/>
      </c>
      <c r="C292" s="251" t="str">
        <f>IF(B292="","",VLOOKUP(D292,'Species Data'!B:D,4,FALSE))</f>
        <v/>
      </c>
      <c r="D292" s="251" t="str">
        <f t="shared" ca="1" si="38"/>
        <v/>
      </c>
      <c r="E292" s="251" t="str">
        <f t="shared" ca="1" si="39"/>
        <v/>
      </c>
      <c r="F292" s="251" t="str">
        <f t="shared" ca="1" si="40"/>
        <v/>
      </c>
      <c r="G292" s="251" t="str">
        <f t="shared" ca="1" si="41"/>
        <v/>
      </c>
      <c r="H292" s="208" t="str">
        <f ca="1">IF(G292="","",IF(VLOOKUP(VOC!F292,'Species Data'!D:E,3,FALSE)=0,"X",IF(G292&lt;44.1,2,1)))</f>
        <v/>
      </c>
      <c r="I292" s="208" t="str">
        <f t="shared" ca="1" si="42"/>
        <v/>
      </c>
      <c r="J292" s="252" t="str">
        <f ca="1">IF(I292="","",IF(COUNTIF($D$12:D292,D292)=1,IF(H292=1,I292*H292,IF(H292="X","X",0)),0))</f>
        <v/>
      </c>
      <c r="K292" s="253" t="str">
        <f t="shared" ca="1" si="43"/>
        <v/>
      </c>
      <c r="L292" s="244"/>
      <c r="M292" s="217"/>
      <c r="N292" s="217"/>
      <c r="O292" s="218"/>
      <c r="P292" s="217"/>
      <c r="Q292" s="219"/>
      <c r="R292" s="217"/>
      <c r="S292" s="217"/>
      <c r="T292" s="217"/>
      <c r="U292" s="217"/>
      <c r="V292" s="219"/>
      <c r="W292" s="219"/>
      <c r="X292" s="219"/>
      <c r="Y292" s="219"/>
      <c r="Z292" s="219"/>
      <c r="AA292" s="217"/>
      <c r="AB292" s="217"/>
      <c r="AC292" s="217"/>
      <c r="AD292" s="219"/>
      <c r="AE292" s="219"/>
      <c r="AF292" s="219"/>
      <c r="AG292" s="219"/>
      <c r="AH292" s="217"/>
      <c r="AI292" s="217"/>
      <c r="AJ292" s="217"/>
      <c r="AK292" s="217"/>
      <c r="AL292" s="217"/>
      <c r="AM292" s="219"/>
      <c r="AN292" s="219"/>
      <c r="AO292" s="217"/>
      <c r="AP292" s="217"/>
      <c r="AQ292" s="219"/>
      <c r="AR292" s="219"/>
      <c r="AS292" s="217"/>
    </row>
    <row r="293" spans="1:45" s="223" customFormat="1" x14ac:dyDescent="0.25">
      <c r="A293" s="250" t="str">
        <f t="shared" si="44"/>
        <v/>
      </c>
      <c r="B293" s="251" t="str">
        <f t="shared" si="37"/>
        <v/>
      </c>
      <c r="C293" s="251" t="str">
        <f>IF(B293="","",VLOOKUP(D293,'Species Data'!B:D,4,FALSE))</f>
        <v/>
      </c>
      <c r="D293" s="251" t="str">
        <f t="shared" ca="1" si="38"/>
        <v/>
      </c>
      <c r="E293" s="251" t="str">
        <f t="shared" ca="1" si="39"/>
        <v/>
      </c>
      <c r="F293" s="251" t="str">
        <f t="shared" ca="1" si="40"/>
        <v/>
      </c>
      <c r="G293" s="251" t="str">
        <f t="shared" ca="1" si="41"/>
        <v/>
      </c>
      <c r="H293" s="208" t="str">
        <f ca="1">IF(G293="","",IF(VLOOKUP(VOC!F293,'Species Data'!D:E,3,FALSE)=0,"X",IF(G293&lt;44.1,2,1)))</f>
        <v/>
      </c>
      <c r="I293" s="208" t="str">
        <f t="shared" ca="1" si="42"/>
        <v/>
      </c>
      <c r="J293" s="252" t="str">
        <f ca="1">IF(I293="","",IF(COUNTIF($D$12:D293,D293)=1,IF(H293=1,I293*H293,IF(H293="X","X",0)),0))</f>
        <v/>
      </c>
      <c r="K293" s="253" t="str">
        <f t="shared" ca="1" si="43"/>
        <v/>
      </c>
      <c r="L293" s="244"/>
      <c r="M293" s="217"/>
      <c r="N293" s="217"/>
      <c r="O293" s="218"/>
      <c r="P293" s="217"/>
      <c r="Q293" s="219"/>
      <c r="R293" s="217"/>
      <c r="S293" s="217"/>
      <c r="T293" s="217"/>
      <c r="U293" s="217"/>
      <c r="V293" s="219"/>
      <c r="W293" s="219"/>
      <c r="X293" s="219"/>
      <c r="Y293" s="219"/>
      <c r="Z293" s="219"/>
      <c r="AA293" s="217"/>
      <c r="AB293" s="217"/>
      <c r="AC293" s="217"/>
      <c r="AD293" s="219"/>
      <c r="AE293" s="219"/>
      <c r="AF293" s="219"/>
      <c r="AG293" s="219"/>
      <c r="AH293" s="217"/>
      <c r="AI293" s="217"/>
      <c r="AJ293" s="217"/>
      <c r="AK293" s="217"/>
      <c r="AL293" s="217"/>
      <c r="AM293" s="219"/>
      <c r="AN293" s="219"/>
      <c r="AO293" s="217"/>
      <c r="AP293" s="217"/>
      <c r="AQ293" s="219"/>
      <c r="AR293" s="219"/>
      <c r="AS293" s="217"/>
    </row>
    <row r="294" spans="1:45" s="223" customFormat="1" x14ac:dyDescent="0.25">
      <c r="A294" s="250" t="str">
        <f t="shared" si="44"/>
        <v/>
      </c>
      <c r="B294" s="251" t="str">
        <f t="shared" si="37"/>
        <v/>
      </c>
      <c r="C294" s="251" t="str">
        <f>IF(B294="","",VLOOKUP(D294,'Species Data'!B:D,4,FALSE))</f>
        <v/>
      </c>
      <c r="D294" s="251" t="str">
        <f t="shared" ca="1" si="38"/>
        <v/>
      </c>
      <c r="E294" s="251" t="str">
        <f t="shared" ca="1" si="39"/>
        <v/>
      </c>
      <c r="F294" s="251" t="str">
        <f t="shared" ca="1" si="40"/>
        <v/>
      </c>
      <c r="G294" s="251" t="str">
        <f t="shared" ca="1" si="41"/>
        <v/>
      </c>
      <c r="H294" s="208" t="str">
        <f ca="1">IF(G294="","",IF(VLOOKUP(VOC!F294,'Species Data'!D:E,3,FALSE)=0,"X",IF(G294&lt;44.1,2,1)))</f>
        <v/>
      </c>
      <c r="I294" s="208" t="str">
        <f t="shared" ca="1" si="42"/>
        <v/>
      </c>
      <c r="J294" s="252" t="str">
        <f ca="1">IF(I294="","",IF(COUNTIF($D$12:D294,D294)=1,IF(H294=1,I294*H294,IF(H294="X","X",0)),0))</f>
        <v/>
      </c>
      <c r="K294" s="253" t="str">
        <f t="shared" ca="1" si="43"/>
        <v/>
      </c>
      <c r="L294" s="244"/>
      <c r="M294" s="217"/>
      <c r="N294" s="217"/>
      <c r="O294" s="218"/>
      <c r="P294" s="217"/>
      <c r="Q294" s="219"/>
      <c r="R294" s="217"/>
      <c r="S294" s="217"/>
      <c r="T294" s="217"/>
      <c r="U294" s="217"/>
      <c r="V294" s="219"/>
      <c r="W294" s="219"/>
      <c r="X294" s="219"/>
      <c r="Y294" s="219"/>
      <c r="Z294" s="219"/>
      <c r="AA294" s="217"/>
      <c r="AB294" s="217"/>
      <c r="AC294" s="217"/>
      <c r="AD294" s="219"/>
      <c r="AE294" s="219"/>
      <c r="AF294" s="219"/>
      <c r="AG294" s="219"/>
      <c r="AH294" s="217"/>
      <c r="AI294" s="217"/>
      <c r="AJ294" s="217"/>
      <c r="AK294" s="217"/>
      <c r="AL294" s="217"/>
      <c r="AM294" s="219"/>
      <c r="AN294" s="219"/>
      <c r="AO294" s="217"/>
      <c r="AP294" s="217"/>
      <c r="AQ294" s="219"/>
      <c r="AR294" s="219"/>
      <c r="AS294" s="217"/>
    </row>
    <row r="295" spans="1:45" s="223" customFormat="1" x14ac:dyDescent="0.25">
      <c r="A295" s="250" t="str">
        <f t="shared" si="44"/>
        <v/>
      </c>
      <c r="B295" s="251" t="str">
        <f t="shared" si="37"/>
        <v/>
      </c>
      <c r="C295" s="251" t="str">
        <f>IF(B295="","",VLOOKUP(D295,'Species Data'!B:D,4,FALSE))</f>
        <v/>
      </c>
      <c r="D295" s="251" t="str">
        <f t="shared" ca="1" si="38"/>
        <v/>
      </c>
      <c r="E295" s="251" t="str">
        <f t="shared" ca="1" si="39"/>
        <v/>
      </c>
      <c r="F295" s="251" t="str">
        <f t="shared" ca="1" si="40"/>
        <v/>
      </c>
      <c r="G295" s="251" t="str">
        <f t="shared" ca="1" si="41"/>
        <v/>
      </c>
      <c r="H295" s="208" t="str">
        <f ca="1">IF(G295="","",IF(VLOOKUP(VOC!F295,'Species Data'!D:E,3,FALSE)=0,"X",IF(G295&lt;44.1,2,1)))</f>
        <v/>
      </c>
      <c r="I295" s="208" t="str">
        <f t="shared" ca="1" si="42"/>
        <v/>
      </c>
      <c r="J295" s="252" t="str">
        <f ca="1">IF(I295="","",IF(COUNTIF($D$12:D295,D295)=1,IF(H295=1,I295*H295,IF(H295="X","X",0)),0))</f>
        <v/>
      </c>
      <c r="K295" s="253" t="str">
        <f t="shared" ca="1" si="43"/>
        <v/>
      </c>
      <c r="L295" s="244"/>
      <c r="M295" s="217"/>
      <c r="N295" s="217"/>
      <c r="O295" s="218"/>
      <c r="P295" s="217"/>
      <c r="Q295" s="219"/>
      <c r="R295" s="217"/>
      <c r="S295" s="217"/>
      <c r="T295" s="217"/>
      <c r="U295" s="217"/>
      <c r="V295" s="219"/>
      <c r="W295" s="219"/>
      <c r="X295" s="219"/>
      <c r="Y295" s="219"/>
      <c r="Z295" s="219"/>
      <c r="AA295" s="217"/>
      <c r="AB295" s="217"/>
      <c r="AC295" s="217"/>
      <c r="AD295" s="219"/>
      <c r="AE295" s="219"/>
      <c r="AF295" s="219"/>
      <c r="AG295" s="219"/>
      <c r="AH295" s="217"/>
      <c r="AI295" s="217"/>
      <c r="AJ295" s="217"/>
      <c r="AK295" s="217"/>
      <c r="AL295" s="217"/>
      <c r="AM295" s="219"/>
      <c r="AN295" s="219"/>
      <c r="AO295" s="217"/>
      <c r="AP295" s="217"/>
      <c r="AQ295" s="219"/>
      <c r="AR295" s="219"/>
      <c r="AS295" s="217"/>
    </row>
    <row r="296" spans="1:45" s="223" customFormat="1" x14ac:dyDescent="0.25">
      <c r="A296" s="250" t="str">
        <f t="shared" si="44"/>
        <v/>
      </c>
      <c r="B296" s="251" t="str">
        <f t="shared" si="37"/>
        <v/>
      </c>
      <c r="C296" s="251" t="str">
        <f>IF(B296="","",VLOOKUP(D296,'Species Data'!B:D,4,FALSE))</f>
        <v/>
      </c>
      <c r="D296" s="251" t="str">
        <f t="shared" ca="1" si="38"/>
        <v/>
      </c>
      <c r="E296" s="251" t="str">
        <f t="shared" ca="1" si="39"/>
        <v/>
      </c>
      <c r="F296" s="251" t="str">
        <f t="shared" ca="1" si="40"/>
        <v/>
      </c>
      <c r="G296" s="251" t="str">
        <f t="shared" ca="1" si="41"/>
        <v/>
      </c>
      <c r="H296" s="208" t="str">
        <f ca="1">IF(G296="","",IF(VLOOKUP(VOC!F296,'Species Data'!D:E,3,FALSE)=0,"X",IF(G296&lt;44.1,2,1)))</f>
        <v/>
      </c>
      <c r="I296" s="208" t="str">
        <f t="shared" ca="1" si="42"/>
        <v/>
      </c>
      <c r="J296" s="252" t="str">
        <f ca="1">IF(I296="","",IF(COUNTIF($D$12:D296,D296)=1,IF(H296=1,I296*H296,IF(H296="X","X",0)),0))</f>
        <v/>
      </c>
      <c r="K296" s="253" t="str">
        <f t="shared" ca="1" si="43"/>
        <v/>
      </c>
      <c r="L296" s="244"/>
      <c r="M296" s="217"/>
      <c r="N296" s="217"/>
      <c r="O296" s="218"/>
      <c r="P296" s="217"/>
      <c r="Q296" s="219"/>
      <c r="R296" s="217"/>
      <c r="S296" s="217"/>
      <c r="T296" s="217"/>
      <c r="U296" s="217"/>
      <c r="V296" s="219"/>
      <c r="W296" s="219"/>
      <c r="X296" s="219"/>
      <c r="Y296" s="219"/>
      <c r="Z296" s="219"/>
      <c r="AA296" s="217"/>
      <c r="AB296" s="217"/>
      <c r="AC296" s="217"/>
      <c r="AD296" s="219"/>
      <c r="AE296" s="219"/>
      <c r="AF296" s="219"/>
      <c r="AG296" s="219"/>
      <c r="AH296" s="217"/>
      <c r="AI296" s="217"/>
      <c r="AJ296" s="217"/>
      <c r="AK296" s="217"/>
      <c r="AL296" s="217"/>
      <c r="AM296" s="219"/>
      <c r="AN296" s="219"/>
      <c r="AO296" s="217"/>
      <c r="AP296" s="217"/>
      <c r="AQ296" s="219"/>
      <c r="AR296" s="219"/>
      <c r="AS296" s="217"/>
    </row>
    <row r="297" spans="1:45" s="223" customFormat="1" x14ac:dyDescent="0.25">
      <c r="A297" s="250" t="str">
        <f t="shared" si="44"/>
        <v/>
      </c>
      <c r="B297" s="251" t="str">
        <f t="shared" si="37"/>
        <v/>
      </c>
      <c r="C297" s="251" t="str">
        <f>IF(B297="","",VLOOKUP(D297,'Species Data'!B:D,4,FALSE))</f>
        <v/>
      </c>
      <c r="D297" s="251" t="str">
        <f t="shared" ca="1" si="38"/>
        <v/>
      </c>
      <c r="E297" s="251" t="str">
        <f t="shared" ca="1" si="39"/>
        <v/>
      </c>
      <c r="F297" s="251" t="str">
        <f t="shared" ca="1" si="40"/>
        <v/>
      </c>
      <c r="G297" s="251" t="str">
        <f t="shared" ca="1" si="41"/>
        <v/>
      </c>
      <c r="H297" s="208" t="str">
        <f ca="1">IF(G297="","",IF(VLOOKUP(VOC!F297,'Species Data'!D:E,3,FALSE)=0,"X",IF(G297&lt;44.1,2,1)))</f>
        <v/>
      </c>
      <c r="I297" s="208" t="str">
        <f t="shared" ca="1" si="42"/>
        <v/>
      </c>
      <c r="J297" s="252" t="str">
        <f ca="1">IF(I297="","",IF(COUNTIF($D$12:D297,D297)=1,IF(H297=1,I297*H297,IF(H297="X","X",0)),0))</f>
        <v/>
      </c>
      <c r="K297" s="253" t="str">
        <f t="shared" ca="1" si="43"/>
        <v/>
      </c>
      <c r="L297" s="244"/>
      <c r="M297" s="217"/>
      <c r="N297" s="217"/>
      <c r="O297" s="218"/>
      <c r="P297" s="217"/>
      <c r="Q297" s="219"/>
      <c r="R297" s="217"/>
      <c r="S297" s="217"/>
      <c r="T297" s="217"/>
      <c r="U297" s="217"/>
      <c r="V297" s="219"/>
      <c r="W297" s="219"/>
      <c r="X297" s="219"/>
      <c r="Y297" s="219"/>
      <c r="Z297" s="219"/>
      <c r="AA297" s="217"/>
      <c r="AB297" s="217"/>
      <c r="AC297" s="217"/>
      <c r="AD297" s="219"/>
      <c r="AE297" s="219"/>
      <c r="AF297" s="219"/>
      <c r="AG297" s="219"/>
      <c r="AH297" s="217"/>
      <c r="AI297" s="217"/>
      <c r="AJ297" s="217"/>
      <c r="AK297" s="217"/>
      <c r="AL297" s="217"/>
      <c r="AM297" s="219"/>
      <c r="AN297" s="219"/>
      <c r="AO297" s="217"/>
      <c r="AP297" s="217"/>
      <c r="AQ297" s="219"/>
      <c r="AR297" s="219"/>
      <c r="AS297" s="217"/>
    </row>
    <row r="298" spans="1:45" s="223" customFormat="1" x14ac:dyDescent="0.25">
      <c r="A298" s="250" t="str">
        <f t="shared" si="44"/>
        <v/>
      </c>
      <c r="B298" s="251" t="str">
        <f t="shared" si="37"/>
        <v/>
      </c>
      <c r="C298" s="251" t="str">
        <f>IF(B298="","",VLOOKUP(D298,'Species Data'!B:D,4,FALSE))</f>
        <v/>
      </c>
      <c r="D298" s="251" t="str">
        <f t="shared" ca="1" si="38"/>
        <v/>
      </c>
      <c r="E298" s="251" t="str">
        <f t="shared" ca="1" si="39"/>
        <v/>
      </c>
      <c r="F298" s="251" t="str">
        <f t="shared" ca="1" si="40"/>
        <v/>
      </c>
      <c r="G298" s="251" t="str">
        <f t="shared" ca="1" si="41"/>
        <v/>
      </c>
      <c r="H298" s="208" t="str">
        <f ca="1">IF(G298="","",IF(VLOOKUP(VOC!F298,'Species Data'!D:E,3,FALSE)=0,"X",IF(G298&lt;44.1,2,1)))</f>
        <v/>
      </c>
      <c r="I298" s="208" t="str">
        <f t="shared" ca="1" si="42"/>
        <v/>
      </c>
      <c r="J298" s="252" t="str">
        <f ca="1">IF(I298="","",IF(COUNTIF($D$12:D298,D298)=1,IF(H298=1,I298*H298,IF(H298="X","X",0)),0))</f>
        <v/>
      </c>
      <c r="K298" s="253" t="str">
        <f t="shared" ca="1" si="43"/>
        <v/>
      </c>
      <c r="L298" s="244"/>
      <c r="M298" s="217"/>
      <c r="N298" s="217"/>
      <c r="O298" s="218"/>
      <c r="P298" s="217"/>
      <c r="Q298" s="219"/>
      <c r="R298" s="217"/>
      <c r="S298" s="217"/>
      <c r="T298" s="217"/>
      <c r="U298" s="217"/>
      <c r="V298" s="219"/>
      <c r="W298" s="219"/>
      <c r="X298" s="219"/>
      <c r="Y298" s="219"/>
      <c r="Z298" s="219"/>
      <c r="AA298" s="217"/>
      <c r="AB298" s="217"/>
      <c r="AC298" s="217"/>
      <c r="AD298" s="219"/>
      <c r="AE298" s="219"/>
      <c r="AF298" s="219"/>
      <c r="AG298" s="219"/>
      <c r="AH298" s="217"/>
      <c r="AI298" s="217"/>
      <c r="AJ298" s="217"/>
      <c r="AK298" s="217"/>
      <c r="AL298" s="217"/>
      <c r="AM298" s="219"/>
      <c r="AN298" s="219"/>
      <c r="AO298" s="217"/>
      <c r="AP298" s="217"/>
      <c r="AQ298" s="219"/>
      <c r="AR298" s="219"/>
      <c r="AS298" s="217"/>
    </row>
    <row r="299" spans="1:45" s="223" customFormat="1" x14ac:dyDescent="0.25">
      <c r="A299" s="250" t="str">
        <f t="shared" si="44"/>
        <v/>
      </c>
      <c r="B299" s="251" t="str">
        <f t="shared" si="37"/>
        <v/>
      </c>
      <c r="C299" s="251" t="str">
        <f>IF(B299="","",VLOOKUP(D299,'Species Data'!B:D,4,FALSE))</f>
        <v/>
      </c>
      <c r="D299" s="251" t="str">
        <f t="shared" ca="1" si="38"/>
        <v/>
      </c>
      <c r="E299" s="251" t="str">
        <f t="shared" ca="1" si="39"/>
        <v/>
      </c>
      <c r="F299" s="251" t="str">
        <f t="shared" ca="1" si="40"/>
        <v/>
      </c>
      <c r="G299" s="251" t="str">
        <f t="shared" ca="1" si="41"/>
        <v/>
      </c>
      <c r="H299" s="208" t="str">
        <f ca="1">IF(G299="","",IF(VLOOKUP(VOC!F299,'Species Data'!D:E,3,FALSE)=0,"X",IF(G299&lt;44.1,2,1)))</f>
        <v/>
      </c>
      <c r="I299" s="208" t="str">
        <f t="shared" ca="1" si="42"/>
        <v/>
      </c>
      <c r="J299" s="252" t="str">
        <f ca="1">IF(I299="","",IF(COUNTIF($D$12:D299,D299)=1,IF(H299=1,I299*H299,IF(H299="X","X",0)),0))</f>
        <v/>
      </c>
      <c r="K299" s="253" t="str">
        <f t="shared" ca="1" si="43"/>
        <v/>
      </c>
      <c r="L299" s="244"/>
      <c r="M299" s="217"/>
      <c r="N299" s="217"/>
      <c r="O299" s="218"/>
      <c r="P299" s="217"/>
      <c r="Q299" s="219"/>
      <c r="R299" s="217"/>
      <c r="S299" s="217"/>
      <c r="T299" s="217"/>
      <c r="U299" s="217"/>
      <c r="V299" s="219"/>
      <c r="W299" s="219"/>
      <c r="X299" s="219"/>
      <c r="Y299" s="219"/>
      <c r="Z299" s="219"/>
      <c r="AA299" s="217"/>
      <c r="AB299" s="217"/>
      <c r="AC299" s="217"/>
      <c r="AD299" s="219"/>
      <c r="AE299" s="219"/>
      <c r="AF299" s="219"/>
      <c r="AG299" s="219"/>
      <c r="AH299" s="217"/>
      <c r="AI299" s="217"/>
      <c r="AJ299" s="217"/>
      <c r="AK299" s="217"/>
      <c r="AL299" s="217"/>
      <c r="AM299" s="219"/>
      <c r="AN299" s="219"/>
      <c r="AO299" s="217"/>
      <c r="AP299" s="217"/>
      <c r="AQ299" s="219"/>
      <c r="AR299" s="219"/>
      <c r="AS299" s="217"/>
    </row>
    <row r="300" spans="1:45" s="223" customFormat="1" x14ac:dyDescent="0.25">
      <c r="A300" s="250" t="str">
        <f t="shared" si="44"/>
        <v/>
      </c>
      <c r="B300" s="251" t="str">
        <f t="shared" si="37"/>
        <v/>
      </c>
      <c r="C300" s="251" t="str">
        <f>IF(B300="","",VLOOKUP(D300,'Species Data'!B:D,4,FALSE))</f>
        <v/>
      </c>
      <c r="D300" s="251" t="str">
        <f t="shared" ca="1" si="38"/>
        <v/>
      </c>
      <c r="E300" s="251" t="str">
        <f t="shared" ca="1" si="39"/>
        <v/>
      </c>
      <c r="F300" s="251" t="str">
        <f t="shared" ca="1" si="40"/>
        <v/>
      </c>
      <c r="G300" s="251" t="str">
        <f t="shared" ca="1" si="41"/>
        <v/>
      </c>
      <c r="H300" s="208" t="str">
        <f ca="1">IF(G300="","",IF(VLOOKUP(VOC!F300,'Species Data'!D:E,3,FALSE)=0,"X",IF(G300&lt;44.1,2,1)))</f>
        <v/>
      </c>
      <c r="I300" s="208" t="str">
        <f t="shared" ca="1" si="42"/>
        <v/>
      </c>
      <c r="J300" s="252" t="str">
        <f ca="1">IF(I300="","",IF(COUNTIF($D$12:D300,D300)=1,IF(H300=1,I300*H300,IF(H300="X","X",0)),0))</f>
        <v/>
      </c>
      <c r="K300" s="253" t="str">
        <f t="shared" ca="1" si="43"/>
        <v/>
      </c>
      <c r="L300" s="244"/>
      <c r="M300" s="217"/>
      <c r="N300" s="217"/>
      <c r="O300" s="218"/>
      <c r="P300" s="217"/>
      <c r="Q300" s="219"/>
      <c r="R300" s="217"/>
      <c r="S300" s="217"/>
      <c r="T300" s="217"/>
      <c r="U300" s="217"/>
      <c r="V300" s="219"/>
      <c r="W300" s="219"/>
      <c r="X300" s="219"/>
      <c r="Y300" s="219"/>
      <c r="Z300" s="219"/>
      <c r="AA300" s="217"/>
      <c r="AB300" s="217"/>
      <c r="AC300" s="217"/>
      <c r="AD300" s="219"/>
      <c r="AE300" s="219"/>
      <c r="AF300" s="219"/>
      <c r="AG300" s="219"/>
      <c r="AH300" s="217"/>
      <c r="AI300" s="217"/>
      <c r="AJ300" s="217"/>
      <c r="AK300" s="217"/>
      <c r="AL300" s="217"/>
      <c r="AM300" s="219"/>
      <c r="AN300" s="219"/>
      <c r="AO300" s="217"/>
      <c r="AP300" s="217"/>
      <c r="AQ300" s="219"/>
      <c r="AR300" s="219"/>
      <c r="AS300" s="217"/>
    </row>
    <row r="301" spans="1:45" s="223" customFormat="1" x14ac:dyDescent="0.25">
      <c r="A301" s="250" t="str">
        <f t="shared" si="44"/>
        <v/>
      </c>
      <c r="B301" s="251" t="str">
        <f t="shared" si="37"/>
        <v/>
      </c>
      <c r="C301" s="251" t="str">
        <f>IF(B301="","",VLOOKUP(D301,'Species Data'!B:D,4,FALSE))</f>
        <v/>
      </c>
      <c r="D301" s="251" t="str">
        <f t="shared" ca="1" si="38"/>
        <v/>
      </c>
      <c r="E301" s="251" t="str">
        <f t="shared" ca="1" si="39"/>
        <v/>
      </c>
      <c r="F301" s="251" t="str">
        <f t="shared" ca="1" si="40"/>
        <v/>
      </c>
      <c r="G301" s="251" t="str">
        <f t="shared" ca="1" si="41"/>
        <v/>
      </c>
      <c r="H301" s="208" t="str">
        <f ca="1">IF(G301="","",IF(VLOOKUP(VOC!F301,'Species Data'!D:E,3,FALSE)=0,"X",IF(G301&lt;44.1,2,1)))</f>
        <v/>
      </c>
      <c r="I301" s="208" t="str">
        <f t="shared" ca="1" si="42"/>
        <v/>
      </c>
      <c r="J301" s="252" t="str">
        <f ca="1">IF(I301="","",IF(COUNTIF($D$12:D301,D301)=1,IF(H301=1,I301*H301,IF(H301="X","X",0)),0))</f>
        <v/>
      </c>
      <c r="K301" s="253" t="str">
        <f t="shared" ca="1" si="43"/>
        <v/>
      </c>
      <c r="L301" s="244"/>
      <c r="M301" s="217"/>
      <c r="N301" s="217"/>
      <c r="O301" s="218"/>
      <c r="P301" s="217"/>
      <c r="Q301" s="219"/>
      <c r="R301" s="217"/>
      <c r="S301" s="217"/>
      <c r="T301" s="217"/>
      <c r="U301" s="217"/>
      <c r="V301" s="219"/>
      <c r="W301" s="219"/>
      <c r="X301" s="219"/>
      <c r="Y301" s="219"/>
      <c r="Z301" s="219"/>
      <c r="AA301" s="217"/>
      <c r="AB301" s="217"/>
      <c r="AC301" s="217"/>
      <c r="AD301" s="219"/>
      <c r="AE301" s="219"/>
      <c r="AF301" s="219"/>
      <c r="AG301" s="219"/>
      <c r="AH301" s="217"/>
      <c r="AI301" s="217"/>
      <c r="AJ301" s="217"/>
      <c r="AK301" s="217"/>
      <c r="AL301" s="217"/>
      <c r="AM301" s="219"/>
      <c r="AN301" s="219"/>
      <c r="AO301" s="217"/>
      <c r="AP301" s="217"/>
      <c r="AQ301" s="219"/>
      <c r="AR301" s="219"/>
      <c r="AS301" s="217"/>
    </row>
    <row r="302" spans="1:45" s="223" customFormat="1" x14ac:dyDescent="0.25">
      <c r="A302" s="250" t="str">
        <f t="shared" si="44"/>
        <v/>
      </c>
      <c r="B302" s="251" t="str">
        <f t="shared" si="37"/>
        <v/>
      </c>
      <c r="C302" s="251" t="str">
        <f>IF(B302="","",VLOOKUP(D302,'Species Data'!B:D,4,FALSE))</f>
        <v/>
      </c>
      <c r="D302" s="251" t="str">
        <f t="shared" ca="1" si="38"/>
        <v/>
      </c>
      <c r="E302" s="251" t="str">
        <f t="shared" ca="1" si="39"/>
        <v/>
      </c>
      <c r="F302" s="251" t="str">
        <f t="shared" ca="1" si="40"/>
        <v/>
      </c>
      <c r="G302" s="251" t="str">
        <f t="shared" ca="1" si="41"/>
        <v/>
      </c>
      <c r="H302" s="208" t="str">
        <f ca="1">IF(G302="","",IF(VLOOKUP(VOC!F302,'Species Data'!D:E,3,FALSE)=0,"X",IF(G302&lt;44.1,2,1)))</f>
        <v/>
      </c>
      <c r="I302" s="208" t="str">
        <f t="shared" ca="1" si="42"/>
        <v/>
      </c>
      <c r="J302" s="252" t="str">
        <f ca="1">IF(I302="","",IF(COUNTIF($D$12:D302,D302)=1,IF(H302=1,I302*H302,IF(H302="X","X",0)),0))</f>
        <v/>
      </c>
      <c r="K302" s="253" t="str">
        <f t="shared" ca="1" si="43"/>
        <v/>
      </c>
      <c r="L302" s="244"/>
      <c r="M302" s="217"/>
      <c r="N302" s="217"/>
      <c r="O302" s="218"/>
      <c r="P302" s="217"/>
      <c r="Q302" s="219"/>
      <c r="R302" s="217"/>
      <c r="S302" s="217"/>
      <c r="T302" s="217"/>
      <c r="U302" s="217"/>
      <c r="V302" s="219"/>
      <c r="W302" s="219"/>
      <c r="X302" s="219"/>
      <c r="Y302" s="219"/>
      <c r="Z302" s="219"/>
      <c r="AA302" s="217"/>
      <c r="AB302" s="217"/>
      <c r="AC302" s="217"/>
      <c r="AD302" s="219"/>
      <c r="AE302" s="219"/>
      <c r="AF302" s="219"/>
      <c r="AG302" s="219"/>
      <c r="AH302" s="217"/>
      <c r="AI302" s="217"/>
      <c r="AJ302" s="217"/>
      <c r="AK302" s="217"/>
      <c r="AL302" s="217"/>
      <c r="AM302" s="219"/>
      <c r="AN302" s="219"/>
      <c r="AO302" s="217"/>
      <c r="AP302" s="217"/>
      <c r="AQ302" s="219"/>
      <c r="AR302" s="219"/>
      <c r="AS302" s="217"/>
    </row>
    <row r="303" spans="1:45" s="223" customFormat="1" x14ac:dyDescent="0.25">
      <c r="A303" s="250" t="str">
        <f t="shared" si="44"/>
        <v/>
      </c>
      <c r="B303" s="251" t="str">
        <f t="shared" si="37"/>
        <v/>
      </c>
      <c r="C303" s="251" t="str">
        <f>IF(B303="","",VLOOKUP(D303,'Species Data'!B:D,4,FALSE))</f>
        <v/>
      </c>
      <c r="D303" s="251" t="str">
        <f t="shared" ca="1" si="38"/>
        <v/>
      </c>
      <c r="E303" s="251" t="str">
        <f t="shared" ca="1" si="39"/>
        <v/>
      </c>
      <c r="F303" s="251" t="str">
        <f t="shared" ca="1" si="40"/>
        <v/>
      </c>
      <c r="G303" s="251" t="str">
        <f t="shared" ca="1" si="41"/>
        <v/>
      </c>
      <c r="H303" s="208" t="str">
        <f ca="1">IF(G303="","",IF(VLOOKUP(VOC!F303,'Species Data'!D:E,3,FALSE)=0,"X",IF(G303&lt;44.1,2,1)))</f>
        <v/>
      </c>
      <c r="I303" s="208" t="str">
        <f t="shared" ca="1" si="42"/>
        <v/>
      </c>
      <c r="J303" s="252" t="str">
        <f ca="1">IF(I303="","",IF(COUNTIF($D$12:D303,D303)=1,IF(H303=1,I303*H303,IF(H303="X","X",0)),0))</f>
        <v/>
      </c>
      <c r="K303" s="253" t="str">
        <f t="shared" ca="1" si="43"/>
        <v/>
      </c>
      <c r="L303" s="244"/>
      <c r="M303" s="217"/>
      <c r="N303" s="217"/>
      <c r="O303" s="218"/>
      <c r="P303" s="217"/>
      <c r="Q303" s="219"/>
      <c r="R303" s="217"/>
      <c r="S303" s="217"/>
      <c r="T303" s="217"/>
      <c r="U303" s="217"/>
      <c r="V303" s="219"/>
      <c r="W303" s="219"/>
      <c r="X303" s="219"/>
      <c r="Y303" s="219"/>
      <c r="Z303" s="219"/>
      <c r="AA303" s="217"/>
      <c r="AB303" s="217"/>
      <c r="AC303" s="217"/>
      <c r="AD303" s="219"/>
      <c r="AE303" s="219"/>
      <c r="AF303" s="219"/>
      <c r="AG303" s="219"/>
      <c r="AH303" s="217"/>
      <c r="AI303" s="217"/>
      <c r="AJ303" s="217"/>
      <c r="AK303" s="217"/>
      <c r="AL303" s="217"/>
      <c r="AM303" s="219"/>
      <c r="AN303" s="219"/>
      <c r="AO303" s="217"/>
      <c r="AP303" s="217"/>
      <c r="AQ303" s="219"/>
      <c r="AR303" s="219"/>
      <c r="AS303" s="217"/>
    </row>
    <row r="304" spans="1:45" s="223" customFormat="1" x14ac:dyDescent="0.25">
      <c r="A304" s="250" t="str">
        <f t="shared" si="44"/>
        <v/>
      </c>
      <c r="B304" s="251" t="str">
        <f t="shared" si="37"/>
        <v/>
      </c>
      <c r="C304" s="251" t="str">
        <f>IF(B304="","",VLOOKUP(D304,'Species Data'!B:D,4,FALSE))</f>
        <v/>
      </c>
      <c r="D304" s="251" t="str">
        <f t="shared" ca="1" si="38"/>
        <v/>
      </c>
      <c r="E304" s="251" t="str">
        <f t="shared" ca="1" si="39"/>
        <v/>
      </c>
      <c r="F304" s="251" t="str">
        <f t="shared" ca="1" si="40"/>
        <v/>
      </c>
      <c r="G304" s="251" t="str">
        <f t="shared" ca="1" si="41"/>
        <v/>
      </c>
      <c r="H304" s="208" t="str">
        <f ca="1">IF(G304="","",IF(VLOOKUP(VOC!F304,'Species Data'!D:E,3,FALSE)=0,"X",IF(G304&lt;44.1,2,1)))</f>
        <v/>
      </c>
      <c r="I304" s="208" t="str">
        <f t="shared" ca="1" si="42"/>
        <v/>
      </c>
      <c r="J304" s="252" t="str">
        <f ca="1">IF(I304="","",IF(COUNTIF($D$12:D304,D304)=1,IF(H304=1,I304*H304,IF(H304="X","X",0)),0))</f>
        <v/>
      </c>
      <c r="K304" s="253" t="str">
        <f t="shared" ca="1" si="43"/>
        <v/>
      </c>
      <c r="L304" s="244"/>
      <c r="M304" s="217"/>
      <c r="N304" s="217"/>
      <c r="O304" s="218"/>
      <c r="P304" s="217"/>
      <c r="Q304" s="219"/>
      <c r="R304" s="217"/>
      <c r="S304" s="217"/>
      <c r="T304" s="217"/>
      <c r="U304" s="217"/>
      <c r="V304" s="219"/>
      <c r="W304" s="219"/>
      <c r="X304" s="219"/>
      <c r="Y304" s="219"/>
      <c r="Z304" s="219"/>
      <c r="AA304" s="217"/>
      <c r="AB304" s="217"/>
      <c r="AC304" s="217"/>
      <c r="AD304" s="219"/>
      <c r="AE304" s="219"/>
      <c r="AF304" s="219"/>
      <c r="AG304" s="219"/>
      <c r="AH304" s="217"/>
      <c r="AI304" s="217"/>
      <c r="AJ304" s="217"/>
      <c r="AK304" s="217"/>
      <c r="AL304" s="217"/>
      <c r="AM304" s="219"/>
      <c r="AN304" s="219"/>
      <c r="AO304" s="217"/>
      <c r="AP304" s="217"/>
      <c r="AQ304" s="219"/>
      <c r="AR304" s="219"/>
      <c r="AS304" s="217"/>
    </row>
    <row r="305" spans="1:45" s="223" customFormat="1" x14ac:dyDescent="0.25">
      <c r="A305" s="250" t="str">
        <f t="shared" si="44"/>
        <v/>
      </c>
      <c r="B305" s="251" t="str">
        <f t="shared" si="37"/>
        <v/>
      </c>
      <c r="C305" s="251" t="str">
        <f>IF(B305="","",VLOOKUP(D305,'Species Data'!B:D,4,FALSE))</f>
        <v/>
      </c>
      <c r="D305" s="251" t="str">
        <f t="shared" ca="1" si="38"/>
        <v/>
      </c>
      <c r="E305" s="251" t="str">
        <f t="shared" ca="1" si="39"/>
        <v/>
      </c>
      <c r="F305" s="251" t="str">
        <f t="shared" ca="1" si="40"/>
        <v/>
      </c>
      <c r="G305" s="251" t="str">
        <f t="shared" ca="1" si="41"/>
        <v/>
      </c>
      <c r="H305" s="208" t="str">
        <f ca="1">IF(G305="","",IF(VLOOKUP(VOC!F305,'Species Data'!D:E,3,FALSE)=0,"X",IF(G305&lt;44.1,2,1)))</f>
        <v/>
      </c>
      <c r="I305" s="208" t="str">
        <f t="shared" ca="1" si="42"/>
        <v/>
      </c>
      <c r="J305" s="252" t="str">
        <f ca="1">IF(I305="","",IF(COUNTIF($D$12:D305,D305)=1,IF(H305=1,I305*H305,IF(H305="X","X",0)),0))</f>
        <v/>
      </c>
      <c r="K305" s="253" t="str">
        <f t="shared" ca="1" si="43"/>
        <v/>
      </c>
      <c r="L305" s="244"/>
      <c r="M305" s="217"/>
      <c r="N305" s="217"/>
      <c r="O305" s="218"/>
      <c r="P305" s="217"/>
      <c r="Q305" s="219"/>
      <c r="R305" s="217"/>
      <c r="S305" s="217"/>
      <c r="T305" s="217"/>
      <c r="U305" s="217"/>
      <c r="V305" s="219"/>
      <c r="W305" s="219"/>
      <c r="X305" s="219"/>
      <c r="Y305" s="219"/>
      <c r="Z305" s="219"/>
      <c r="AA305" s="217"/>
      <c r="AB305" s="217"/>
      <c r="AC305" s="217"/>
      <c r="AD305" s="219"/>
      <c r="AE305" s="219"/>
      <c r="AF305" s="219"/>
      <c r="AG305" s="219"/>
      <c r="AH305" s="217"/>
      <c r="AI305" s="217"/>
      <c r="AJ305" s="217"/>
      <c r="AK305" s="217"/>
      <c r="AL305" s="217"/>
      <c r="AM305" s="219"/>
      <c r="AN305" s="219"/>
      <c r="AO305" s="217"/>
      <c r="AP305" s="217"/>
      <c r="AQ305" s="219"/>
      <c r="AR305" s="219"/>
      <c r="AS305" s="217"/>
    </row>
    <row r="306" spans="1:45" s="223" customFormat="1" x14ac:dyDescent="0.25">
      <c r="A306" s="250" t="str">
        <f t="shared" si="44"/>
        <v/>
      </c>
      <c r="B306" s="251" t="str">
        <f t="shared" si="37"/>
        <v/>
      </c>
      <c r="C306" s="251" t="str">
        <f>IF(B306="","",VLOOKUP(D306,'Species Data'!B:D,4,FALSE))</f>
        <v/>
      </c>
      <c r="D306" s="251" t="str">
        <f t="shared" ca="1" si="38"/>
        <v/>
      </c>
      <c r="E306" s="251" t="str">
        <f t="shared" ca="1" si="39"/>
        <v/>
      </c>
      <c r="F306" s="251" t="str">
        <f t="shared" ca="1" si="40"/>
        <v/>
      </c>
      <c r="G306" s="251" t="str">
        <f t="shared" ca="1" si="41"/>
        <v/>
      </c>
      <c r="H306" s="208" t="str">
        <f ca="1">IF(G306="","",IF(VLOOKUP(VOC!F306,'Species Data'!D:E,3,FALSE)=0,"X",IF(G306&lt;44.1,2,1)))</f>
        <v/>
      </c>
      <c r="I306" s="208" t="str">
        <f t="shared" ca="1" si="42"/>
        <v/>
      </c>
      <c r="J306" s="252" t="str">
        <f ca="1">IF(I306="","",IF(COUNTIF($D$12:D306,D306)=1,IF(H306=1,I306*H306,IF(H306="X","X",0)),0))</f>
        <v/>
      </c>
      <c r="K306" s="253" t="str">
        <f t="shared" ca="1" si="43"/>
        <v/>
      </c>
      <c r="L306" s="244"/>
      <c r="M306" s="217"/>
      <c r="N306" s="217"/>
      <c r="O306" s="218"/>
      <c r="P306" s="217"/>
      <c r="Q306" s="219"/>
      <c r="R306" s="217"/>
      <c r="S306" s="217"/>
      <c r="T306" s="217"/>
      <c r="U306" s="217"/>
      <c r="V306" s="219"/>
      <c r="W306" s="219"/>
      <c r="X306" s="219"/>
      <c r="Y306" s="219"/>
      <c r="Z306" s="219"/>
      <c r="AA306" s="217"/>
      <c r="AB306" s="217"/>
      <c r="AC306" s="217"/>
      <c r="AD306" s="219"/>
      <c r="AE306" s="219"/>
      <c r="AF306" s="219"/>
      <c r="AG306" s="219"/>
      <c r="AH306" s="217"/>
      <c r="AI306" s="217"/>
      <c r="AJ306" s="217"/>
      <c r="AK306" s="217"/>
      <c r="AL306" s="217"/>
      <c r="AM306" s="219"/>
      <c r="AN306" s="219"/>
      <c r="AO306" s="217"/>
      <c r="AP306" s="217"/>
      <c r="AQ306" s="219"/>
      <c r="AR306" s="219"/>
      <c r="AS306" s="217"/>
    </row>
    <row r="307" spans="1:45" s="223" customFormat="1" x14ac:dyDescent="0.25">
      <c r="A307" s="250" t="str">
        <f t="shared" si="44"/>
        <v/>
      </c>
      <c r="B307" s="251" t="str">
        <f t="shared" si="37"/>
        <v/>
      </c>
      <c r="C307" s="251" t="str">
        <f>IF(B307="","",VLOOKUP(D307,'Species Data'!B:D,4,FALSE))</f>
        <v/>
      </c>
      <c r="D307" s="251" t="str">
        <f t="shared" ca="1" si="38"/>
        <v/>
      </c>
      <c r="E307" s="251" t="str">
        <f t="shared" ca="1" si="39"/>
        <v/>
      </c>
      <c r="F307" s="251" t="str">
        <f t="shared" ca="1" si="40"/>
        <v/>
      </c>
      <c r="G307" s="251" t="str">
        <f t="shared" ca="1" si="41"/>
        <v/>
      </c>
      <c r="H307" s="208" t="str">
        <f ca="1">IF(G307="","",IF(VLOOKUP(VOC!F307,'Species Data'!D:E,3,FALSE)=0,"X",IF(G307&lt;44.1,2,1)))</f>
        <v/>
      </c>
      <c r="I307" s="208" t="str">
        <f t="shared" ca="1" si="42"/>
        <v/>
      </c>
      <c r="J307" s="252" t="str">
        <f ca="1">IF(I307="","",IF(COUNTIF($D$12:D307,D307)=1,IF(H307=1,I307*H307,IF(H307="X","X",0)),0))</f>
        <v/>
      </c>
      <c r="K307" s="253" t="str">
        <f t="shared" ca="1" si="43"/>
        <v/>
      </c>
      <c r="L307" s="244"/>
      <c r="M307" s="217"/>
      <c r="N307" s="217"/>
      <c r="O307" s="218"/>
      <c r="P307" s="217"/>
      <c r="Q307" s="219"/>
      <c r="R307" s="217"/>
      <c r="S307" s="217"/>
      <c r="T307" s="217"/>
      <c r="U307" s="217"/>
      <c r="V307" s="219"/>
      <c r="W307" s="219"/>
      <c r="X307" s="219"/>
      <c r="Y307" s="219"/>
      <c r="Z307" s="219"/>
      <c r="AA307" s="217"/>
      <c r="AB307" s="217"/>
      <c r="AC307" s="217"/>
      <c r="AD307" s="219"/>
      <c r="AE307" s="219"/>
      <c r="AF307" s="219"/>
      <c r="AG307" s="219"/>
      <c r="AH307" s="217"/>
      <c r="AI307" s="217"/>
      <c r="AJ307" s="217"/>
      <c r="AK307" s="217"/>
      <c r="AL307" s="217"/>
      <c r="AM307" s="219"/>
      <c r="AN307" s="219"/>
      <c r="AO307" s="217"/>
      <c r="AP307" s="217"/>
      <c r="AQ307" s="219"/>
      <c r="AR307" s="219"/>
      <c r="AS307" s="217"/>
    </row>
    <row r="308" spans="1:45" s="223" customFormat="1" x14ac:dyDescent="0.25">
      <c r="A308" s="250" t="str">
        <f t="shared" si="44"/>
        <v/>
      </c>
      <c r="B308" s="251" t="str">
        <f t="shared" si="37"/>
        <v/>
      </c>
      <c r="C308" s="251" t="str">
        <f>IF(B308="","",VLOOKUP(D308,'Species Data'!B:D,4,FALSE))</f>
        <v/>
      </c>
      <c r="D308" s="251" t="str">
        <f t="shared" ca="1" si="38"/>
        <v/>
      </c>
      <c r="E308" s="251" t="str">
        <f t="shared" ca="1" si="39"/>
        <v/>
      </c>
      <c r="F308" s="251" t="str">
        <f t="shared" ca="1" si="40"/>
        <v/>
      </c>
      <c r="G308" s="251" t="str">
        <f t="shared" ca="1" si="41"/>
        <v/>
      </c>
      <c r="H308" s="208" t="str">
        <f ca="1">IF(G308="","",IF(VLOOKUP(VOC!F308,'Species Data'!D:E,3,FALSE)=0,"X",IF(G308&lt;44.1,2,1)))</f>
        <v/>
      </c>
      <c r="I308" s="208" t="str">
        <f t="shared" ca="1" si="42"/>
        <v/>
      </c>
      <c r="J308" s="252" t="str">
        <f ca="1">IF(I308="","",IF(COUNTIF($D$12:D308,D308)=1,IF(H308=1,I308*H308,IF(H308="X","X",0)),0))</f>
        <v/>
      </c>
      <c r="K308" s="253" t="str">
        <f t="shared" ca="1" si="43"/>
        <v/>
      </c>
      <c r="L308" s="244"/>
      <c r="M308" s="217"/>
      <c r="N308" s="217"/>
      <c r="O308" s="218"/>
      <c r="P308" s="217"/>
      <c r="Q308" s="219"/>
      <c r="R308" s="217"/>
      <c r="S308" s="217"/>
      <c r="T308" s="217"/>
      <c r="U308" s="217"/>
      <c r="V308" s="219"/>
      <c r="W308" s="219"/>
      <c r="X308" s="219"/>
      <c r="Y308" s="219"/>
      <c r="Z308" s="219"/>
      <c r="AA308" s="217"/>
      <c r="AB308" s="217"/>
      <c r="AC308" s="217"/>
      <c r="AD308" s="219"/>
      <c r="AE308" s="219"/>
      <c r="AF308" s="219"/>
      <c r="AG308" s="219"/>
      <c r="AH308" s="217"/>
      <c r="AI308" s="217"/>
      <c r="AJ308" s="217"/>
      <c r="AK308" s="217"/>
      <c r="AL308" s="217"/>
      <c r="AM308" s="219"/>
      <c r="AN308" s="219"/>
      <c r="AO308" s="217"/>
      <c r="AP308" s="217"/>
      <c r="AQ308" s="219"/>
      <c r="AR308" s="219"/>
      <c r="AS308" s="217"/>
    </row>
    <row r="309" spans="1:45" s="223" customFormat="1" x14ac:dyDescent="0.25">
      <c r="A309" s="250" t="str">
        <f t="shared" si="44"/>
        <v/>
      </c>
      <c r="B309" s="251" t="str">
        <f t="shared" si="37"/>
        <v/>
      </c>
      <c r="C309" s="251" t="str">
        <f>IF(B309="","",VLOOKUP(D309,'Species Data'!B:D,4,FALSE))</f>
        <v/>
      </c>
      <c r="D309" s="251" t="str">
        <f t="shared" ca="1" si="38"/>
        <v/>
      </c>
      <c r="E309" s="251" t="str">
        <f t="shared" ca="1" si="39"/>
        <v/>
      </c>
      <c r="F309" s="251" t="str">
        <f t="shared" ca="1" si="40"/>
        <v/>
      </c>
      <c r="G309" s="251" t="str">
        <f t="shared" ca="1" si="41"/>
        <v/>
      </c>
      <c r="H309" s="208" t="str">
        <f ca="1">IF(G309="","",IF(VLOOKUP(VOC!F309,'Species Data'!D:E,3,FALSE)=0,"X",IF(G309&lt;44.1,2,1)))</f>
        <v/>
      </c>
      <c r="I309" s="208" t="str">
        <f t="shared" ca="1" si="42"/>
        <v/>
      </c>
      <c r="J309" s="252" t="str">
        <f ca="1">IF(I309="","",IF(COUNTIF($D$12:D309,D309)=1,IF(H309=1,I309*H309,IF(H309="X","X",0)),0))</f>
        <v/>
      </c>
      <c r="K309" s="253" t="str">
        <f t="shared" ca="1" si="43"/>
        <v/>
      </c>
      <c r="L309" s="244"/>
      <c r="M309" s="217"/>
      <c r="N309" s="217"/>
      <c r="O309" s="218"/>
      <c r="P309" s="217"/>
      <c r="Q309" s="219"/>
      <c r="R309" s="217"/>
      <c r="S309" s="217"/>
      <c r="T309" s="217"/>
      <c r="U309" s="217"/>
      <c r="V309" s="219"/>
      <c r="W309" s="219"/>
      <c r="X309" s="219"/>
      <c r="Y309" s="219"/>
      <c r="Z309" s="219"/>
      <c r="AA309" s="217"/>
      <c r="AB309" s="217"/>
      <c r="AC309" s="217"/>
      <c r="AD309" s="219"/>
      <c r="AE309" s="219"/>
      <c r="AF309" s="219"/>
      <c r="AG309" s="219"/>
      <c r="AH309" s="217"/>
      <c r="AI309" s="217"/>
      <c r="AJ309" s="217"/>
      <c r="AK309" s="217"/>
      <c r="AL309" s="217"/>
      <c r="AM309" s="219"/>
      <c r="AN309" s="219"/>
      <c r="AO309" s="217"/>
      <c r="AP309" s="217"/>
      <c r="AQ309" s="219"/>
      <c r="AR309" s="219"/>
      <c r="AS309" s="217"/>
    </row>
    <row r="310" spans="1:45" s="223" customFormat="1" x14ac:dyDescent="0.25">
      <c r="A310" s="250" t="str">
        <f t="shared" si="44"/>
        <v/>
      </c>
      <c r="B310" s="251" t="str">
        <f t="shared" si="37"/>
        <v/>
      </c>
      <c r="C310" s="251" t="str">
        <f>IF(B310="","",VLOOKUP(D310,'Species Data'!B:D,4,FALSE))</f>
        <v/>
      </c>
      <c r="D310" s="251" t="str">
        <f t="shared" ca="1" si="38"/>
        <v/>
      </c>
      <c r="E310" s="251" t="str">
        <f t="shared" ca="1" si="39"/>
        <v/>
      </c>
      <c r="F310" s="251" t="str">
        <f t="shared" ca="1" si="40"/>
        <v/>
      </c>
      <c r="G310" s="251" t="str">
        <f t="shared" ca="1" si="41"/>
        <v/>
      </c>
      <c r="H310" s="208" t="str">
        <f ca="1">IF(G310="","",IF(VLOOKUP(VOC!F310,'Species Data'!D:E,3,FALSE)=0,"X",IF(G310&lt;44.1,2,1)))</f>
        <v/>
      </c>
      <c r="I310" s="208" t="str">
        <f t="shared" ca="1" si="42"/>
        <v/>
      </c>
      <c r="J310" s="252" t="str">
        <f ca="1">IF(I310="","",IF(COUNTIF($D$12:D310,D310)=1,IF(H310=1,I310*H310,IF(H310="X","X",0)),0))</f>
        <v/>
      </c>
      <c r="K310" s="253" t="str">
        <f t="shared" ca="1" si="43"/>
        <v/>
      </c>
      <c r="L310" s="244"/>
      <c r="M310" s="217"/>
      <c r="N310" s="217"/>
      <c r="O310" s="218"/>
      <c r="P310" s="217"/>
      <c r="Q310" s="219"/>
      <c r="R310" s="217"/>
      <c r="S310" s="217"/>
      <c r="T310" s="217"/>
      <c r="U310" s="217"/>
      <c r="V310" s="219"/>
      <c r="W310" s="219"/>
      <c r="X310" s="219"/>
      <c r="Y310" s="219"/>
      <c r="Z310" s="219"/>
      <c r="AA310" s="217"/>
      <c r="AB310" s="217"/>
      <c r="AC310" s="217"/>
      <c r="AD310" s="219"/>
      <c r="AE310" s="219"/>
      <c r="AF310" s="219"/>
      <c r="AG310" s="219"/>
      <c r="AH310" s="217"/>
      <c r="AI310" s="217"/>
      <c r="AJ310" s="217"/>
      <c r="AK310" s="217"/>
      <c r="AL310" s="217"/>
      <c r="AM310" s="219"/>
      <c r="AN310" s="219"/>
      <c r="AO310" s="217"/>
      <c r="AP310" s="217"/>
      <c r="AQ310" s="219"/>
      <c r="AR310" s="219"/>
      <c r="AS310" s="217"/>
    </row>
    <row r="311" spans="1:45" s="223" customFormat="1" x14ac:dyDescent="0.25">
      <c r="A311" s="250" t="str">
        <f t="shared" si="44"/>
        <v/>
      </c>
      <c r="B311" s="251" t="str">
        <f t="shared" si="37"/>
        <v/>
      </c>
      <c r="C311" s="251" t="str">
        <f>IF(B311="","",VLOOKUP(D311,'Species Data'!B:D,4,FALSE))</f>
        <v/>
      </c>
      <c r="D311" s="251" t="str">
        <f t="shared" ca="1" si="38"/>
        <v/>
      </c>
      <c r="E311" s="251" t="str">
        <f t="shared" ca="1" si="39"/>
        <v/>
      </c>
      <c r="F311" s="251" t="str">
        <f t="shared" ca="1" si="40"/>
        <v/>
      </c>
      <c r="G311" s="251" t="str">
        <f t="shared" ca="1" si="41"/>
        <v/>
      </c>
      <c r="H311" s="208" t="str">
        <f ca="1">IF(G311="","",IF(VLOOKUP(VOC!F311,'Species Data'!D:E,3,FALSE)=0,"X",IF(G311&lt;44.1,2,1)))</f>
        <v/>
      </c>
      <c r="I311" s="208" t="str">
        <f t="shared" ca="1" si="42"/>
        <v/>
      </c>
      <c r="J311" s="252" t="str">
        <f ca="1">IF(I311="","",IF(COUNTIF($D$12:D311,D311)=1,IF(H311=1,I311*H311,IF(H311="X","X",0)),0))</f>
        <v/>
      </c>
      <c r="K311" s="253" t="str">
        <f t="shared" ca="1" si="43"/>
        <v/>
      </c>
      <c r="L311" s="244"/>
      <c r="M311" s="217"/>
      <c r="N311" s="217"/>
      <c r="O311" s="218"/>
      <c r="P311" s="217"/>
      <c r="Q311" s="219"/>
      <c r="R311" s="217"/>
      <c r="S311" s="217"/>
      <c r="T311" s="217"/>
      <c r="U311" s="217"/>
      <c r="V311" s="219"/>
      <c r="W311" s="219"/>
      <c r="X311" s="219"/>
      <c r="Y311" s="219"/>
      <c r="Z311" s="219"/>
      <c r="AA311" s="217"/>
      <c r="AB311" s="217"/>
      <c r="AC311" s="217"/>
      <c r="AD311" s="219"/>
      <c r="AE311" s="219"/>
      <c r="AF311" s="219"/>
      <c r="AG311" s="219"/>
      <c r="AH311" s="217"/>
      <c r="AI311" s="217"/>
      <c r="AJ311" s="217"/>
      <c r="AK311" s="217"/>
      <c r="AL311" s="217"/>
      <c r="AM311" s="219"/>
      <c r="AN311" s="219"/>
      <c r="AO311" s="217"/>
      <c r="AP311" s="217"/>
      <c r="AQ311" s="219"/>
      <c r="AR311" s="219"/>
      <c r="AS311" s="217"/>
    </row>
    <row r="312" spans="1:45" s="223" customFormat="1" x14ac:dyDescent="0.25">
      <c r="A312" s="250" t="str">
        <f t="shared" si="44"/>
        <v/>
      </c>
      <c r="B312" s="251" t="str">
        <f t="shared" si="37"/>
        <v/>
      </c>
      <c r="C312" s="251" t="str">
        <f>IF(B312="","",VLOOKUP(D312,'Species Data'!B:D,4,FALSE))</f>
        <v/>
      </c>
      <c r="D312" s="251" t="str">
        <f t="shared" ca="1" si="38"/>
        <v/>
      </c>
      <c r="E312" s="251" t="str">
        <f t="shared" ca="1" si="39"/>
        <v/>
      </c>
      <c r="F312" s="251" t="str">
        <f t="shared" ca="1" si="40"/>
        <v/>
      </c>
      <c r="G312" s="251" t="str">
        <f t="shared" ca="1" si="41"/>
        <v/>
      </c>
      <c r="H312" s="208" t="str">
        <f ca="1">IF(G312="","",IF(VLOOKUP(VOC!F312,'Species Data'!D:E,3,FALSE)=0,"X",IF(G312&lt;44.1,2,1)))</f>
        <v/>
      </c>
      <c r="I312" s="208" t="str">
        <f t="shared" ca="1" si="42"/>
        <v/>
      </c>
      <c r="J312" s="252" t="str">
        <f ca="1">IF(I312="","",IF(COUNTIF($D$12:D312,D312)=1,IF(H312=1,I312*H312,IF(H312="X","X",0)),0))</f>
        <v/>
      </c>
      <c r="K312" s="253" t="str">
        <f t="shared" ca="1" si="43"/>
        <v/>
      </c>
      <c r="L312" s="244"/>
      <c r="M312" s="217"/>
      <c r="N312" s="217"/>
      <c r="O312" s="218"/>
      <c r="P312" s="217"/>
      <c r="Q312" s="219"/>
      <c r="R312" s="217"/>
      <c r="S312" s="217"/>
      <c r="T312" s="217"/>
      <c r="U312" s="217"/>
      <c r="V312" s="219"/>
      <c r="W312" s="219"/>
      <c r="X312" s="219"/>
      <c r="Y312" s="219"/>
      <c r="Z312" s="219"/>
      <c r="AA312" s="217"/>
      <c r="AB312" s="217"/>
      <c r="AC312" s="217"/>
      <c r="AD312" s="219"/>
      <c r="AE312" s="219"/>
      <c r="AF312" s="219"/>
      <c r="AG312" s="219"/>
      <c r="AH312" s="217"/>
      <c r="AI312" s="217"/>
      <c r="AJ312" s="217"/>
      <c r="AK312" s="217"/>
      <c r="AL312" s="217"/>
      <c r="AM312" s="219"/>
      <c r="AN312" s="219"/>
      <c r="AO312" s="217"/>
      <c r="AP312" s="217"/>
      <c r="AQ312" s="219"/>
      <c r="AR312" s="219"/>
      <c r="AS312" s="217"/>
    </row>
    <row r="313" spans="1:45" s="223" customFormat="1" x14ac:dyDescent="0.25">
      <c r="A313" s="250" t="str">
        <f t="shared" si="44"/>
        <v/>
      </c>
      <c r="B313" s="251" t="str">
        <f t="shared" si="37"/>
        <v/>
      </c>
      <c r="C313" s="251" t="str">
        <f>IF(B313="","",VLOOKUP(D313,'Species Data'!B:D,4,FALSE))</f>
        <v/>
      </c>
      <c r="D313" s="251" t="str">
        <f t="shared" ca="1" si="38"/>
        <v/>
      </c>
      <c r="E313" s="251" t="str">
        <f t="shared" ca="1" si="39"/>
        <v/>
      </c>
      <c r="F313" s="251" t="str">
        <f t="shared" ca="1" si="40"/>
        <v/>
      </c>
      <c r="G313" s="251" t="str">
        <f t="shared" ca="1" si="41"/>
        <v/>
      </c>
      <c r="H313" s="208" t="str">
        <f ca="1">IF(G313="","",IF(VLOOKUP(VOC!F313,'Species Data'!D:E,3,FALSE)=0,"X",IF(G313&lt;44.1,2,1)))</f>
        <v/>
      </c>
      <c r="I313" s="208" t="str">
        <f t="shared" ca="1" si="42"/>
        <v/>
      </c>
      <c r="J313" s="252" t="str">
        <f ca="1">IF(I313="","",IF(COUNTIF($D$12:D313,D313)=1,IF(H313=1,I313*H313,IF(H313="X","X",0)),0))</f>
        <v/>
      </c>
      <c r="K313" s="253" t="str">
        <f t="shared" ca="1" si="43"/>
        <v/>
      </c>
      <c r="L313" s="244"/>
      <c r="M313" s="217"/>
      <c r="N313" s="217"/>
      <c r="O313" s="218"/>
      <c r="P313" s="217"/>
      <c r="Q313" s="219"/>
      <c r="R313" s="217"/>
      <c r="S313" s="217"/>
      <c r="T313" s="217"/>
      <c r="U313" s="217"/>
      <c r="V313" s="219"/>
      <c r="W313" s="219"/>
      <c r="X313" s="219"/>
      <c r="Y313" s="219"/>
      <c r="Z313" s="219"/>
      <c r="AA313" s="217"/>
      <c r="AB313" s="217"/>
      <c r="AC313" s="217"/>
      <c r="AD313" s="219"/>
      <c r="AE313" s="219"/>
      <c r="AF313" s="219"/>
      <c r="AG313" s="219"/>
      <c r="AH313" s="217"/>
      <c r="AI313" s="217"/>
      <c r="AJ313" s="217"/>
      <c r="AK313" s="217"/>
      <c r="AL313" s="217"/>
      <c r="AM313" s="219"/>
      <c r="AN313" s="219"/>
      <c r="AO313" s="217"/>
      <c r="AP313" s="217"/>
      <c r="AQ313" s="219"/>
      <c r="AR313" s="219"/>
      <c r="AS313" s="217"/>
    </row>
    <row r="314" spans="1:45" s="181" customFormat="1" x14ac:dyDescent="0.25">
      <c r="A314" s="250" t="str">
        <f t="shared" si="44"/>
        <v/>
      </c>
      <c r="B314" s="251" t="str">
        <f t="shared" si="37"/>
        <v/>
      </c>
      <c r="C314" s="251" t="str">
        <f>IF(B314="","",VLOOKUP(D314,'Species Data'!B:D,4,FALSE))</f>
        <v/>
      </c>
      <c r="D314" s="251" t="str">
        <f t="shared" ca="1" si="38"/>
        <v/>
      </c>
      <c r="E314" s="251" t="str">
        <f t="shared" ca="1" si="39"/>
        <v/>
      </c>
      <c r="F314" s="251" t="str">
        <f t="shared" ca="1" si="40"/>
        <v/>
      </c>
      <c r="G314" s="251" t="str">
        <f t="shared" ca="1" si="41"/>
        <v/>
      </c>
      <c r="H314" s="208" t="str">
        <f ca="1">IF(G314="","",IF(VLOOKUP(VOC!F314,'Species Data'!D:E,3,FALSE)=0,"X",IF(G314&lt;44.1,2,1)))</f>
        <v/>
      </c>
      <c r="I314" s="208" t="str">
        <f t="shared" ca="1" si="42"/>
        <v/>
      </c>
      <c r="J314" s="252" t="str">
        <f ca="1">IF(I314="","",IF(COUNTIF($D$12:D314,D314)=1,IF(H314=1,I314*H314,IF(H314="X","X",0)),0))</f>
        <v/>
      </c>
      <c r="K314" s="253" t="str">
        <f t="shared" ca="1" si="43"/>
        <v/>
      </c>
      <c r="L314" s="244"/>
      <c r="M314" s="217"/>
      <c r="N314" s="217"/>
      <c r="O314" s="218"/>
      <c r="P314" s="217"/>
      <c r="Q314" s="219"/>
      <c r="R314" s="217"/>
      <c r="S314" s="217"/>
      <c r="T314" s="217"/>
      <c r="U314" s="217"/>
      <c r="V314" s="219"/>
      <c r="W314" s="219"/>
      <c r="X314" s="219"/>
      <c r="Y314" s="219"/>
      <c r="Z314" s="219"/>
      <c r="AA314" s="217"/>
      <c r="AB314" s="217"/>
      <c r="AC314" s="217"/>
      <c r="AD314" s="219"/>
      <c r="AE314" s="219"/>
      <c r="AF314" s="219"/>
      <c r="AG314" s="219"/>
      <c r="AH314" s="217"/>
      <c r="AI314" s="217"/>
      <c r="AJ314" s="217"/>
      <c r="AK314" s="217"/>
      <c r="AL314" s="217"/>
      <c r="AM314" s="219"/>
      <c r="AN314" s="219"/>
      <c r="AO314" s="217"/>
      <c r="AP314" s="217"/>
      <c r="AQ314" s="219"/>
      <c r="AR314" s="219"/>
      <c r="AS314" s="217"/>
    </row>
    <row r="315" spans="1:45" s="181" customFormat="1" x14ac:dyDescent="0.25">
      <c r="A315" s="250" t="str">
        <f t="shared" si="44"/>
        <v/>
      </c>
      <c r="B315" s="251" t="str">
        <f t="shared" si="37"/>
        <v/>
      </c>
      <c r="C315" s="251" t="str">
        <f>IF(B315="","",VLOOKUP(D315,'Species Data'!B:D,4,FALSE))</f>
        <v/>
      </c>
      <c r="D315" s="251" t="str">
        <f t="shared" ca="1" si="38"/>
        <v/>
      </c>
      <c r="E315" s="251" t="str">
        <f t="shared" ca="1" si="39"/>
        <v/>
      </c>
      <c r="F315" s="251" t="str">
        <f t="shared" ca="1" si="40"/>
        <v/>
      </c>
      <c r="G315" s="251" t="str">
        <f t="shared" ca="1" si="41"/>
        <v/>
      </c>
      <c r="H315" s="208" t="str">
        <f ca="1">IF(G315="","",IF(VLOOKUP(VOC!F315,'Species Data'!D:E,3,FALSE)=0,"X",IF(G315&lt;44.1,2,1)))</f>
        <v/>
      </c>
      <c r="I315" s="208" t="str">
        <f t="shared" ca="1" si="42"/>
        <v/>
      </c>
      <c r="J315" s="252" t="str">
        <f ca="1">IF(I315="","",IF(COUNTIF($D$12:D315,D315)=1,IF(H315=1,I315*H315,IF(H315="X","X",0)),0))</f>
        <v/>
      </c>
      <c r="K315" s="253" t="str">
        <f t="shared" ca="1" si="43"/>
        <v/>
      </c>
      <c r="L315" s="244"/>
      <c r="M315" s="217"/>
      <c r="N315" s="217"/>
      <c r="O315" s="218"/>
      <c r="P315" s="217"/>
      <c r="Q315" s="219"/>
      <c r="R315" s="217"/>
      <c r="S315" s="217"/>
      <c r="T315" s="217"/>
      <c r="U315" s="217"/>
      <c r="V315" s="219"/>
      <c r="W315" s="219"/>
      <c r="X315" s="219"/>
      <c r="Y315" s="219"/>
      <c r="Z315" s="219"/>
      <c r="AA315" s="217"/>
      <c r="AB315" s="217"/>
      <c r="AC315" s="217"/>
      <c r="AD315" s="219"/>
      <c r="AE315" s="219"/>
      <c r="AF315" s="219"/>
      <c r="AG315" s="219"/>
      <c r="AH315" s="217"/>
      <c r="AI315" s="217"/>
      <c r="AJ315" s="217"/>
      <c r="AK315" s="217"/>
      <c r="AL315" s="217"/>
      <c r="AM315" s="219"/>
      <c r="AN315" s="219"/>
      <c r="AO315" s="217"/>
      <c r="AP315" s="217"/>
      <c r="AQ315" s="219"/>
      <c r="AR315" s="219"/>
      <c r="AS315" s="217"/>
    </row>
    <row r="316" spans="1:45" s="181" customFormat="1" x14ac:dyDescent="0.25">
      <c r="A316" s="250" t="str">
        <f t="shared" si="44"/>
        <v/>
      </c>
      <c r="B316" s="251" t="str">
        <f t="shared" si="37"/>
        <v/>
      </c>
      <c r="C316" s="251" t="str">
        <f>IF(B316="","",VLOOKUP(D316,'Species Data'!B:D,4,FALSE))</f>
        <v/>
      </c>
      <c r="D316" s="251" t="str">
        <f t="shared" ca="1" si="38"/>
        <v/>
      </c>
      <c r="E316" s="251" t="str">
        <f t="shared" ca="1" si="39"/>
        <v/>
      </c>
      <c r="F316" s="251" t="str">
        <f t="shared" ca="1" si="40"/>
        <v/>
      </c>
      <c r="G316" s="251" t="str">
        <f t="shared" ca="1" si="41"/>
        <v/>
      </c>
      <c r="H316" s="208" t="str">
        <f ca="1">IF(G316="","",IF(VLOOKUP(VOC!F316,'Species Data'!D:E,3,FALSE)=0,"X",IF(G316&lt;44.1,2,1)))</f>
        <v/>
      </c>
      <c r="I316" s="208" t="str">
        <f t="shared" ca="1" si="42"/>
        <v/>
      </c>
      <c r="J316" s="252" t="str">
        <f ca="1">IF(I316="","",IF(COUNTIF($D$12:D316,D316)=1,IF(H316=1,I316*H316,IF(H316="X","X",0)),0))</f>
        <v/>
      </c>
      <c r="K316" s="253" t="str">
        <f t="shared" ca="1" si="43"/>
        <v/>
      </c>
      <c r="L316" s="244"/>
      <c r="M316" s="217"/>
      <c r="N316" s="217"/>
      <c r="O316" s="218"/>
      <c r="P316" s="217"/>
      <c r="Q316" s="219"/>
      <c r="R316" s="217"/>
      <c r="S316" s="217"/>
      <c r="T316" s="217"/>
      <c r="U316" s="217"/>
      <c r="V316" s="219"/>
      <c r="W316" s="219"/>
      <c r="X316" s="219"/>
      <c r="Y316" s="219"/>
      <c r="Z316" s="219"/>
      <c r="AA316" s="217"/>
      <c r="AB316" s="217"/>
      <c r="AC316" s="217"/>
      <c r="AD316" s="219"/>
      <c r="AE316" s="219"/>
      <c r="AF316" s="219"/>
      <c r="AG316" s="219"/>
      <c r="AH316" s="217"/>
      <c r="AI316" s="217"/>
      <c r="AJ316" s="217"/>
      <c r="AK316" s="217"/>
      <c r="AL316" s="217"/>
      <c r="AM316" s="219"/>
      <c r="AN316" s="219"/>
      <c r="AO316" s="217"/>
      <c r="AP316" s="217"/>
      <c r="AQ316" s="219"/>
      <c r="AR316" s="219"/>
      <c r="AS316" s="217"/>
    </row>
    <row r="317" spans="1:45" s="181" customFormat="1" x14ac:dyDescent="0.25">
      <c r="A317" s="250" t="str">
        <f t="shared" si="44"/>
        <v/>
      </c>
      <c r="B317" s="251" t="str">
        <f t="shared" si="37"/>
        <v/>
      </c>
      <c r="C317" s="251" t="str">
        <f>IF(B317="","",VLOOKUP(D317,'Species Data'!B:D,4,FALSE))</f>
        <v/>
      </c>
      <c r="D317" s="251" t="str">
        <f t="shared" ca="1" si="38"/>
        <v/>
      </c>
      <c r="E317" s="251" t="str">
        <f t="shared" ca="1" si="39"/>
        <v/>
      </c>
      <c r="F317" s="251" t="str">
        <f t="shared" ca="1" si="40"/>
        <v/>
      </c>
      <c r="G317" s="251" t="str">
        <f t="shared" ca="1" si="41"/>
        <v/>
      </c>
      <c r="H317" s="208" t="str">
        <f ca="1">IF(G317="","",IF(VLOOKUP(VOC!F317,'Species Data'!D:E,3,FALSE)=0,"X",IF(G317&lt;44.1,2,1)))</f>
        <v/>
      </c>
      <c r="I317" s="208" t="str">
        <f t="shared" ca="1" si="42"/>
        <v/>
      </c>
      <c r="J317" s="252" t="str">
        <f ca="1">IF(I317="","",IF(COUNTIF($D$12:D317,D317)=1,IF(H317=1,I317*H317,IF(H317="X","X",0)),0))</f>
        <v/>
      </c>
      <c r="K317" s="253" t="str">
        <f t="shared" ca="1" si="43"/>
        <v/>
      </c>
      <c r="L317" s="244"/>
      <c r="M317" s="217"/>
      <c r="N317" s="217"/>
      <c r="O317" s="218"/>
      <c r="P317" s="217"/>
      <c r="Q317" s="219"/>
      <c r="R317" s="217"/>
      <c r="S317" s="217"/>
      <c r="T317" s="217"/>
      <c r="U317" s="217"/>
      <c r="V317" s="219"/>
      <c r="W317" s="219"/>
      <c r="X317" s="219"/>
      <c r="Y317" s="219"/>
      <c r="Z317" s="219"/>
      <c r="AA317" s="217"/>
      <c r="AB317" s="217"/>
      <c r="AC317" s="217"/>
      <c r="AD317" s="219"/>
      <c r="AE317" s="219"/>
      <c r="AF317" s="219"/>
      <c r="AG317" s="219"/>
      <c r="AH317" s="217"/>
      <c r="AI317" s="217"/>
      <c r="AJ317" s="217"/>
      <c r="AK317" s="217"/>
      <c r="AL317" s="217"/>
      <c r="AM317" s="219"/>
      <c r="AN317" s="219"/>
      <c r="AO317" s="217"/>
      <c r="AP317" s="217"/>
      <c r="AQ317" s="219"/>
      <c r="AR317" s="219"/>
      <c r="AS317" s="217"/>
    </row>
    <row r="318" spans="1:45" s="181" customFormat="1" x14ac:dyDescent="0.25">
      <c r="A318" s="250" t="str">
        <f t="shared" si="44"/>
        <v/>
      </c>
      <c r="B318" s="251" t="str">
        <f t="shared" si="37"/>
        <v/>
      </c>
      <c r="C318" s="251" t="str">
        <f>IF(B318="","",VLOOKUP(D318,'Species Data'!B:D,4,FALSE))</f>
        <v/>
      </c>
      <c r="D318" s="251" t="str">
        <f t="shared" ca="1" si="38"/>
        <v/>
      </c>
      <c r="E318" s="251" t="str">
        <f t="shared" ca="1" si="39"/>
        <v/>
      </c>
      <c r="F318" s="251" t="str">
        <f t="shared" ca="1" si="40"/>
        <v/>
      </c>
      <c r="G318" s="251" t="str">
        <f t="shared" ca="1" si="41"/>
        <v/>
      </c>
      <c r="H318" s="208" t="str">
        <f ca="1">IF(G318="","",IF(VLOOKUP(VOC!F318,'Species Data'!D:E,3,FALSE)=0,"X",IF(G318&lt;44.1,2,1)))</f>
        <v/>
      </c>
      <c r="I318" s="208" t="str">
        <f t="shared" ca="1" si="42"/>
        <v/>
      </c>
      <c r="J318" s="252" t="str">
        <f ca="1">IF(I318="","",IF(COUNTIF($D$12:D318,D318)=1,IF(H318=1,I318*H318,IF(H318="X","X",0)),0))</f>
        <v/>
      </c>
      <c r="K318" s="253" t="str">
        <f t="shared" ca="1" si="43"/>
        <v/>
      </c>
      <c r="L318" s="244"/>
      <c r="M318" s="217"/>
      <c r="N318" s="217"/>
      <c r="O318" s="218"/>
      <c r="P318" s="217"/>
      <c r="Q318" s="219"/>
      <c r="R318" s="217"/>
      <c r="S318" s="217"/>
      <c r="T318" s="217"/>
      <c r="U318" s="217"/>
      <c r="V318" s="219"/>
      <c r="W318" s="219"/>
      <c r="X318" s="219"/>
      <c r="Y318" s="219"/>
      <c r="Z318" s="219"/>
      <c r="AA318" s="217"/>
      <c r="AB318" s="217"/>
      <c r="AC318" s="217"/>
      <c r="AD318" s="219"/>
      <c r="AE318" s="219"/>
      <c r="AF318" s="219"/>
      <c r="AG318" s="219"/>
      <c r="AH318" s="217"/>
      <c r="AI318" s="217"/>
      <c r="AJ318" s="217"/>
      <c r="AK318" s="217"/>
      <c r="AL318" s="217"/>
      <c r="AM318" s="219"/>
      <c r="AN318" s="219"/>
      <c r="AO318" s="217"/>
      <c r="AP318" s="217"/>
      <c r="AQ318" s="219"/>
      <c r="AR318" s="219"/>
      <c r="AS318" s="217"/>
    </row>
    <row r="319" spans="1:45" s="181" customFormat="1" x14ac:dyDescent="0.25">
      <c r="A319" s="250" t="str">
        <f t="shared" si="44"/>
        <v/>
      </c>
      <c r="B319" s="251" t="str">
        <f t="shared" si="37"/>
        <v/>
      </c>
      <c r="C319" s="251" t="str">
        <f>IF(B319="","",VLOOKUP(D319,'Species Data'!B:D,4,FALSE))</f>
        <v/>
      </c>
      <c r="D319" s="251" t="str">
        <f t="shared" ca="1" si="38"/>
        <v/>
      </c>
      <c r="E319" s="251" t="str">
        <f t="shared" ca="1" si="39"/>
        <v/>
      </c>
      <c r="F319" s="251" t="str">
        <f t="shared" ca="1" si="40"/>
        <v/>
      </c>
      <c r="G319" s="251" t="str">
        <f t="shared" ca="1" si="41"/>
        <v/>
      </c>
      <c r="H319" s="208" t="str">
        <f ca="1">IF(G319="","",IF(VLOOKUP(VOC!F319,'Species Data'!D:E,3,FALSE)=0,"X",IF(G319&lt;44.1,2,1)))</f>
        <v/>
      </c>
      <c r="I319" s="208" t="str">
        <f t="shared" ca="1" si="42"/>
        <v/>
      </c>
      <c r="J319" s="252" t="str">
        <f ca="1">IF(I319="","",IF(COUNTIF($D$12:D319,D319)=1,IF(H319=1,I319*H319,IF(H319="X","X",0)),0))</f>
        <v/>
      </c>
      <c r="K319" s="253" t="str">
        <f t="shared" ca="1" si="43"/>
        <v/>
      </c>
      <c r="L319" s="244"/>
      <c r="M319" s="217"/>
      <c r="N319" s="217"/>
      <c r="O319" s="218"/>
      <c r="P319" s="217"/>
      <c r="Q319" s="219"/>
      <c r="R319" s="217"/>
      <c r="S319" s="217"/>
      <c r="T319" s="217"/>
      <c r="U319" s="217"/>
      <c r="V319" s="219"/>
      <c r="W319" s="219"/>
      <c r="X319" s="219"/>
      <c r="Y319" s="219"/>
      <c r="Z319" s="219"/>
      <c r="AA319" s="217"/>
      <c r="AB319" s="217"/>
      <c r="AC319" s="217"/>
      <c r="AD319" s="219"/>
      <c r="AE319" s="219"/>
      <c r="AF319" s="219"/>
      <c r="AG319" s="219"/>
      <c r="AH319" s="217"/>
      <c r="AI319" s="217"/>
      <c r="AJ319" s="217"/>
      <c r="AK319" s="217"/>
      <c r="AL319" s="217"/>
      <c r="AM319" s="219"/>
      <c r="AN319" s="219"/>
      <c r="AO319" s="217"/>
      <c r="AP319" s="217"/>
      <c r="AQ319" s="219"/>
      <c r="AR319" s="219"/>
      <c r="AS319" s="217"/>
    </row>
    <row r="320" spans="1:45" s="181" customFormat="1" x14ac:dyDescent="0.25">
      <c r="A320" s="250" t="str">
        <f t="shared" si="44"/>
        <v/>
      </c>
      <c r="B320" s="251" t="str">
        <f t="shared" si="37"/>
        <v/>
      </c>
      <c r="C320" s="251" t="str">
        <f>IF(B320="","",VLOOKUP(D320,'Species Data'!B:D,4,FALSE))</f>
        <v/>
      </c>
      <c r="D320" s="251" t="str">
        <f t="shared" ca="1" si="38"/>
        <v/>
      </c>
      <c r="E320" s="251" t="str">
        <f t="shared" ca="1" si="39"/>
        <v/>
      </c>
      <c r="F320" s="251" t="str">
        <f t="shared" ca="1" si="40"/>
        <v/>
      </c>
      <c r="G320" s="251" t="str">
        <f t="shared" ca="1" si="41"/>
        <v/>
      </c>
      <c r="H320" s="208" t="str">
        <f ca="1">IF(G320="","",IF(VLOOKUP(VOC!F320,'Species Data'!D:E,3,FALSE)=0,"X",IF(G320&lt;44.1,2,1)))</f>
        <v/>
      </c>
      <c r="I320" s="208" t="str">
        <f t="shared" ca="1" si="42"/>
        <v/>
      </c>
      <c r="J320" s="252" t="str">
        <f ca="1">IF(I320="","",IF(COUNTIF($D$12:D320,D320)=1,IF(H320=1,I320*H320,IF(H320="X","X",0)),0))</f>
        <v/>
      </c>
      <c r="K320" s="253" t="str">
        <f t="shared" ca="1" si="43"/>
        <v/>
      </c>
      <c r="L320" s="244"/>
      <c r="M320" s="217"/>
      <c r="N320" s="217"/>
      <c r="O320" s="218"/>
      <c r="P320" s="217"/>
      <c r="Q320" s="219"/>
      <c r="R320" s="217"/>
      <c r="S320" s="217"/>
      <c r="T320" s="217"/>
      <c r="U320" s="217"/>
      <c r="V320" s="219"/>
      <c r="W320" s="219"/>
      <c r="X320" s="219"/>
      <c r="Y320" s="219"/>
      <c r="Z320" s="219"/>
      <c r="AA320" s="217"/>
      <c r="AB320" s="217"/>
      <c r="AC320" s="217"/>
      <c r="AD320" s="219"/>
      <c r="AE320" s="219"/>
      <c r="AF320" s="219"/>
      <c r="AG320" s="219"/>
      <c r="AH320" s="217"/>
      <c r="AI320" s="217"/>
      <c r="AJ320" s="217"/>
      <c r="AK320" s="217"/>
      <c r="AL320" s="217"/>
      <c r="AM320" s="219"/>
      <c r="AN320" s="219"/>
      <c r="AO320" s="217"/>
      <c r="AP320" s="217"/>
      <c r="AQ320" s="219"/>
      <c r="AR320" s="219"/>
      <c r="AS320" s="217"/>
    </row>
    <row r="321" spans="1:45" s="181" customFormat="1" x14ac:dyDescent="0.25">
      <c r="A321" s="250" t="str">
        <f t="shared" si="44"/>
        <v/>
      </c>
      <c r="B321" s="251" t="str">
        <f t="shared" si="37"/>
        <v/>
      </c>
      <c r="C321" s="251" t="str">
        <f>IF(B321="","",VLOOKUP(D321,'Species Data'!B:D,4,FALSE))</f>
        <v/>
      </c>
      <c r="D321" s="251" t="str">
        <f t="shared" ca="1" si="38"/>
        <v/>
      </c>
      <c r="E321" s="251" t="str">
        <f t="shared" ca="1" si="39"/>
        <v/>
      </c>
      <c r="F321" s="251" t="str">
        <f t="shared" ca="1" si="40"/>
        <v/>
      </c>
      <c r="G321" s="251" t="str">
        <f t="shared" ca="1" si="41"/>
        <v/>
      </c>
      <c r="H321" s="208" t="str">
        <f ca="1">IF(G321="","",IF(VLOOKUP(VOC!F321,'Species Data'!D:E,3,FALSE)=0,"X",IF(G321&lt;44.1,2,1)))</f>
        <v/>
      </c>
      <c r="I321" s="208" t="str">
        <f t="shared" ca="1" si="42"/>
        <v/>
      </c>
      <c r="J321" s="252" t="str">
        <f ca="1">IF(I321="","",IF(COUNTIF($D$12:D321,D321)=1,IF(H321=1,I321*H321,IF(H321="X","X",0)),0))</f>
        <v/>
      </c>
      <c r="K321" s="253" t="str">
        <f t="shared" ca="1" si="43"/>
        <v/>
      </c>
      <c r="L321" s="244"/>
      <c r="M321" s="217"/>
      <c r="N321" s="217"/>
      <c r="O321" s="218"/>
      <c r="P321" s="217"/>
      <c r="Q321" s="219"/>
      <c r="R321" s="217"/>
      <c r="S321" s="217"/>
      <c r="T321" s="217"/>
      <c r="U321" s="217"/>
      <c r="V321" s="219"/>
      <c r="W321" s="219"/>
      <c r="X321" s="219"/>
      <c r="Y321" s="219"/>
      <c r="Z321" s="219"/>
      <c r="AA321" s="217"/>
      <c r="AB321" s="217"/>
      <c r="AC321" s="217"/>
      <c r="AD321" s="219"/>
      <c r="AE321" s="219"/>
      <c r="AF321" s="219"/>
      <c r="AG321" s="219"/>
      <c r="AH321" s="217"/>
      <c r="AI321" s="217"/>
      <c r="AJ321" s="217"/>
      <c r="AK321" s="217"/>
      <c r="AL321" s="217"/>
      <c r="AM321" s="219"/>
      <c r="AN321" s="219"/>
      <c r="AO321" s="217"/>
      <c r="AP321" s="217"/>
      <c r="AQ321" s="219"/>
      <c r="AR321" s="219"/>
      <c r="AS321" s="217"/>
    </row>
    <row r="322" spans="1:45" s="181" customFormat="1" x14ac:dyDescent="0.25">
      <c r="A322" s="250" t="str">
        <f t="shared" si="44"/>
        <v/>
      </c>
      <c r="B322" s="251" t="str">
        <f t="shared" si="37"/>
        <v/>
      </c>
      <c r="C322" s="251" t="str">
        <f>IF(B322="","",VLOOKUP(D322,'Species Data'!B:D,4,FALSE))</f>
        <v/>
      </c>
      <c r="D322" s="251" t="str">
        <f t="shared" ca="1" si="38"/>
        <v/>
      </c>
      <c r="E322" s="251" t="str">
        <f t="shared" ca="1" si="39"/>
        <v/>
      </c>
      <c r="F322" s="251" t="str">
        <f t="shared" ca="1" si="40"/>
        <v/>
      </c>
      <c r="G322" s="251" t="str">
        <f t="shared" ca="1" si="41"/>
        <v/>
      </c>
      <c r="H322" s="208" t="str">
        <f ca="1">IF(G322="","",IF(VLOOKUP(VOC!F322,'Species Data'!D:E,3,FALSE)=0,"X",IF(G322&lt;44.1,2,1)))</f>
        <v/>
      </c>
      <c r="I322" s="208" t="str">
        <f t="shared" ca="1" si="42"/>
        <v/>
      </c>
      <c r="J322" s="252" t="str">
        <f ca="1">IF(I322="","",IF(COUNTIF($D$12:D322,D322)=1,IF(H322=1,I322*H322,IF(H322="X","X",0)),0))</f>
        <v/>
      </c>
      <c r="K322" s="253" t="str">
        <f t="shared" ca="1" si="43"/>
        <v/>
      </c>
      <c r="L322" s="244"/>
      <c r="M322" s="217"/>
      <c r="N322" s="217"/>
      <c r="O322" s="218"/>
      <c r="P322" s="217"/>
      <c r="Q322" s="219"/>
      <c r="R322" s="217"/>
      <c r="S322" s="217"/>
      <c r="T322" s="217"/>
      <c r="U322" s="217"/>
      <c r="V322" s="219"/>
      <c r="W322" s="219"/>
      <c r="X322" s="219"/>
      <c r="Y322" s="219"/>
      <c r="Z322" s="219"/>
      <c r="AA322" s="217"/>
      <c r="AB322" s="217"/>
      <c r="AC322" s="217"/>
      <c r="AD322" s="219"/>
      <c r="AE322" s="219"/>
      <c r="AF322" s="219"/>
      <c r="AG322" s="219"/>
      <c r="AH322" s="217"/>
      <c r="AI322" s="217"/>
      <c r="AJ322" s="217"/>
      <c r="AK322" s="217"/>
      <c r="AL322" s="217"/>
      <c r="AM322" s="219"/>
      <c r="AN322" s="219"/>
      <c r="AO322" s="217"/>
      <c r="AP322" s="217"/>
      <c r="AQ322" s="219"/>
      <c r="AR322" s="219"/>
      <c r="AS322" s="217"/>
    </row>
    <row r="323" spans="1:45" s="181" customFormat="1" x14ac:dyDescent="0.25">
      <c r="A323" s="250" t="str">
        <f t="shared" si="44"/>
        <v/>
      </c>
      <c r="B323" s="251" t="str">
        <f t="shared" si="37"/>
        <v/>
      </c>
      <c r="C323" s="251" t="str">
        <f>IF(B323="","",VLOOKUP(D323,'Species Data'!B:D,4,FALSE))</f>
        <v/>
      </c>
      <c r="D323" s="251" t="str">
        <f t="shared" ca="1" si="38"/>
        <v/>
      </c>
      <c r="E323" s="251" t="str">
        <f t="shared" ca="1" si="39"/>
        <v/>
      </c>
      <c r="F323" s="251" t="str">
        <f t="shared" ca="1" si="40"/>
        <v/>
      </c>
      <c r="G323" s="251" t="str">
        <f t="shared" ca="1" si="41"/>
        <v/>
      </c>
      <c r="H323" s="208" t="str">
        <f ca="1">IF(G323="","",IF(VLOOKUP(VOC!F323,'Species Data'!D:E,3,FALSE)=0,"X",IF(G323&lt;44.1,2,1)))</f>
        <v/>
      </c>
      <c r="I323" s="208" t="str">
        <f t="shared" ca="1" si="42"/>
        <v/>
      </c>
      <c r="J323" s="252" t="str">
        <f ca="1">IF(I323="","",IF(COUNTIF($D$12:D323,D323)=1,IF(H323=1,I323*H323,IF(H323="X","X",0)),0))</f>
        <v/>
      </c>
      <c r="K323" s="253" t="str">
        <f t="shared" ca="1" si="43"/>
        <v/>
      </c>
      <c r="L323" s="244"/>
      <c r="M323" s="217"/>
      <c r="N323" s="217"/>
      <c r="O323" s="218"/>
      <c r="P323" s="217"/>
      <c r="Q323" s="219"/>
      <c r="R323" s="217"/>
      <c r="S323" s="217"/>
      <c r="T323" s="217"/>
      <c r="U323" s="217"/>
      <c r="V323" s="219"/>
      <c r="W323" s="219"/>
      <c r="X323" s="219"/>
      <c r="Y323" s="219"/>
      <c r="Z323" s="219"/>
      <c r="AA323" s="217"/>
      <c r="AB323" s="217"/>
      <c r="AC323" s="217"/>
      <c r="AD323" s="219"/>
      <c r="AE323" s="219"/>
      <c r="AF323" s="219"/>
      <c r="AG323" s="219"/>
      <c r="AH323" s="217"/>
      <c r="AI323" s="217"/>
      <c r="AJ323" s="217"/>
      <c r="AK323" s="217"/>
      <c r="AL323" s="217"/>
      <c r="AM323" s="219"/>
      <c r="AN323" s="219"/>
      <c r="AO323" s="217"/>
      <c r="AP323" s="217"/>
      <c r="AQ323" s="219"/>
      <c r="AR323" s="219"/>
      <c r="AS323" s="217"/>
    </row>
    <row r="324" spans="1:45" s="181" customFormat="1" x14ac:dyDescent="0.25">
      <c r="A324" s="250" t="str">
        <f t="shared" si="44"/>
        <v/>
      </c>
      <c r="B324" s="251" t="str">
        <f t="shared" si="37"/>
        <v/>
      </c>
      <c r="C324" s="251" t="str">
        <f>IF(B324="","",VLOOKUP(D324,'Species Data'!B:D,4,FALSE))</f>
        <v/>
      </c>
      <c r="D324" s="251" t="str">
        <f t="shared" ca="1" si="38"/>
        <v/>
      </c>
      <c r="E324" s="251" t="str">
        <f t="shared" ca="1" si="39"/>
        <v/>
      </c>
      <c r="F324" s="251" t="str">
        <f t="shared" ca="1" si="40"/>
        <v/>
      </c>
      <c r="G324" s="251" t="str">
        <f t="shared" ca="1" si="41"/>
        <v/>
      </c>
      <c r="H324" s="208" t="str">
        <f ca="1">IF(G324="","",IF(VLOOKUP(VOC!F324,'Species Data'!D:E,3,FALSE)=0,"X",IF(G324&lt;44.1,2,1)))</f>
        <v/>
      </c>
      <c r="I324" s="208" t="str">
        <f t="shared" ca="1" si="42"/>
        <v/>
      </c>
      <c r="J324" s="252" t="str">
        <f ca="1">IF(I324="","",IF(COUNTIF($D$12:D324,D324)=1,IF(H324=1,I324*H324,IF(H324="X","X",0)),0))</f>
        <v/>
      </c>
      <c r="K324" s="253" t="str">
        <f t="shared" ca="1" si="43"/>
        <v/>
      </c>
      <c r="L324" s="244"/>
      <c r="M324" s="217"/>
      <c r="N324" s="217"/>
      <c r="O324" s="218"/>
      <c r="P324" s="217"/>
      <c r="Q324" s="219"/>
      <c r="R324" s="217"/>
      <c r="S324" s="217"/>
      <c r="T324" s="217"/>
      <c r="U324" s="217"/>
      <c r="V324" s="219"/>
      <c r="W324" s="219"/>
      <c r="X324" s="219"/>
      <c r="Y324" s="219"/>
      <c r="Z324" s="219"/>
      <c r="AA324" s="217"/>
      <c r="AB324" s="217"/>
      <c r="AC324" s="217"/>
      <c r="AD324" s="219"/>
      <c r="AE324" s="219"/>
      <c r="AF324" s="219"/>
      <c r="AG324" s="219"/>
      <c r="AH324" s="217"/>
      <c r="AI324" s="217"/>
      <c r="AJ324" s="217"/>
      <c r="AK324" s="217"/>
      <c r="AL324" s="217"/>
      <c r="AM324" s="219"/>
      <c r="AN324" s="219"/>
      <c r="AO324" s="217"/>
      <c r="AP324" s="217"/>
      <c r="AQ324" s="219"/>
      <c r="AR324" s="219"/>
      <c r="AS324" s="217"/>
    </row>
    <row r="325" spans="1:45" s="181" customFormat="1" x14ac:dyDescent="0.25">
      <c r="A325" s="250" t="str">
        <f t="shared" si="44"/>
        <v/>
      </c>
      <c r="B325" s="251" t="str">
        <f t="shared" si="37"/>
        <v/>
      </c>
      <c r="C325" s="251" t="str">
        <f>IF(B325="","",VLOOKUP(D325,'Species Data'!B:D,4,FALSE))</f>
        <v/>
      </c>
      <c r="D325" s="251" t="str">
        <f t="shared" ca="1" si="38"/>
        <v/>
      </c>
      <c r="E325" s="251" t="str">
        <f t="shared" ca="1" si="39"/>
        <v/>
      </c>
      <c r="F325" s="251" t="str">
        <f t="shared" ca="1" si="40"/>
        <v/>
      </c>
      <c r="G325" s="251" t="str">
        <f t="shared" ca="1" si="41"/>
        <v/>
      </c>
      <c r="H325" s="208" t="str">
        <f ca="1">IF(G325="","",IF(VLOOKUP(VOC!F325,'Species Data'!D:E,3,FALSE)=0,"X",IF(G325&lt;44.1,2,1)))</f>
        <v/>
      </c>
      <c r="I325" s="208" t="str">
        <f t="shared" ca="1" si="42"/>
        <v/>
      </c>
      <c r="J325" s="252" t="str">
        <f ca="1">IF(I325="","",IF(COUNTIF($D$12:D325,D325)=1,IF(H325=1,I325*H325,IF(H325="X","X",0)),0))</f>
        <v/>
      </c>
      <c r="K325" s="253" t="str">
        <f t="shared" ca="1" si="43"/>
        <v/>
      </c>
      <c r="L325" s="244"/>
      <c r="M325" s="217"/>
      <c r="N325" s="217"/>
      <c r="O325" s="218"/>
      <c r="P325" s="217"/>
      <c r="Q325" s="219"/>
      <c r="R325" s="217"/>
      <c r="S325" s="217"/>
      <c r="T325" s="217"/>
      <c r="U325" s="217"/>
      <c r="V325" s="219"/>
      <c r="W325" s="219"/>
      <c r="X325" s="219"/>
      <c r="Y325" s="219"/>
      <c r="Z325" s="219"/>
      <c r="AA325" s="217"/>
      <c r="AB325" s="217"/>
      <c r="AC325" s="217"/>
      <c r="AD325" s="219"/>
      <c r="AE325" s="219"/>
      <c r="AF325" s="219"/>
      <c r="AG325" s="219"/>
      <c r="AH325" s="217"/>
      <c r="AI325" s="217"/>
      <c r="AJ325" s="217"/>
      <c r="AK325" s="217"/>
      <c r="AL325" s="217"/>
      <c r="AM325" s="219"/>
      <c r="AN325" s="219"/>
      <c r="AO325" s="217"/>
      <c r="AP325" s="217"/>
      <c r="AQ325" s="219"/>
      <c r="AR325" s="219"/>
      <c r="AS325" s="217"/>
    </row>
    <row r="326" spans="1:45" s="181" customFormat="1" x14ac:dyDescent="0.25">
      <c r="A326" s="250" t="str">
        <f t="shared" si="44"/>
        <v/>
      </c>
      <c r="B326" s="251" t="str">
        <f t="shared" si="37"/>
        <v/>
      </c>
      <c r="C326" s="251" t="str">
        <f>IF(B326="","",VLOOKUP(D326,'Species Data'!B:D,4,FALSE))</f>
        <v/>
      </c>
      <c r="D326" s="251" t="str">
        <f t="shared" ca="1" si="38"/>
        <v/>
      </c>
      <c r="E326" s="251" t="str">
        <f t="shared" ca="1" si="39"/>
        <v/>
      </c>
      <c r="F326" s="251" t="str">
        <f t="shared" ca="1" si="40"/>
        <v/>
      </c>
      <c r="G326" s="251" t="str">
        <f t="shared" ca="1" si="41"/>
        <v/>
      </c>
      <c r="H326" s="208" t="str">
        <f ca="1">IF(G326="","",IF(VLOOKUP(VOC!F326,'Species Data'!D:E,3,FALSE)=0,"X",IF(G326&lt;44.1,2,1)))</f>
        <v/>
      </c>
      <c r="I326" s="208" t="str">
        <f t="shared" ca="1" si="42"/>
        <v/>
      </c>
      <c r="J326" s="252" t="str">
        <f ca="1">IF(I326="","",IF(COUNTIF($D$12:D326,D326)=1,IF(H326=1,I326*H326,IF(H326="X","X",0)),0))</f>
        <v/>
      </c>
      <c r="K326" s="253" t="str">
        <f t="shared" ca="1" si="43"/>
        <v/>
      </c>
      <c r="L326" s="244"/>
      <c r="M326" s="217"/>
      <c r="N326" s="217"/>
      <c r="O326" s="218"/>
      <c r="P326" s="217"/>
      <c r="Q326" s="219"/>
      <c r="R326" s="217"/>
      <c r="S326" s="217"/>
      <c r="T326" s="217"/>
      <c r="U326" s="217"/>
      <c r="V326" s="219"/>
      <c r="W326" s="219"/>
      <c r="X326" s="219"/>
      <c r="Y326" s="219"/>
      <c r="Z326" s="219"/>
      <c r="AA326" s="217"/>
      <c r="AB326" s="217"/>
      <c r="AC326" s="217"/>
      <c r="AD326" s="219"/>
      <c r="AE326" s="219"/>
      <c r="AF326" s="219"/>
      <c r="AG326" s="219"/>
      <c r="AH326" s="217"/>
      <c r="AI326" s="217"/>
      <c r="AJ326" s="217"/>
      <c r="AK326" s="217"/>
      <c r="AL326" s="217"/>
      <c r="AM326" s="219"/>
      <c r="AN326" s="219"/>
      <c r="AO326" s="217"/>
      <c r="AP326" s="217"/>
      <c r="AQ326" s="219"/>
      <c r="AR326" s="219"/>
      <c r="AS326" s="217"/>
    </row>
    <row r="327" spans="1:45" s="181" customFormat="1" x14ac:dyDescent="0.25">
      <c r="A327" s="250" t="str">
        <f t="shared" si="44"/>
        <v/>
      </c>
      <c r="B327" s="251" t="str">
        <f t="shared" si="37"/>
        <v/>
      </c>
      <c r="C327" s="251" t="str">
        <f>IF(B327="","",VLOOKUP(D327,'Species Data'!B:D,4,FALSE))</f>
        <v/>
      </c>
      <c r="D327" s="251" t="str">
        <f t="shared" ca="1" si="38"/>
        <v/>
      </c>
      <c r="E327" s="251" t="str">
        <f t="shared" ca="1" si="39"/>
        <v/>
      </c>
      <c r="F327" s="251" t="str">
        <f t="shared" ca="1" si="40"/>
        <v/>
      </c>
      <c r="G327" s="251" t="str">
        <f t="shared" ca="1" si="41"/>
        <v/>
      </c>
      <c r="H327" s="208" t="str">
        <f ca="1">IF(G327="","",IF(VLOOKUP(VOC!F327,'Species Data'!D:E,3,FALSE)=0,"X",IF(G327&lt;44.1,2,1)))</f>
        <v/>
      </c>
      <c r="I327" s="208" t="str">
        <f t="shared" ca="1" si="42"/>
        <v/>
      </c>
      <c r="J327" s="252" t="str">
        <f ca="1">IF(I327="","",IF(COUNTIF($D$12:D327,D327)=1,IF(H327=1,I327*H327,IF(H327="X","X",0)),0))</f>
        <v/>
      </c>
      <c r="K327" s="253" t="str">
        <f t="shared" ca="1" si="43"/>
        <v/>
      </c>
      <c r="L327" s="244"/>
      <c r="M327" s="217"/>
      <c r="N327" s="217"/>
      <c r="O327" s="218"/>
      <c r="P327" s="217"/>
      <c r="Q327" s="219"/>
      <c r="R327" s="217"/>
      <c r="S327" s="217"/>
      <c r="T327" s="217"/>
      <c r="U327" s="217"/>
      <c r="V327" s="219"/>
      <c r="W327" s="219"/>
      <c r="X327" s="219"/>
      <c r="Y327" s="219"/>
      <c r="Z327" s="219"/>
      <c r="AA327" s="217"/>
      <c r="AB327" s="217"/>
      <c r="AC327" s="217"/>
      <c r="AD327" s="219"/>
      <c r="AE327" s="219"/>
      <c r="AF327" s="219"/>
      <c r="AG327" s="219"/>
      <c r="AH327" s="217"/>
      <c r="AI327" s="217"/>
      <c r="AJ327" s="217"/>
      <c r="AK327" s="217"/>
      <c r="AL327" s="217"/>
      <c r="AM327" s="219"/>
      <c r="AN327" s="219"/>
      <c r="AO327" s="217"/>
      <c r="AP327" s="217"/>
      <c r="AQ327" s="219"/>
      <c r="AR327" s="219"/>
      <c r="AS327" s="217"/>
    </row>
    <row r="328" spans="1:45" s="181" customFormat="1" x14ac:dyDescent="0.25">
      <c r="A328" s="250" t="str">
        <f t="shared" si="44"/>
        <v/>
      </c>
      <c r="B328" s="251" t="str">
        <f t="shared" si="37"/>
        <v/>
      </c>
      <c r="C328" s="251" t="str">
        <f>IF(B328="","",VLOOKUP(D328,'Species Data'!B:D,4,FALSE))</f>
        <v/>
      </c>
      <c r="D328" s="251" t="str">
        <f t="shared" ca="1" si="38"/>
        <v/>
      </c>
      <c r="E328" s="251" t="str">
        <f t="shared" ca="1" si="39"/>
        <v/>
      </c>
      <c r="F328" s="251" t="str">
        <f t="shared" ca="1" si="40"/>
        <v/>
      </c>
      <c r="G328" s="251" t="str">
        <f t="shared" ca="1" si="41"/>
        <v/>
      </c>
      <c r="H328" s="208" t="str">
        <f ca="1">IF(G328="","",IF(VLOOKUP(VOC!F328,'Species Data'!D:E,3,FALSE)=0,"X",IF(G328&lt;44.1,2,1)))</f>
        <v/>
      </c>
      <c r="I328" s="208" t="str">
        <f t="shared" ca="1" si="42"/>
        <v/>
      </c>
      <c r="J328" s="252" t="str">
        <f ca="1">IF(I328="","",IF(COUNTIF($D$12:D328,D328)=1,IF(H328=1,I328*H328,IF(H328="X","X",0)),0))</f>
        <v/>
      </c>
      <c r="K328" s="253" t="str">
        <f t="shared" ca="1" si="43"/>
        <v/>
      </c>
      <c r="L328" s="244"/>
      <c r="M328" s="217"/>
      <c r="N328" s="217"/>
      <c r="O328" s="218"/>
      <c r="P328" s="217"/>
      <c r="Q328" s="219"/>
      <c r="R328" s="217"/>
      <c r="S328" s="217"/>
      <c r="T328" s="217"/>
      <c r="U328" s="217"/>
      <c r="V328" s="219"/>
      <c r="W328" s="219"/>
      <c r="X328" s="219"/>
      <c r="Y328" s="219"/>
      <c r="Z328" s="219"/>
      <c r="AA328" s="217"/>
      <c r="AB328" s="217"/>
      <c r="AC328" s="217"/>
      <c r="AD328" s="219"/>
      <c r="AE328" s="219"/>
      <c r="AF328" s="219"/>
      <c r="AG328" s="219"/>
      <c r="AH328" s="217"/>
      <c r="AI328" s="217"/>
      <c r="AJ328" s="217"/>
      <c r="AK328" s="217"/>
      <c r="AL328" s="217"/>
      <c r="AM328" s="219"/>
      <c r="AN328" s="219"/>
      <c r="AO328" s="217"/>
      <c r="AP328" s="217"/>
      <c r="AQ328" s="219"/>
      <c r="AR328" s="219"/>
      <c r="AS328" s="217"/>
    </row>
    <row r="329" spans="1:45" s="181" customFormat="1" x14ac:dyDescent="0.25">
      <c r="A329" s="250" t="str">
        <f t="shared" si="44"/>
        <v/>
      </c>
      <c r="B329" s="251" t="str">
        <f t="shared" si="37"/>
        <v/>
      </c>
      <c r="C329" s="251" t="str">
        <f>IF(B329="","",VLOOKUP(D329,'Species Data'!B:D,4,FALSE))</f>
        <v/>
      </c>
      <c r="D329" s="251" t="str">
        <f t="shared" ca="1" si="38"/>
        <v/>
      </c>
      <c r="E329" s="251" t="str">
        <f t="shared" ca="1" si="39"/>
        <v/>
      </c>
      <c r="F329" s="251" t="str">
        <f t="shared" ca="1" si="40"/>
        <v/>
      </c>
      <c r="G329" s="251" t="str">
        <f t="shared" ca="1" si="41"/>
        <v/>
      </c>
      <c r="H329" s="208" t="str">
        <f ca="1">IF(G329="","",IF(VLOOKUP(VOC!F329,'Species Data'!D:E,3,FALSE)=0,"X",IF(G329&lt;44.1,2,1)))</f>
        <v/>
      </c>
      <c r="I329" s="208" t="str">
        <f t="shared" ca="1" si="42"/>
        <v/>
      </c>
      <c r="J329" s="252" t="str">
        <f ca="1">IF(I329="","",IF(COUNTIF($D$12:D329,D329)=1,IF(H329=1,I329*H329,IF(H329="X","X",0)),0))</f>
        <v/>
      </c>
      <c r="K329" s="253" t="str">
        <f t="shared" ca="1" si="43"/>
        <v/>
      </c>
      <c r="L329" s="244"/>
      <c r="M329" s="217"/>
      <c r="N329" s="217"/>
      <c r="O329" s="218"/>
      <c r="P329" s="217"/>
      <c r="Q329" s="219"/>
      <c r="R329" s="217"/>
      <c r="S329" s="217"/>
      <c r="T329" s="217"/>
      <c r="U329" s="217"/>
      <c r="V329" s="219"/>
      <c r="W329" s="219"/>
      <c r="X329" s="219"/>
      <c r="Y329" s="219"/>
      <c r="Z329" s="219"/>
      <c r="AA329" s="217"/>
      <c r="AB329" s="217"/>
      <c r="AC329" s="217"/>
      <c r="AD329" s="219"/>
      <c r="AE329" s="219"/>
      <c r="AF329" s="219"/>
      <c r="AG329" s="219"/>
      <c r="AH329" s="217"/>
      <c r="AI329" s="217"/>
      <c r="AJ329" s="217"/>
      <c r="AK329" s="217"/>
      <c r="AL329" s="217"/>
      <c r="AM329" s="219"/>
      <c r="AN329" s="219"/>
      <c r="AO329" s="217"/>
      <c r="AP329" s="217"/>
      <c r="AQ329" s="219"/>
      <c r="AR329" s="219"/>
      <c r="AS329" s="217"/>
    </row>
    <row r="330" spans="1:45" s="181" customFormat="1" x14ac:dyDescent="0.25">
      <c r="A330" s="250" t="str">
        <f t="shared" si="44"/>
        <v/>
      </c>
      <c r="B330" s="251" t="str">
        <f t="shared" si="37"/>
        <v/>
      </c>
      <c r="C330" s="251" t="str">
        <f>IF(B330="","",VLOOKUP(D330,'Species Data'!B:D,4,FALSE))</f>
        <v/>
      </c>
      <c r="D330" s="251" t="str">
        <f t="shared" ca="1" si="38"/>
        <v/>
      </c>
      <c r="E330" s="251" t="str">
        <f t="shared" ca="1" si="39"/>
        <v/>
      </c>
      <c r="F330" s="251" t="str">
        <f t="shared" ca="1" si="40"/>
        <v/>
      </c>
      <c r="G330" s="251" t="str">
        <f t="shared" ca="1" si="41"/>
        <v/>
      </c>
      <c r="H330" s="208" t="str">
        <f ca="1">IF(G330="","",IF(VLOOKUP(VOC!F330,'Species Data'!D:E,3,FALSE)=0,"X",IF(G330&lt;44.1,2,1)))</f>
        <v/>
      </c>
      <c r="I330" s="208" t="str">
        <f t="shared" ca="1" si="42"/>
        <v/>
      </c>
      <c r="J330" s="252" t="str">
        <f ca="1">IF(I330="","",IF(COUNTIF($D$12:D330,D330)=1,IF(H330=1,I330*H330,IF(H330="X","X",0)),0))</f>
        <v/>
      </c>
      <c r="K330" s="253" t="str">
        <f t="shared" ca="1" si="43"/>
        <v/>
      </c>
      <c r="L330" s="244"/>
      <c r="M330" s="217"/>
      <c r="N330" s="217"/>
      <c r="O330" s="218"/>
      <c r="P330" s="217"/>
      <c r="Q330" s="219"/>
      <c r="R330" s="217"/>
      <c r="S330" s="217"/>
      <c r="T330" s="217"/>
      <c r="U330" s="217"/>
      <c r="V330" s="219"/>
      <c r="W330" s="219"/>
      <c r="X330" s="219"/>
      <c r="Y330" s="219"/>
      <c r="Z330" s="219"/>
      <c r="AA330" s="217"/>
      <c r="AB330" s="217"/>
      <c r="AC330" s="217"/>
      <c r="AD330" s="219"/>
      <c r="AE330" s="219"/>
      <c r="AF330" s="219"/>
      <c r="AG330" s="219"/>
      <c r="AH330" s="217"/>
      <c r="AI330" s="217"/>
      <c r="AJ330" s="217"/>
      <c r="AK330" s="217"/>
      <c r="AL330" s="217"/>
      <c r="AM330" s="219"/>
      <c r="AN330" s="219"/>
      <c r="AO330" s="217"/>
      <c r="AP330" s="217"/>
      <c r="AQ330" s="219"/>
      <c r="AR330" s="219"/>
      <c r="AS330" s="217"/>
    </row>
    <row r="331" spans="1:45" s="181" customFormat="1" x14ac:dyDescent="0.25">
      <c r="A331" s="250" t="str">
        <f t="shared" si="44"/>
        <v/>
      </c>
      <c r="B331" s="251" t="str">
        <f t="shared" si="37"/>
        <v/>
      </c>
      <c r="C331" s="251" t="str">
        <f>IF(B331="","",VLOOKUP(D331,'Species Data'!B:D,4,FALSE))</f>
        <v/>
      </c>
      <c r="D331" s="251" t="str">
        <f t="shared" ca="1" si="38"/>
        <v/>
      </c>
      <c r="E331" s="251" t="str">
        <f t="shared" ca="1" si="39"/>
        <v/>
      </c>
      <c r="F331" s="251" t="str">
        <f t="shared" ca="1" si="40"/>
        <v/>
      </c>
      <c r="G331" s="251" t="str">
        <f t="shared" ca="1" si="41"/>
        <v/>
      </c>
      <c r="H331" s="208" t="str">
        <f ca="1">IF(G331="","",IF(VLOOKUP(VOC!F331,'Species Data'!D:E,3,FALSE)=0,"X",IF(G331&lt;44.1,2,1)))</f>
        <v/>
      </c>
      <c r="I331" s="208" t="str">
        <f t="shared" ca="1" si="42"/>
        <v/>
      </c>
      <c r="J331" s="252" t="str">
        <f ca="1">IF(I331="","",IF(COUNTIF($D$12:D331,D331)=1,IF(H331=1,I331*H331,IF(H331="X","X",0)),0))</f>
        <v/>
      </c>
      <c r="K331" s="253" t="str">
        <f t="shared" ca="1" si="43"/>
        <v/>
      </c>
      <c r="L331" s="244"/>
      <c r="M331" s="217"/>
      <c r="N331" s="217"/>
      <c r="O331" s="218"/>
      <c r="P331" s="217"/>
      <c r="Q331" s="219"/>
      <c r="R331" s="217"/>
      <c r="S331" s="217"/>
      <c r="T331" s="217"/>
      <c r="U331" s="217"/>
      <c r="V331" s="219"/>
      <c r="W331" s="219"/>
      <c r="X331" s="219"/>
      <c r="Y331" s="219"/>
      <c r="Z331" s="219"/>
      <c r="AA331" s="217"/>
      <c r="AB331" s="217"/>
      <c r="AC331" s="217"/>
      <c r="AD331" s="219"/>
      <c r="AE331" s="219"/>
      <c r="AF331" s="219"/>
      <c r="AG331" s="219"/>
      <c r="AH331" s="217"/>
      <c r="AI331" s="217"/>
      <c r="AJ331" s="217"/>
      <c r="AK331" s="217"/>
      <c r="AL331" s="217"/>
      <c r="AM331" s="219"/>
      <c r="AN331" s="219"/>
      <c r="AO331" s="217"/>
      <c r="AP331" s="217"/>
      <c r="AQ331" s="219"/>
      <c r="AR331" s="219"/>
      <c r="AS331" s="217"/>
    </row>
    <row r="332" spans="1:45" s="181" customFormat="1" x14ac:dyDescent="0.25">
      <c r="A332" s="250" t="str">
        <f t="shared" si="44"/>
        <v/>
      </c>
      <c r="B332" s="251" t="str">
        <f t="shared" ref="B332:B395" si="45">IF(ROW(A332)-(ROW($A$12))&lt;$B$10,$B$9,"")</f>
        <v/>
      </c>
      <c r="C332" s="251" t="str">
        <f>IF(B332="","",VLOOKUP(D332,'Species Data'!B:D,4,FALSE))</f>
        <v/>
      </c>
      <c r="D332" s="251" t="str">
        <f t="shared" ref="D332:D395" ca="1" si="46">IF(B332="","",INDIRECT("AE"&amp;$A332))</f>
        <v/>
      </c>
      <c r="E332" s="251" t="str">
        <f t="shared" ref="E332:E395" ca="1" si="47">IF(D332="","",INDIRECT("AF"&amp;$A332))</f>
        <v/>
      </c>
      <c r="F332" s="251" t="str">
        <f t="shared" ref="F332:F395" ca="1" si="48">IF(E332="","",INDIRECT("AO"&amp;$A332))</f>
        <v/>
      </c>
      <c r="G332" s="251" t="str">
        <f t="shared" ref="G332:G395" ca="1" si="49">IF(F332="","",INDIRECT("AQ"&amp;$A332))</f>
        <v/>
      </c>
      <c r="H332" s="208" t="str">
        <f ca="1">IF(G332="","",IF(VLOOKUP(VOC!F332,'Species Data'!D:E,3,FALSE)=0,"X",IF(G332&lt;44.1,2,1)))</f>
        <v/>
      </c>
      <c r="I332" s="208" t="str">
        <f t="shared" ref="I332:I395" ca="1" si="50">IF(H332="","",SUMIF(D:D,D332,E:E)/($E$9/100))</f>
        <v/>
      </c>
      <c r="J332" s="252" t="str">
        <f ca="1">IF(I332="","",IF(COUNTIF($D$12:D332,D332)=1,IF(H332=1,I332*H332,IF(H332="X","X",0)),0))</f>
        <v/>
      </c>
      <c r="K332" s="253" t="str">
        <f t="shared" ref="K332:K395" ca="1" si="51">IF(J332="","",IF(J332="X",0,J332/$J$9*100))</f>
        <v/>
      </c>
      <c r="L332" s="244"/>
      <c r="M332" s="217"/>
      <c r="N332" s="217"/>
      <c r="O332" s="218"/>
      <c r="P332" s="217"/>
      <c r="Q332" s="219"/>
      <c r="R332" s="217"/>
      <c r="S332" s="217"/>
      <c r="T332" s="217"/>
      <c r="U332" s="217"/>
      <c r="V332" s="219"/>
      <c r="W332" s="219"/>
      <c r="X332" s="219"/>
      <c r="Y332" s="219"/>
      <c r="Z332" s="219"/>
      <c r="AA332" s="217"/>
      <c r="AB332" s="217"/>
      <c r="AC332" s="217"/>
      <c r="AD332" s="219"/>
      <c r="AE332" s="219"/>
      <c r="AF332" s="219"/>
      <c r="AG332" s="219"/>
      <c r="AH332" s="217"/>
      <c r="AI332" s="217"/>
      <c r="AJ332" s="217"/>
      <c r="AK332" s="217"/>
      <c r="AL332" s="217"/>
      <c r="AM332" s="219"/>
      <c r="AN332" s="219"/>
      <c r="AO332" s="217"/>
      <c r="AP332" s="217"/>
      <c r="AQ332" s="219"/>
      <c r="AR332" s="219"/>
      <c r="AS332" s="217"/>
    </row>
    <row r="333" spans="1:45" s="181" customFormat="1" x14ac:dyDescent="0.25">
      <c r="A333" s="250" t="str">
        <f t="shared" si="44"/>
        <v/>
      </c>
      <c r="B333" s="251" t="str">
        <f t="shared" si="45"/>
        <v/>
      </c>
      <c r="C333" s="251" t="str">
        <f>IF(B333="","",VLOOKUP(D333,'Species Data'!B:D,4,FALSE))</f>
        <v/>
      </c>
      <c r="D333" s="251" t="str">
        <f t="shared" ca="1" si="46"/>
        <v/>
      </c>
      <c r="E333" s="251" t="str">
        <f t="shared" ca="1" si="47"/>
        <v/>
      </c>
      <c r="F333" s="251" t="str">
        <f t="shared" ca="1" si="48"/>
        <v/>
      </c>
      <c r="G333" s="251" t="str">
        <f t="shared" ca="1" si="49"/>
        <v/>
      </c>
      <c r="H333" s="208" t="str">
        <f ca="1">IF(G333="","",IF(VLOOKUP(VOC!F333,'Species Data'!D:E,3,FALSE)=0,"X",IF(G333&lt;44.1,2,1)))</f>
        <v/>
      </c>
      <c r="I333" s="208" t="str">
        <f t="shared" ca="1" si="50"/>
        <v/>
      </c>
      <c r="J333" s="252" t="str">
        <f ca="1">IF(I333="","",IF(COUNTIF($D$12:D333,D333)=1,IF(H333=1,I333*H333,IF(H333="X","X",0)),0))</f>
        <v/>
      </c>
      <c r="K333" s="253" t="str">
        <f t="shared" ca="1" si="51"/>
        <v/>
      </c>
      <c r="L333" s="244"/>
      <c r="M333" s="217"/>
      <c r="N333" s="217"/>
      <c r="O333" s="218"/>
      <c r="P333" s="217"/>
      <c r="Q333" s="219"/>
      <c r="R333" s="217"/>
      <c r="S333" s="217"/>
      <c r="T333" s="217"/>
      <c r="U333" s="217"/>
      <c r="V333" s="219"/>
      <c r="W333" s="219"/>
      <c r="X333" s="219"/>
      <c r="Y333" s="219"/>
      <c r="Z333" s="219"/>
      <c r="AA333" s="217"/>
      <c r="AB333" s="217"/>
      <c r="AC333" s="217"/>
      <c r="AD333" s="219"/>
      <c r="AE333" s="219"/>
      <c r="AF333" s="219"/>
      <c r="AG333" s="219"/>
      <c r="AH333" s="217"/>
      <c r="AI333" s="217"/>
      <c r="AJ333" s="217"/>
      <c r="AK333" s="217"/>
      <c r="AL333" s="217"/>
      <c r="AM333" s="219"/>
      <c r="AN333" s="219"/>
      <c r="AO333" s="217"/>
      <c r="AP333" s="217"/>
      <c r="AQ333" s="219"/>
      <c r="AR333" s="219"/>
      <c r="AS333" s="217"/>
    </row>
    <row r="334" spans="1:45" s="181" customFormat="1" x14ac:dyDescent="0.25">
      <c r="A334" s="250" t="str">
        <f t="shared" ref="A334:A397" si="52">IF(B334="","",A333+1)</f>
        <v/>
      </c>
      <c r="B334" s="251" t="str">
        <f t="shared" si="45"/>
        <v/>
      </c>
      <c r="C334" s="251" t="str">
        <f>IF(B334="","",VLOOKUP(D334,'Species Data'!B:D,4,FALSE))</f>
        <v/>
      </c>
      <c r="D334" s="251" t="str">
        <f t="shared" ca="1" si="46"/>
        <v/>
      </c>
      <c r="E334" s="251" t="str">
        <f t="shared" ca="1" si="47"/>
        <v/>
      </c>
      <c r="F334" s="251" t="str">
        <f t="shared" ca="1" si="48"/>
        <v/>
      </c>
      <c r="G334" s="251" t="str">
        <f t="shared" ca="1" si="49"/>
        <v/>
      </c>
      <c r="H334" s="208" t="str">
        <f ca="1">IF(G334="","",IF(VLOOKUP(VOC!F334,'Species Data'!D:E,3,FALSE)=0,"X",IF(G334&lt;44.1,2,1)))</f>
        <v/>
      </c>
      <c r="I334" s="208" t="str">
        <f t="shared" ca="1" si="50"/>
        <v/>
      </c>
      <c r="J334" s="252" t="str">
        <f ca="1">IF(I334="","",IF(COUNTIF($D$12:D334,D334)=1,IF(H334=1,I334*H334,IF(H334="X","X",0)),0))</f>
        <v/>
      </c>
      <c r="K334" s="253" t="str">
        <f t="shared" ca="1" si="51"/>
        <v/>
      </c>
      <c r="L334" s="244"/>
      <c r="M334" s="217"/>
      <c r="N334" s="217"/>
      <c r="O334" s="218"/>
      <c r="P334" s="217"/>
      <c r="Q334" s="219"/>
      <c r="R334" s="217"/>
      <c r="S334" s="217"/>
      <c r="T334" s="217"/>
      <c r="U334" s="217"/>
      <c r="V334" s="219"/>
      <c r="W334" s="219"/>
      <c r="X334" s="219"/>
      <c r="Y334" s="219"/>
      <c r="Z334" s="219"/>
      <c r="AA334" s="217"/>
      <c r="AB334" s="217"/>
      <c r="AC334" s="217"/>
      <c r="AD334" s="219"/>
      <c r="AE334" s="219"/>
      <c r="AF334" s="219"/>
      <c r="AG334" s="219"/>
      <c r="AH334" s="217"/>
      <c r="AI334" s="217"/>
      <c r="AJ334" s="217"/>
      <c r="AK334" s="217"/>
      <c r="AL334" s="217"/>
      <c r="AM334" s="219"/>
      <c r="AN334" s="219"/>
      <c r="AO334" s="217"/>
      <c r="AP334" s="217"/>
      <c r="AQ334" s="219"/>
      <c r="AR334" s="219"/>
      <c r="AS334" s="217"/>
    </row>
    <row r="335" spans="1:45" s="181" customFormat="1" x14ac:dyDescent="0.25">
      <c r="A335" s="250" t="str">
        <f t="shared" si="52"/>
        <v/>
      </c>
      <c r="B335" s="251" t="str">
        <f t="shared" si="45"/>
        <v/>
      </c>
      <c r="C335" s="251" t="str">
        <f>IF(B335="","",VLOOKUP(D335,'Species Data'!B:D,4,FALSE))</f>
        <v/>
      </c>
      <c r="D335" s="251" t="str">
        <f t="shared" ca="1" si="46"/>
        <v/>
      </c>
      <c r="E335" s="251" t="str">
        <f t="shared" ca="1" si="47"/>
        <v/>
      </c>
      <c r="F335" s="251" t="str">
        <f t="shared" ca="1" si="48"/>
        <v/>
      </c>
      <c r="G335" s="251" t="str">
        <f t="shared" ca="1" si="49"/>
        <v/>
      </c>
      <c r="H335" s="208" t="str">
        <f ca="1">IF(G335="","",IF(VLOOKUP(VOC!F335,'Species Data'!D:E,3,FALSE)=0,"X",IF(G335&lt;44.1,2,1)))</f>
        <v/>
      </c>
      <c r="I335" s="208" t="str">
        <f t="shared" ca="1" si="50"/>
        <v/>
      </c>
      <c r="J335" s="252" t="str">
        <f ca="1">IF(I335="","",IF(COUNTIF($D$12:D335,D335)=1,IF(H335=1,I335*H335,IF(H335="X","X",0)),0))</f>
        <v/>
      </c>
      <c r="K335" s="253" t="str">
        <f t="shared" ca="1" si="51"/>
        <v/>
      </c>
      <c r="L335" s="244"/>
      <c r="M335" s="217"/>
      <c r="N335" s="217"/>
      <c r="O335" s="218"/>
      <c r="P335" s="217"/>
      <c r="Q335" s="219"/>
      <c r="R335" s="217"/>
      <c r="S335" s="217"/>
      <c r="T335" s="217"/>
      <c r="U335" s="217"/>
      <c r="V335" s="219"/>
      <c r="W335" s="219"/>
      <c r="X335" s="219"/>
      <c r="Y335" s="219"/>
      <c r="Z335" s="219"/>
      <c r="AA335" s="217"/>
      <c r="AB335" s="217"/>
      <c r="AC335" s="217"/>
      <c r="AD335" s="219"/>
      <c r="AE335" s="219"/>
      <c r="AF335" s="219"/>
      <c r="AG335" s="219"/>
      <c r="AH335" s="217"/>
      <c r="AI335" s="217"/>
      <c r="AJ335" s="217"/>
      <c r="AK335" s="217"/>
      <c r="AL335" s="217"/>
      <c r="AM335" s="219"/>
      <c r="AN335" s="219"/>
      <c r="AO335" s="217"/>
      <c r="AP335" s="217"/>
      <c r="AQ335" s="219"/>
      <c r="AR335" s="219"/>
      <c r="AS335" s="217"/>
    </row>
    <row r="336" spans="1:45" s="181" customFormat="1" x14ac:dyDescent="0.25">
      <c r="A336" s="250" t="str">
        <f t="shared" si="52"/>
        <v/>
      </c>
      <c r="B336" s="251" t="str">
        <f t="shared" si="45"/>
        <v/>
      </c>
      <c r="C336" s="251" t="str">
        <f>IF(B336="","",VLOOKUP(D336,'Species Data'!B:D,4,FALSE))</f>
        <v/>
      </c>
      <c r="D336" s="251" t="str">
        <f t="shared" ca="1" si="46"/>
        <v/>
      </c>
      <c r="E336" s="251" t="str">
        <f t="shared" ca="1" si="47"/>
        <v/>
      </c>
      <c r="F336" s="251" t="str">
        <f t="shared" ca="1" si="48"/>
        <v/>
      </c>
      <c r="G336" s="251" t="str">
        <f t="shared" ca="1" si="49"/>
        <v/>
      </c>
      <c r="H336" s="208" t="str">
        <f ca="1">IF(G336="","",IF(VLOOKUP(VOC!F336,'Species Data'!D:E,3,FALSE)=0,"X",IF(G336&lt;44.1,2,1)))</f>
        <v/>
      </c>
      <c r="I336" s="208" t="str">
        <f t="shared" ca="1" si="50"/>
        <v/>
      </c>
      <c r="J336" s="252" t="str">
        <f ca="1">IF(I336="","",IF(COUNTIF($D$12:D336,D336)=1,IF(H336=1,I336*H336,IF(H336="X","X",0)),0))</f>
        <v/>
      </c>
      <c r="K336" s="253" t="str">
        <f t="shared" ca="1" si="51"/>
        <v/>
      </c>
      <c r="L336" s="244"/>
      <c r="M336" s="217"/>
      <c r="N336" s="217"/>
      <c r="O336" s="218"/>
      <c r="P336" s="217"/>
      <c r="Q336" s="219"/>
      <c r="R336" s="217"/>
      <c r="S336" s="217"/>
      <c r="T336" s="217"/>
      <c r="U336" s="217"/>
      <c r="V336" s="219"/>
      <c r="W336" s="219"/>
      <c r="X336" s="219"/>
      <c r="Y336" s="219"/>
      <c r="Z336" s="219"/>
      <c r="AA336" s="217"/>
      <c r="AB336" s="217"/>
      <c r="AC336" s="217"/>
      <c r="AD336" s="219"/>
      <c r="AE336" s="219"/>
      <c r="AF336" s="219"/>
      <c r="AG336" s="219"/>
      <c r="AH336" s="217"/>
      <c r="AI336" s="217"/>
      <c r="AJ336" s="217"/>
      <c r="AK336" s="217"/>
      <c r="AL336" s="217"/>
      <c r="AM336" s="219"/>
      <c r="AN336" s="219"/>
      <c r="AO336" s="217"/>
      <c r="AP336" s="217"/>
      <c r="AQ336" s="219"/>
      <c r="AR336" s="219"/>
      <c r="AS336" s="217"/>
    </row>
    <row r="337" spans="1:45" s="181" customFormat="1" x14ac:dyDescent="0.25">
      <c r="A337" s="250" t="str">
        <f t="shared" si="52"/>
        <v/>
      </c>
      <c r="B337" s="251" t="str">
        <f t="shared" si="45"/>
        <v/>
      </c>
      <c r="C337" s="251" t="str">
        <f>IF(B337="","",VLOOKUP(D337,'Species Data'!B:D,4,FALSE))</f>
        <v/>
      </c>
      <c r="D337" s="251" t="str">
        <f t="shared" ca="1" si="46"/>
        <v/>
      </c>
      <c r="E337" s="251" t="str">
        <f t="shared" ca="1" si="47"/>
        <v/>
      </c>
      <c r="F337" s="251" t="str">
        <f t="shared" ca="1" si="48"/>
        <v/>
      </c>
      <c r="G337" s="251" t="str">
        <f t="shared" ca="1" si="49"/>
        <v/>
      </c>
      <c r="H337" s="208" t="str">
        <f ca="1">IF(G337="","",IF(VLOOKUP(VOC!F337,'Species Data'!D:E,3,FALSE)=0,"X",IF(G337&lt;44.1,2,1)))</f>
        <v/>
      </c>
      <c r="I337" s="208" t="str">
        <f t="shared" ca="1" si="50"/>
        <v/>
      </c>
      <c r="J337" s="252" t="str">
        <f ca="1">IF(I337="","",IF(COUNTIF($D$12:D337,D337)=1,IF(H337=1,I337*H337,IF(H337="X","X",0)),0))</f>
        <v/>
      </c>
      <c r="K337" s="253" t="str">
        <f t="shared" ca="1" si="51"/>
        <v/>
      </c>
      <c r="L337" s="244"/>
      <c r="M337" s="217"/>
      <c r="N337" s="217"/>
      <c r="O337" s="218"/>
      <c r="P337" s="217"/>
      <c r="Q337" s="219"/>
      <c r="R337" s="217"/>
      <c r="S337" s="217"/>
      <c r="T337" s="217"/>
      <c r="U337" s="217"/>
      <c r="V337" s="219"/>
      <c r="W337" s="219"/>
      <c r="X337" s="219"/>
      <c r="Y337" s="219"/>
      <c r="Z337" s="219"/>
      <c r="AA337" s="217"/>
      <c r="AB337" s="217"/>
      <c r="AC337" s="217"/>
      <c r="AD337" s="219"/>
      <c r="AE337" s="219"/>
      <c r="AF337" s="219"/>
      <c r="AG337" s="219"/>
      <c r="AH337" s="217"/>
      <c r="AI337" s="217"/>
      <c r="AJ337" s="217"/>
      <c r="AK337" s="217"/>
      <c r="AL337" s="217"/>
      <c r="AM337" s="219"/>
      <c r="AN337" s="219"/>
      <c r="AO337" s="217"/>
      <c r="AP337" s="217"/>
      <c r="AQ337" s="219"/>
      <c r="AR337" s="219"/>
      <c r="AS337" s="217"/>
    </row>
    <row r="338" spans="1:45" s="181" customFormat="1" x14ac:dyDescent="0.25">
      <c r="A338" s="250" t="str">
        <f t="shared" si="52"/>
        <v/>
      </c>
      <c r="B338" s="251" t="str">
        <f t="shared" si="45"/>
        <v/>
      </c>
      <c r="C338" s="251" t="str">
        <f>IF(B338="","",VLOOKUP(D338,'Species Data'!B:D,4,FALSE))</f>
        <v/>
      </c>
      <c r="D338" s="251" t="str">
        <f t="shared" ca="1" si="46"/>
        <v/>
      </c>
      <c r="E338" s="251" t="str">
        <f t="shared" ca="1" si="47"/>
        <v/>
      </c>
      <c r="F338" s="251" t="str">
        <f t="shared" ca="1" si="48"/>
        <v/>
      </c>
      <c r="G338" s="251" t="str">
        <f t="shared" ca="1" si="49"/>
        <v/>
      </c>
      <c r="H338" s="208" t="str">
        <f ca="1">IF(G338="","",IF(VLOOKUP(VOC!F338,'Species Data'!D:E,3,FALSE)=0,"X",IF(G338&lt;44.1,2,1)))</f>
        <v/>
      </c>
      <c r="I338" s="208" t="str">
        <f t="shared" ca="1" si="50"/>
        <v/>
      </c>
      <c r="J338" s="252" t="str">
        <f ca="1">IF(I338="","",IF(COUNTIF($D$12:D338,D338)=1,IF(H338=1,I338*H338,IF(H338="X","X",0)),0))</f>
        <v/>
      </c>
      <c r="K338" s="253" t="str">
        <f t="shared" ca="1" si="51"/>
        <v/>
      </c>
      <c r="L338" s="244"/>
      <c r="M338" s="217"/>
      <c r="N338" s="217"/>
      <c r="O338" s="218"/>
      <c r="P338" s="217"/>
      <c r="Q338" s="219"/>
      <c r="R338" s="217"/>
      <c r="S338" s="217"/>
      <c r="T338" s="217"/>
      <c r="U338" s="217"/>
      <c r="V338" s="219"/>
      <c r="W338" s="219"/>
      <c r="X338" s="219"/>
      <c r="Y338" s="219"/>
      <c r="Z338" s="219"/>
      <c r="AA338" s="217"/>
      <c r="AB338" s="217"/>
      <c r="AC338" s="217"/>
      <c r="AD338" s="219"/>
      <c r="AE338" s="219"/>
      <c r="AF338" s="219"/>
      <c r="AG338" s="219"/>
      <c r="AH338" s="217"/>
      <c r="AI338" s="217"/>
      <c r="AJ338" s="217"/>
      <c r="AK338" s="217"/>
      <c r="AL338" s="217"/>
      <c r="AM338" s="219"/>
      <c r="AN338" s="219"/>
      <c r="AO338" s="217"/>
      <c r="AP338" s="217"/>
      <c r="AQ338" s="219"/>
      <c r="AR338" s="219"/>
      <c r="AS338" s="217"/>
    </row>
    <row r="339" spans="1:45" s="181" customFormat="1" x14ac:dyDescent="0.25">
      <c r="A339" s="250" t="str">
        <f t="shared" si="52"/>
        <v/>
      </c>
      <c r="B339" s="251" t="str">
        <f t="shared" si="45"/>
        <v/>
      </c>
      <c r="C339" s="251" t="str">
        <f>IF(B339="","",VLOOKUP(D339,'Species Data'!B:D,4,FALSE))</f>
        <v/>
      </c>
      <c r="D339" s="251" t="str">
        <f t="shared" ca="1" si="46"/>
        <v/>
      </c>
      <c r="E339" s="251" t="str">
        <f t="shared" ca="1" si="47"/>
        <v/>
      </c>
      <c r="F339" s="251" t="str">
        <f t="shared" ca="1" si="48"/>
        <v/>
      </c>
      <c r="G339" s="251" t="str">
        <f t="shared" ca="1" si="49"/>
        <v/>
      </c>
      <c r="H339" s="208" t="str">
        <f ca="1">IF(G339="","",IF(VLOOKUP(VOC!F339,'Species Data'!D:E,3,FALSE)=0,"X",IF(G339&lt;44.1,2,1)))</f>
        <v/>
      </c>
      <c r="I339" s="208" t="str">
        <f t="shared" ca="1" si="50"/>
        <v/>
      </c>
      <c r="J339" s="252" t="str">
        <f ca="1">IF(I339="","",IF(COUNTIF($D$12:D339,D339)=1,IF(H339=1,I339*H339,IF(H339="X","X",0)),0))</f>
        <v/>
      </c>
      <c r="K339" s="253" t="str">
        <f t="shared" ca="1" si="51"/>
        <v/>
      </c>
      <c r="L339" s="244"/>
      <c r="M339" s="217"/>
      <c r="N339" s="217"/>
      <c r="O339" s="218"/>
      <c r="P339" s="217"/>
      <c r="Q339" s="219"/>
      <c r="R339" s="217"/>
      <c r="S339" s="217"/>
      <c r="T339" s="217"/>
      <c r="U339" s="217"/>
      <c r="V339" s="219"/>
      <c r="W339" s="219"/>
      <c r="X339" s="219"/>
      <c r="Y339" s="219"/>
      <c r="Z339" s="219"/>
      <c r="AA339" s="217"/>
      <c r="AB339" s="217"/>
      <c r="AC339" s="217"/>
      <c r="AD339" s="219"/>
      <c r="AE339" s="219"/>
      <c r="AF339" s="219"/>
      <c r="AG339" s="219"/>
      <c r="AH339" s="217"/>
      <c r="AI339" s="217"/>
      <c r="AJ339" s="217"/>
      <c r="AK339" s="217"/>
      <c r="AL339" s="217"/>
      <c r="AM339" s="219"/>
      <c r="AN339" s="219"/>
      <c r="AO339" s="217"/>
      <c r="AP339" s="217"/>
      <c r="AQ339" s="219"/>
      <c r="AR339" s="219"/>
      <c r="AS339" s="217"/>
    </row>
    <row r="340" spans="1:45" s="181" customFormat="1" x14ac:dyDescent="0.25">
      <c r="A340" s="250" t="str">
        <f t="shared" si="52"/>
        <v/>
      </c>
      <c r="B340" s="251" t="str">
        <f t="shared" si="45"/>
        <v/>
      </c>
      <c r="C340" s="251" t="str">
        <f>IF(B340="","",VLOOKUP(D340,'Species Data'!B:D,4,FALSE))</f>
        <v/>
      </c>
      <c r="D340" s="251" t="str">
        <f t="shared" ca="1" si="46"/>
        <v/>
      </c>
      <c r="E340" s="251" t="str">
        <f t="shared" ca="1" si="47"/>
        <v/>
      </c>
      <c r="F340" s="251" t="str">
        <f t="shared" ca="1" si="48"/>
        <v/>
      </c>
      <c r="G340" s="251" t="str">
        <f t="shared" ca="1" si="49"/>
        <v/>
      </c>
      <c r="H340" s="208" t="str">
        <f ca="1">IF(G340="","",IF(VLOOKUP(VOC!F340,'Species Data'!D:E,3,FALSE)=0,"X",IF(G340&lt;44.1,2,1)))</f>
        <v/>
      </c>
      <c r="I340" s="208" t="str">
        <f t="shared" ca="1" si="50"/>
        <v/>
      </c>
      <c r="J340" s="252" t="str">
        <f ca="1">IF(I340="","",IF(COUNTIF($D$12:D340,D340)=1,IF(H340=1,I340*H340,IF(H340="X","X",0)),0))</f>
        <v/>
      </c>
      <c r="K340" s="253" t="str">
        <f t="shared" ca="1" si="51"/>
        <v/>
      </c>
      <c r="L340" s="244"/>
      <c r="M340" s="217"/>
      <c r="N340" s="217"/>
      <c r="O340" s="218"/>
      <c r="P340" s="217"/>
      <c r="Q340" s="219"/>
      <c r="R340" s="217"/>
      <c r="S340" s="217"/>
      <c r="T340" s="217"/>
      <c r="U340" s="217"/>
      <c r="V340" s="219"/>
      <c r="W340" s="219"/>
      <c r="X340" s="219"/>
      <c r="Y340" s="219"/>
      <c r="Z340" s="219"/>
      <c r="AA340" s="217"/>
      <c r="AB340" s="217"/>
      <c r="AC340" s="217"/>
      <c r="AD340" s="219"/>
      <c r="AE340" s="219"/>
      <c r="AF340" s="219"/>
      <c r="AG340" s="219"/>
      <c r="AH340" s="217"/>
      <c r="AI340" s="217"/>
      <c r="AJ340" s="217"/>
      <c r="AK340" s="217"/>
      <c r="AL340" s="217"/>
      <c r="AM340" s="219"/>
      <c r="AN340" s="219"/>
      <c r="AO340" s="217"/>
      <c r="AP340" s="217"/>
      <c r="AQ340" s="219"/>
      <c r="AR340" s="219"/>
      <c r="AS340" s="217"/>
    </row>
    <row r="341" spans="1:45" s="181" customFormat="1" x14ac:dyDescent="0.25">
      <c r="A341" s="250" t="str">
        <f t="shared" si="52"/>
        <v/>
      </c>
      <c r="B341" s="251" t="str">
        <f t="shared" si="45"/>
        <v/>
      </c>
      <c r="C341" s="251" t="str">
        <f>IF(B341="","",VLOOKUP(D341,'Species Data'!B:D,4,FALSE))</f>
        <v/>
      </c>
      <c r="D341" s="251" t="str">
        <f t="shared" ca="1" si="46"/>
        <v/>
      </c>
      <c r="E341" s="251" t="str">
        <f t="shared" ca="1" si="47"/>
        <v/>
      </c>
      <c r="F341" s="251" t="str">
        <f t="shared" ca="1" si="48"/>
        <v/>
      </c>
      <c r="G341" s="251" t="str">
        <f t="shared" ca="1" si="49"/>
        <v/>
      </c>
      <c r="H341" s="208" t="str">
        <f ca="1">IF(G341="","",IF(VLOOKUP(VOC!F341,'Species Data'!D:E,3,FALSE)=0,"X",IF(G341&lt;44.1,2,1)))</f>
        <v/>
      </c>
      <c r="I341" s="208" t="str">
        <f t="shared" ca="1" si="50"/>
        <v/>
      </c>
      <c r="J341" s="252" t="str">
        <f ca="1">IF(I341="","",IF(COUNTIF($D$12:D341,D341)=1,IF(H341=1,I341*H341,IF(H341="X","X",0)),0))</f>
        <v/>
      </c>
      <c r="K341" s="253" t="str">
        <f t="shared" ca="1" si="51"/>
        <v/>
      </c>
      <c r="L341" s="244"/>
      <c r="M341" s="217"/>
      <c r="N341" s="217"/>
      <c r="O341" s="218"/>
      <c r="P341" s="217"/>
      <c r="Q341" s="219"/>
      <c r="R341" s="217"/>
      <c r="S341" s="217"/>
      <c r="T341" s="217"/>
      <c r="U341" s="217"/>
      <c r="V341" s="219"/>
      <c r="W341" s="219"/>
      <c r="X341" s="219"/>
      <c r="Y341" s="219"/>
      <c r="Z341" s="219"/>
      <c r="AA341" s="217"/>
      <c r="AB341" s="217"/>
      <c r="AC341" s="217"/>
      <c r="AD341" s="219"/>
      <c r="AE341" s="219"/>
      <c r="AF341" s="219"/>
      <c r="AG341" s="219"/>
      <c r="AH341" s="217"/>
      <c r="AI341" s="217"/>
      <c r="AJ341" s="217"/>
      <c r="AK341" s="217"/>
      <c r="AL341" s="217"/>
      <c r="AM341" s="219"/>
      <c r="AN341" s="219"/>
      <c r="AO341" s="217"/>
      <c r="AP341" s="217"/>
      <c r="AQ341" s="219"/>
      <c r="AR341" s="219"/>
      <c r="AS341" s="217"/>
    </row>
    <row r="342" spans="1:45" s="181" customFormat="1" x14ac:dyDescent="0.25">
      <c r="A342" s="250" t="str">
        <f t="shared" si="52"/>
        <v/>
      </c>
      <c r="B342" s="251" t="str">
        <f t="shared" si="45"/>
        <v/>
      </c>
      <c r="C342" s="251" t="str">
        <f>IF(B342="","",VLOOKUP(D342,'Species Data'!B:D,4,FALSE))</f>
        <v/>
      </c>
      <c r="D342" s="251" t="str">
        <f t="shared" ca="1" si="46"/>
        <v/>
      </c>
      <c r="E342" s="251" t="str">
        <f t="shared" ca="1" si="47"/>
        <v/>
      </c>
      <c r="F342" s="251" t="str">
        <f t="shared" ca="1" si="48"/>
        <v/>
      </c>
      <c r="G342" s="251" t="str">
        <f t="shared" ca="1" si="49"/>
        <v/>
      </c>
      <c r="H342" s="208" t="str">
        <f ca="1">IF(G342="","",IF(VLOOKUP(VOC!F342,'Species Data'!D:E,3,FALSE)=0,"X",IF(G342&lt;44.1,2,1)))</f>
        <v/>
      </c>
      <c r="I342" s="208" t="str">
        <f t="shared" ca="1" si="50"/>
        <v/>
      </c>
      <c r="J342" s="252" t="str">
        <f ca="1">IF(I342="","",IF(COUNTIF($D$12:D342,D342)=1,IF(H342=1,I342*H342,IF(H342="X","X",0)),0))</f>
        <v/>
      </c>
      <c r="K342" s="253" t="str">
        <f t="shared" ca="1" si="51"/>
        <v/>
      </c>
      <c r="L342" s="244"/>
      <c r="M342" s="217"/>
      <c r="N342" s="217"/>
      <c r="O342" s="218"/>
      <c r="P342" s="217"/>
      <c r="Q342" s="219"/>
      <c r="R342" s="217"/>
      <c r="S342" s="217"/>
      <c r="T342" s="217"/>
      <c r="U342" s="217"/>
      <c r="V342" s="219"/>
      <c r="W342" s="219"/>
      <c r="X342" s="219"/>
      <c r="Y342" s="219"/>
      <c r="Z342" s="219"/>
      <c r="AA342" s="217"/>
      <c r="AB342" s="217"/>
      <c r="AC342" s="217"/>
      <c r="AD342" s="219"/>
      <c r="AE342" s="219"/>
      <c r="AF342" s="219"/>
      <c r="AG342" s="219"/>
      <c r="AH342" s="217"/>
      <c r="AI342" s="217"/>
      <c r="AJ342" s="217"/>
      <c r="AK342" s="217"/>
      <c r="AL342" s="217"/>
      <c r="AM342" s="219"/>
      <c r="AN342" s="219"/>
      <c r="AO342" s="217"/>
      <c r="AP342" s="217"/>
      <c r="AQ342" s="219"/>
      <c r="AR342" s="219"/>
      <c r="AS342" s="217"/>
    </row>
    <row r="343" spans="1:45" s="181" customFormat="1" x14ac:dyDescent="0.25">
      <c r="A343" s="250" t="str">
        <f t="shared" si="52"/>
        <v/>
      </c>
      <c r="B343" s="251" t="str">
        <f t="shared" si="45"/>
        <v/>
      </c>
      <c r="C343" s="251" t="str">
        <f>IF(B343="","",VLOOKUP(D343,'Species Data'!B:D,4,FALSE))</f>
        <v/>
      </c>
      <c r="D343" s="251" t="str">
        <f t="shared" ca="1" si="46"/>
        <v/>
      </c>
      <c r="E343" s="251" t="str">
        <f t="shared" ca="1" si="47"/>
        <v/>
      </c>
      <c r="F343" s="251" t="str">
        <f t="shared" ca="1" si="48"/>
        <v/>
      </c>
      <c r="G343" s="251" t="str">
        <f t="shared" ca="1" si="49"/>
        <v/>
      </c>
      <c r="H343" s="208" t="str">
        <f ca="1">IF(G343="","",IF(VLOOKUP(VOC!F343,'Species Data'!D:E,3,FALSE)=0,"X",IF(G343&lt;44.1,2,1)))</f>
        <v/>
      </c>
      <c r="I343" s="208" t="str">
        <f t="shared" ca="1" si="50"/>
        <v/>
      </c>
      <c r="J343" s="252" t="str">
        <f ca="1">IF(I343="","",IF(COUNTIF($D$12:D343,D343)=1,IF(H343=1,I343*H343,IF(H343="X","X",0)),0))</f>
        <v/>
      </c>
      <c r="K343" s="253" t="str">
        <f t="shared" ca="1" si="51"/>
        <v/>
      </c>
      <c r="L343" s="244"/>
      <c r="M343" s="217"/>
      <c r="N343" s="217"/>
      <c r="O343" s="218"/>
      <c r="P343" s="217"/>
      <c r="Q343" s="219"/>
      <c r="R343" s="217"/>
      <c r="S343" s="217"/>
      <c r="T343" s="217"/>
      <c r="U343" s="217"/>
      <c r="V343" s="219"/>
      <c r="W343" s="219"/>
      <c r="X343" s="219"/>
      <c r="Y343" s="219"/>
      <c r="Z343" s="219"/>
      <c r="AA343" s="217"/>
      <c r="AB343" s="217"/>
      <c r="AC343" s="217"/>
      <c r="AD343" s="219"/>
      <c r="AE343" s="219"/>
      <c r="AF343" s="219"/>
      <c r="AG343" s="219"/>
      <c r="AH343" s="217"/>
      <c r="AI343" s="217"/>
      <c r="AJ343" s="217"/>
      <c r="AK343" s="217"/>
      <c r="AL343" s="217"/>
      <c r="AM343" s="219"/>
      <c r="AN343" s="219"/>
      <c r="AO343" s="217"/>
      <c r="AP343" s="217"/>
      <c r="AQ343" s="219"/>
      <c r="AR343" s="219"/>
      <c r="AS343" s="217"/>
    </row>
    <row r="344" spans="1:45" s="181" customFormat="1" x14ac:dyDescent="0.25">
      <c r="A344" s="250" t="str">
        <f t="shared" si="52"/>
        <v/>
      </c>
      <c r="B344" s="251" t="str">
        <f t="shared" si="45"/>
        <v/>
      </c>
      <c r="C344" s="251" t="str">
        <f>IF(B344="","",VLOOKUP(D344,'Species Data'!B:D,4,FALSE))</f>
        <v/>
      </c>
      <c r="D344" s="251" t="str">
        <f t="shared" ca="1" si="46"/>
        <v/>
      </c>
      <c r="E344" s="251" t="str">
        <f t="shared" ca="1" si="47"/>
        <v/>
      </c>
      <c r="F344" s="251" t="str">
        <f t="shared" ca="1" si="48"/>
        <v/>
      </c>
      <c r="G344" s="251" t="str">
        <f t="shared" ca="1" si="49"/>
        <v/>
      </c>
      <c r="H344" s="208" t="str">
        <f ca="1">IF(G344="","",IF(VLOOKUP(VOC!F344,'Species Data'!D:E,3,FALSE)=0,"X",IF(G344&lt;44.1,2,1)))</f>
        <v/>
      </c>
      <c r="I344" s="208" t="str">
        <f t="shared" ca="1" si="50"/>
        <v/>
      </c>
      <c r="J344" s="252" t="str">
        <f ca="1">IF(I344="","",IF(COUNTIF($D$12:D344,D344)=1,IF(H344=1,I344*H344,IF(H344="X","X",0)),0))</f>
        <v/>
      </c>
      <c r="K344" s="253" t="str">
        <f t="shared" ca="1" si="51"/>
        <v/>
      </c>
      <c r="L344" s="244"/>
      <c r="M344" s="217"/>
      <c r="N344" s="217"/>
      <c r="O344" s="218"/>
      <c r="P344" s="217"/>
      <c r="Q344" s="219"/>
      <c r="R344" s="217"/>
      <c r="S344" s="217"/>
      <c r="T344" s="217"/>
      <c r="U344" s="217"/>
      <c r="V344" s="219"/>
      <c r="W344" s="219"/>
      <c r="X344" s="219"/>
      <c r="Y344" s="219"/>
      <c r="Z344" s="219"/>
      <c r="AA344" s="217"/>
      <c r="AB344" s="217"/>
      <c r="AC344" s="217"/>
      <c r="AD344" s="219"/>
      <c r="AE344" s="219"/>
      <c r="AF344" s="219"/>
      <c r="AG344" s="219"/>
      <c r="AH344" s="217"/>
      <c r="AI344" s="217"/>
      <c r="AJ344" s="217"/>
      <c r="AK344" s="217"/>
      <c r="AL344" s="217"/>
      <c r="AM344" s="219"/>
      <c r="AN344" s="219"/>
      <c r="AO344" s="217"/>
      <c r="AP344" s="217"/>
      <c r="AQ344" s="219"/>
      <c r="AR344" s="219"/>
      <c r="AS344" s="217"/>
    </row>
    <row r="345" spans="1:45" s="181" customFormat="1" x14ac:dyDescent="0.25">
      <c r="A345" s="250" t="str">
        <f t="shared" si="52"/>
        <v/>
      </c>
      <c r="B345" s="251" t="str">
        <f t="shared" si="45"/>
        <v/>
      </c>
      <c r="C345" s="251" t="str">
        <f>IF(B345="","",VLOOKUP(D345,'Species Data'!B:D,4,FALSE))</f>
        <v/>
      </c>
      <c r="D345" s="251" t="str">
        <f t="shared" ca="1" si="46"/>
        <v/>
      </c>
      <c r="E345" s="251" t="str">
        <f t="shared" ca="1" si="47"/>
        <v/>
      </c>
      <c r="F345" s="251" t="str">
        <f t="shared" ca="1" si="48"/>
        <v/>
      </c>
      <c r="G345" s="251" t="str">
        <f t="shared" ca="1" si="49"/>
        <v/>
      </c>
      <c r="H345" s="208" t="str">
        <f ca="1">IF(G345="","",IF(VLOOKUP(VOC!F345,'Species Data'!D:E,3,FALSE)=0,"X",IF(G345&lt;44.1,2,1)))</f>
        <v/>
      </c>
      <c r="I345" s="208" t="str">
        <f t="shared" ca="1" si="50"/>
        <v/>
      </c>
      <c r="J345" s="252" t="str">
        <f ca="1">IF(I345="","",IF(COUNTIF($D$12:D345,D345)=1,IF(H345=1,I345*H345,IF(H345="X","X",0)),0))</f>
        <v/>
      </c>
      <c r="K345" s="253" t="str">
        <f t="shared" ca="1" si="51"/>
        <v/>
      </c>
      <c r="L345" s="244"/>
      <c r="M345" s="217"/>
      <c r="N345" s="217"/>
      <c r="O345" s="218"/>
      <c r="P345" s="217"/>
      <c r="Q345" s="219"/>
      <c r="R345" s="217"/>
      <c r="S345" s="217"/>
      <c r="T345" s="217"/>
      <c r="U345" s="217"/>
      <c r="V345" s="219"/>
      <c r="W345" s="219"/>
      <c r="X345" s="219"/>
      <c r="Y345" s="219"/>
      <c r="Z345" s="219"/>
      <c r="AA345" s="217"/>
      <c r="AB345" s="217"/>
      <c r="AC345" s="217"/>
      <c r="AD345" s="219"/>
      <c r="AE345" s="219"/>
      <c r="AF345" s="219"/>
      <c r="AG345" s="219"/>
      <c r="AH345" s="217"/>
      <c r="AI345" s="217"/>
      <c r="AJ345" s="217"/>
      <c r="AK345" s="217"/>
      <c r="AL345" s="217"/>
      <c r="AM345" s="219"/>
      <c r="AN345" s="219"/>
      <c r="AO345" s="217"/>
      <c r="AP345" s="217"/>
      <c r="AQ345" s="219"/>
      <c r="AR345" s="219"/>
      <c r="AS345" s="217"/>
    </row>
    <row r="346" spans="1:45" s="181" customFormat="1" x14ac:dyDescent="0.25">
      <c r="A346" s="250" t="str">
        <f t="shared" si="52"/>
        <v/>
      </c>
      <c r="B346" s="251" t="str">
        <f t="shared" si="45"/>
        <v/>
      </c>
      <c r="C346" s="251" t="str">
        <f>IF(B346="","",VLOOKUP(D346,'Species Data'!B:D,4,FALSE))</f>
        <v/>
      </c>
      <c r="D346" s="251" t="str">
        <f t="shared" ca="1" si="46"/>
        <v/>
      </c>
      <c r="E346" s="251" t="str">
        <f t="shared" ca="1" si="47"/>
        <v/>
      </c>
      <c r="F346" s="251" t="str">
        <f t="shared" ca="1" si="48"/>
        <v/>
      </c>
      <c r="G346" s="251" t="str">
        <f t="shared" ca="1" si="49"/>
        <v/>
      </c>
      <c r="H346" s="208" t="str">
        <f ca="1">IF(G346="","",IF(VLOOKUP(VOC!F346,'Species Data'!D:E,3,FALSE)=0,"X",IF(G346&lt;44.1,2,1)))</f>
        <v/>
      </c>
      <c r="I346" s="208" t="str">
        <f t="shared" ca="1" si="50"/>
        <v/>
      </c>
      <c r="J346" s="252" t="str">
        <f ca="1">IF(I346="","",IF(COUNTIF($D$12:D346,D346)=1,IF(H346=1,I346*H346,IF(H346="X","X",0)),0))</f>
        <v/>
      </c>
      <c r="K346" s="253" t="str">
        <f t="shared" ca="1" si="51"/>
        <v/>
      </c>
      <c r="L346" s="244"/>
      <c r="M346" s="217"/>
      <c r="N346" s="217"/>
      <c r="O346" s="218"/>
      <c r="P346" s="217"/>
      <c r="Q346" s="219"/>
      <c r="R346" s="217"/>
      <c r="S346" s="217"/>
      <c r="T346" s="217"/>
      <c r="U346" s="217"/>
      <c r="V346" s="219"/>
      <c r="W346" s="219"/>
      <c r="X346" s="219"/>
      <c r="Y346" s="219"/>
      <c r="Z346" s="219"/>
      <c r="AA346" s="217"/>
      <c r="AB346" s="217"/>
      <c r="AC346" s="217"/>
      <c r="AD346" s="219"/>
      <c r="AE346" s="219"/>
      <c r="AF346" s="219"/>
      <c r="AG346" s="219"/>
      <c r="AH346" s="217"/>
      <c r="AI346" s="217"/>
      <c r="AJ346" s="217"/>
      <c r="AK346" s="217"/>
      <c r="AL346" s="217"/>
      <c r="AM346" s="219"/>
      <c r="AN346" s="219"/>
      <c r="AO346" s="217"/>
      <c r="AP346" s="217"/>
      <c r="AQ346" s="219"/>
      <c r="AR346" s="219"/>
      <c r="AS346" s="217"/>
    </row>
    <row r="347" spans="1:45" s="181" customFormat="1" x14ac:dyDescent="0.25">
      <c r="A347" s="250" t="str">
        <f t="shared" si="52"/>
        <v/>
      </c>
      <c r="B347" s="251" t="str">
        <f t="shared" si="45"/>
        <v/>
      </c>
      <c r="C347" s="251" t="str">
        <f>IF(B347="","",VLOOKUP(D347,'Species Data'!B:D,4,FALSE))</f>
        <v/>
      </c>
      <c r="D347" s="251" t="str">
        <f t="shared" ca="1" si="46"/>
        <v/>
      </c>
      <c r="E347" s="251" t="str">
        <f t="shared" ca="1" si="47"/>
        <v/>
      </c>
      <c r="F347" s="251" t="str">
        <f t="shared" ca="1" si="48"/>
        <v/>
      </c>
      <c r="G347" s="251" t="str">
        <f t="shared" ca="1" si="49"/>
        <v/>
      </c>
      <c r="H347" s="208" t="str">
        <f ca="1">IF(G347="","",IF(VLOOKUP(VOC!F347,'Species Data'!D:E,3,FALSE)=0,"X",IF(G347&lt;44.1,2,1)))</f>
        <v/>
      </c>
      <c r="I347" s="208" t="str">
        <f t="shared" ca="1" si="50"/>
        <v/>
      </c>
      <c r="J347" s="252" t="str">
        <f ca="1">IF(I347="","",IF(COUNTIF($D$12:D347,D347)=1,IF(H347=1,I347*H347,IF(H347="X","X",0)),0))</f>
        <v/>
      </c>
      <c r="K347" s="253" t="str">
        <f t="shared" ca="1" si="51"/>
        <v/>
      </c>
      <c r="L347" s="244"/>
      <c r="M347" s="217"/>
      <c r="N347" s="217"/>
      <c r="O347" s="218"/>
      <c r="P347" s="217"/>
      <c r="Q347" s="219"/>
      <c r="R347" s="217"/>
      <c r="S347" s="217"/>
      <c r="T347" s="217"/>
      <c r="U347" s="217"/>
      <c r="V347" s="219"/>
      <c r="W347" s="219"/>
      <c r="X347" s="219"/>
      <c r="Y347" s="219"/>
      <c r="Z347" s="219"/>
      <c r="AA347" s="217"/>
      <c r="AB347" s="217"/>
      <c r="AC347" s="217"/>
      <c r="AD347" s="219"/>
      <c r="AE347" s="219"/>
      <c r="AF347" s="219"/>
      <c r="AG347" s="219"/>
      <c r="AH347" s="217"/>
      <c r="AI347" s="217"/>
      <c r="AJ347" s="217"/>
      <c r="AK347" s="217"/>
      <c r="AL347" s="217"/>
      <c r="AM347" s="219"/>
      <c r="AN347" s="219"/>
      <c r="AO347" s="217"/>
      <c r="AP347" s="217"/>
      <c r="AQ347" s="219"/>
      <c r="AR347" s="219"/>
      <c r="AS347" s="217"/>
    </row>
    <row r="348" spans="1:45" s="181" customFormat="1" x14ac:dyDescent="0.25">
      <c r="A348" s="250" t="str">
        <f t="shared" si="52"/>
        <v/>
      </c>
      <c r="B348" s="251" t="str">
        <f t="shared" si="45"/>
        <v/>
      </c>
      <c r="C348" s="251" t="str">
        <f>IF(B348="","",VLOOKUP(D348,'Species Data'!B:D,4,FALSE))</f>
        <v/>
      </c>
      <c r="D348" s="251" t="str">
        <f t="shared" ca="1" si="46"/>
        <v/>
      </c>
      <c r="E348" s="251" t="str">
        <f t="shared" ca="1" si="47"/>
        <v/>
      </c>
      <c r="F348" s="251" t="str">
        <f t="shared" ca="1" si="48"/>
        <v/>
      </c>
      <c r="G348" s="251" t="str">
        <f t="shared" ca="1" si="49"/>
        <v/>
      </c>
      <c r="H348" s="208" t="str">
        <f ca="1">IF(G348="","",IF(VLOOKUP(VOC!F348,'Species Data'!D:E,3,FALSE)=0,"X",IF(G348&lt;44.1,2,1)))</f>
        <v/>
      </c>
      <c r="I348" s="208" t="str">
        <f t="shared" ca="1" si="50"/>
        <v/>
      </c>
      <c r="J348" s="252" t="str">
        <f ca="1">IF(I348="","",IF(COUNTIF($D$12:D348,D348)=1,IF(H348=1,I348*H348,IF(H348="X","X",0)),0))</f>
        <v/>
      </c>
      <c r="K348" s="253" t="str">
        <f t="shared" ca="1" si="51"/>
        <v/>
      </c>
      <c r="L348" s="244"/>
      <c r="M348" s="217"/>
      <c r="N348" s="217"/>
      <c r="O348" s="218"/>
      <c r="P348" s="217"/>
      <c r="Q348" s="219"/>
      <c r="R348" s="217"/>
      <c r="S348" s="217"/>
      <c r="T348" s="217"/>
      <c r="U348" s="217"/>
      <c r="V348" s="219"/>
      <c r="W348" s="219"/>
      <c r="X348" s="219"/>
      <c r="Y348" s="219"/>
      <c r="Z348" s="219"/>
      <c r="AA348" s="217"/>
      <c r="AB348" s="217"/>
      <c r="AC348" s="217"/>
      <c r="AD348" s="219"/>
      <c r="AE348" s="219"/>
      <c r="AF348" s="219"/>
      <c r="AG348" s="219"/>
      <c r="AH348" s="217"/>
      <c r="AI348" s="217"/>
      <c r="AJ348" s="217"/>
      <c r="AK348" s="217"/>
      <c r="AL348" s="217"/>
      <c r="AM348" s="219"/>
      <c r="AN348" s="219"/>
      <c r="AO348" s="217"/>
      <c r="AP348" s="217"/>
      <c r="AQ348" s="219"/>
      <c r="AR348" s="219"/>
      <c r="AS348" s="217"/>
    </row>
    <row r="349" spans="1:45" s="181" customFormat="1" x14ac:dyDescent="0.25">
      <c r="A349" s="250" t="str">
        <f t="shared" si="52"/>
        <v/>
      </c>
      <c r="B349" s="251" t="str">
        <f t="shared" si="45"/>
        <v/>
      </c>
      <c r="C349" s="251" t="str">
        <f>IF(B349="","",VLOOKUP(D349,'Species Data'!B:D,4,FALSE))</f>
        <v/>
      </c>
      <c r="D349" s="251" t="str">
        <f t="shared" ca="1" si="46"/>
        <v/>
      </c>
      <c r="E349" s="251" t="str">
        <f t="shared" ca="1" si="47"/>
        <v/>
      </c>
      <c r="F349" s="251" t="str">
        <f t="shared" ca="1" si="48"/>
        <v/>
      </c>
      <c r="G349" s="251" t="str">
        <f t="shared" ca="1" si="49"/>
        <v/>
      </c>
      <c r="H349" s="208" t="str">
        <f ca="1">IF(G349="","",IF(VLOOKUP(VOC!F349,'Species Data'!D:E,3,FALSE)=0,"X",IF(G349&lt;44.1,2,1)))</f>
        <v/>
      </c>
      <c r="I349" s="208" t="str">
        <f t="shared" ca="1" si="50"/>
        <v/>
      </c>
      <c r="J349" s="252" t="str">
        <f ca="1">IF(I349="","",IF(COUNTIF($D$12:D349,D349)=1,IF(H349=1,I349*H349,IF(H349="X","X",0)),0))</f>
        <v/>
      </c>
      <c r="K349" s="253" t="str">
        <f t="shared" ca="1" si="51"/>
        <v/>
      </c>
      <c r="L349" s="244"/>
      <c r="M349" s="217"/>
      <c r="N349" s="217"/>
      <c r="O349" s="218"/>
      <c r="P349" s="217"/>
      <c r="Q349" s="219"/>
      <c r="R349" s="217"/>
      <c r="S349" s="217"/>
      <c r="T349" s="217"/>
      <c r="U349" s="217"/>
      <c r="V349" s="219"/>
      <c r="W349" s="219"/>
      <c r="X349" s="219"/>
      <c r="Y349" s="219"/>
      <c r="Z349" s="219"/>
      <c r="AA349" s="217"/>
      <c r="AB349" s="217"/>
      <c r="AC349" s="217"/>
      <c r="AD349" s="219"/>
      <c r="AE349" s="219"/>
      <c r="AF349" s="219"/>
      <c r="AG349" s="219"/>
      <c r="AH349" s="217"/>
      <c r="AI349" s="217"/>
      <c r="AJ349" s="217"/>
      <c r="AK349" s="217"/>
      <c r="AL349" s="217"/>
      <c r="AM349" s="219"/>
      <c r="AN349" s="219"/>
      <c r="AO349" s="217"/>
      <c r="AP349" s="217"/>
      <c r="AQ349" s="219"/>
      <c r="AR349" s="219"/>
      <c r="AS349" s="217"/>
    </row>
    <row r="350" spans="1:45" s="181" customFormat="1" x14ac:dyDescent="0.25">
      <c r="A350" s="250" t="str">
        <f t="shared" si="52"/>
        <v/>
      </c>
      <c r="B350" s="251" t="str">
        <f t="shared" si="45"/>
        <v/>
      </c>
      <c r="C350" s="251" t="str">
        <f>IF(B350="","",VLOOKUP(D350,'Species Data'!B:D,4,FALSE))</f>
        <v/>
      </c>
      <c r="D350" s="251" t="str">
        <f t="shared" ca="1" si="46"/>
        <v/>
      </c>
      <c r="E350" s="251" t="str">
        <f t="shared" ca="1" si="47"/>
        <v/>
      </c>
      <c r="F350" s="251" t="str">
        <f t="shared" ca="1" si="48"/>
        <v/>
      </c>
      <c r="G350" s="251" t="str">
        <f t="shared" ca="1" si="49"/>
        <v/>
      </c>
      <c r="H350" s="208" t="str">
        <f ca="1">IF(G350="","",IF(VLOOKUP(VOC!F350,'Species Data'!D:E,3,FALSE)=0,"X",IF(G350&lt;44.1,2,1)))</f>
        <v/>
      </c>
      <c r="I350" s="208" t="str">
        <f t="shared" ca="1" si="50"/>
        <v/>
      </c>
      <c r="J350" s="252" t="str">
        <f ca="1">IF(I350="","",IF(COUNTIF($D$12:D350,D350)=1,IF(H350=1,I350*H350,IF(H350="X","X",0)),0))</f>
        <v/>
      </c>
      <c r="K350" s="253" t="str">
        <f t="shared" ca="1" si="51"/>
        <v/>
      </c>
      <c r="L350" s="244"/>
      <c r="M350" s="217"/>
      <c r="N350" s="217"/>
      <c r="O350" s="218"/>
      <c r="P350" s="217"/>
      <c r="Q350" s="219"/>
      <c r="R350" s="217"/>
      <c r="S350" s="217"/>
      <c r="T350" s="217"/>
      <c r="U350" s="217"/>
      <c r="V350" s="219"/>
      <c r="W350" s="219"/>
      <c r="X350" s="219"/>
      <c r="Y350" s="219"/>
      <c r="Z350" s="219"/>
      <c r="AA350" s="217"/>
      <c r="AB350" s="217"/>
      <c r="AC350" s="217"/>
      <c r="AD350" s="219"/>
      <c r="AE350" s="219"/>
      <c r="AF350" s="219"/>
      <c r="AG350" s="219"/>
      <c r="AH350" s="217"/>
      <c r="AI350" s="217"/>
      <c r="AJ350" s="217"/>
      <c r="AK350" s="217"/>
      <c r="AL350" s="217"/>
      <c r="AM350" s="219"/>
      <c r="AN350" s="219"/>
      <c r="AO350" s="217"/>
      <c r="AP350" s="217"/>
      <c r="AQ350" s="219"/>
      <c r="AR350" s="219"/>
      <c r="AS350" s="217"/>
    </row>
    <row r="351" spans="1:45" s="181" customFormat="1" x14ac:dyDescent="0.25">
      <c r="A351" s="250" t="str">
        <f t="shared" si="52"/>
        <v/>
      </c>
      <c r="B351" s="251" t="str">
        <f t="shared" si="45"/>
        <v/>
      </c>
      <c r="C351" s="251" t="str">
        <f>IF(B351="","",VLOOKUP(D351,'Species Data'!B:D,4,FALSE))</f>
        <v/>
      </c>
      <c r="D351" s="251" t="str">
        <f t="shared" ca="1" si="46"/>
        <v/>
      </c>
      <c r="E351" s="251" t="str">
        <f t="shared" ca="1" si="47"/>
        <v/>
      </c>
      <c r="F351" s="251" t="str">
        <f t="shared" ca="1" si="48"/>
        <v/>
      </c>
      <c r="G351" s="251" t="str">
        <f t="shared" ca="1" si="49"/>
        <v/>
      </c>
      <c r="H351" s="208" t="str">
        <f ca="1">IF(G351="","",IF(VLOOKUP(VOC!F351,'Species Data'!D:E,3,FALSE)=0,"X",IF(G351&lt;44.1,2,1)))</f>
        <v/>
      </c>
      <c r="I351" s="208" t="str">
        <f t="shared" ca="1" si="50"/>
        <v/>
      </c>
      <c r="J351" s="252" t="str">
        <f ca="1">IF(I351="","",IF(COUNTIF($D$12:D351,D351)=1,IF(H351=1,I351*H351,IF(H351="X","X",0)),0))</f>
        <v/>
      </c>
      <c r="K351" s="253" t="str">
        <f t="shared" ca="1" si="51"/>
        <v/>
      </c>
      <c r="L351" s="244"/>
      <c r="M351" s="217"/>
      <c r="N351" s="217"/>
      <c r="O351" s="218"/>
      <c r="P351" s="217"/>
      <c r="Q351" s="219"/>
      <c r="R351" s="217"/>
      <c r="S351" s="217"/>
      <c r="T351" s="217"/>
      <c r="U351" s="217"/>
      <c r="V351" s="219"/>
      <c r="W351" s="219"/>
      <c r="X351" s="219"/>
      <c r="Y351" s="219"/>
      <c r="Z351" s="219"/>
      <c r="AA351" s="217"/>
      <c r="AB351" s="217"/>
      <c r="AC351" s="217"/>
      <c r="AD351" s="219"/>
      <c r="AE351" s="219"/>
      <c r="AF351" s="219"/>
      <c r="AG351" s="219"/>
      <c r="AH351" s="217"/>
      <c r="AI351" s="217"/>
      <c r="AJ351" s="217"/>
      <c r="AK351" s="217"/>
      <c r="AL351" s="217"/>
      <c r="AM351" s="219"/>
      <c r="AN351" s="219"/>
      <c r="AO351" s="217"/>
      <c r="AP351" s="217"/>
      <c r="AQ351" s="219"/>
      <c r="AR351" s="219"/>
      <c r="AS351" s="217"/>
    </row>
    <row r="352" spans="1:45" s="181" customFormat="1" x14ac:dyDescent="0.25">
      <c r="A352" s="250" t="str">
        <f t="shared" si="52"/>
        <v/>
      </c>
      <c r="B352" s="251" t="str">
        <f t="shared" si="45"/>
        <v/>
      </c>
      <c r="C352" s="251" t="str">
        <f>IF(B352="","",VLOOKUP(D352,'Species Data'!B:D,4,FALSE))</f>
        <v/>
      </c>
      <c r="D352" s="251" t="str">
        <f t="shared" ca="1" si="46"/>
        <v/>
      </c>
      <c r="E352" s="251" t="str">
        <f t="shared" ca="1" si="47"/>
        <v/>
      </c>
      <c r="F352" s="251" t="str">
        <f t="shared" ca="1" si="48"/>
        <v/>
      </c>
      <c r="G352" s="251" t="str">
        <f t="shared" ca="1" si="49"/>
        <v/>
      </c>
      <c r="H352" s="208" t="str">
        <f ca="1">IF(G352="","",IF(VLOOKUP(VOC!F352,'Species Data'!D:E,3,FALSE)=0,"X",IF(G352&lt;44.1,2,1)))</f>
        <v/>
      </c>
      <c r="I352" s="208" t="str">
        <f t="shared" ca="1" si="50"/>
        <v/>
      </c>
      <c r="J352" s="252" t="str">
        <f ca="1">IF(I352="","",IF(COUNTIF($D$12:D352,D352)=1,IF(H352=1,I352*H352,IF(H352="X","X",0)),0))</f>
        <v/>
      </c>
      <c r="K352" s="253" t="str">
        <f t="shared" ca="1" si="51"/>
        <v/>
      </c>
      <c r="L352" s="244"/>
      <c r="M352" s="217"/>
      <c r="N352" s="217"/>
      <c r="O352" s="218"/>
      <c r="P352" s="217"/>
      <c r="Q352" s="219"/>
      <c r="R352" s="217"/>
      <c r="S352" s="217"/>
      <c r="T352" s="217"/>
      <c r="U352" s="217"/>
      <c r="V352" s="219"/>
      <c r="W352" s="219"/>
      <c r="X352" s="219"/>
      <c r="Y352" s="219"/>
      <c r="Z352" s="219"/>
      <c r="AA352" s="217"/>
      <c r="AB352" s="217"/>
      <c r="AC352" s="217"/>
      <c r="AD352" s="219"/>
      <c r="AE352" s="219"/>
      <c r="AF352" s="219"/>
      <c r="AG352" s="219"/>
      <c r="AH352" s="217"/>
      <c r="AI352" s="217"/>
      <c r="AJ352" s="217"/>
      <c r="AK352" s="217"/>
      <c r="AL352" s="217"/>
      <c r="AM352" s="219"/>
      <c r="AN352" s="219"/>
      <c r="AO352" s="217"/>
      <c r="AP352" s="217"/>
      <c r="AQ352" s="219"/>
      <c r="AR352" s="219"/>
      <c r="AS352" s="217"/>
    </row>
    <row r="353" spans="1:45" s="181" customFormat="1" x14ac:dyDescent="0.25">
      <c r="A353" s="250" t="str">
        <f t="shared" si="52"/>
        <v/>
      </c>
      <c r="B353" s="251" t="str">
        <f t="shared" si="45"/>
        <v/>
      </c>
      <c r="C353" s="251" t="str">
        <f>IF(B353="","",VLOOKUP(D353,'Species Data'!B:D,4,FALSE))</f>
        <v/>
      </c>
      <c r="D353" s="251" t="str">
        <f t="shared" ca="1" si="46"/>
        <v/>
      </c>
      <c r="E353" s="251" t="str">
        <f t="shared" ca="1" si="47"/>
        <v/>
      </c>
      <c r="F353" s="251" t="str">
        <f t="shared" ca="1" si="48"/>
        <v/>
      </c>
      <c r="G353" s="251" t="str">
        <f t="shared" ca="1" si="49"/>
        <v/>
      </c>
      <c r="H353" s="208" t="str">
        <f ca="1">IF(G353="","",IF(VLOOKUP(VOC!F353,'Species Data'!D:E,3,FALSE)=0,"X",IF(G353&lt;44.1,2,1)))</f>
        <v/>
      </c>
      <c r="I353" s="208" t="str">
        <f t="shared" ca="1" si="50"/>
        <v/>
      </c>
      <c r="J353" s="252" t="str">
        <f ca="1">IF(I353="","",IF(COUNTIF($D$12:D353,D353)=1,IF(H353=1,I353*H353,IF(H353="X","X",0)),0))</f>
        <v/>
      </c>
      <c r="K353" s="253" t="str">
        <f t="shared" ca="1" si="51"/>
        <v/>
      </c>
      <c r="L353" s="244"/>
      <c r="M353" s="217"/>
      <c r="N353" s="217"/>
      <c r="O353" s="218"/>
      <c r="P353" s="217"/>
      <c r="Q353" s="219"/>
      <c r="R353" s="217"/>
      <c r="S353" s="217"/>
      <c r="T353" s="217"/>
      <c r="U353" s="217"/>
      <c r="V353" s="219"/>
      <c r="W353" s="219"/>
      <c r="X353" s="219"/>
      <c r="Y353" s="219"/>
      <c r="Z353" s="219"/>
      <c r="AA353" s="217"/>
      <c r="AB353" s="217"/>
      <c r="AC353" s="217"/>
      <c r="AD353" s="219"/>
      <c r="AE353" s="219"/>
      <c r="AF353" s="219"/>
      <c r="AG353" s="219"/>
      <c r="AH353" s="217"/>
      <c r="AI353" s="217"/>
      <c r="AJ353" s="217"/>
      <c r="AK353" s="217"/>
      <c r="AL353" s="217"/>
      <c r="AM353" s="219"/>
      <c r="AN353" s="219"/>
      <c r="AO353" s="217"/>
      <c r="AP353" s="217"/>
      <c r="AQ353" s="219"/>
      <c r="AR353" s="219"/>
      <c r="AS353" s="217"/>
    </row>
    <row r="354" spans="1:45" s="181" customFormat="1" x14ac:dyDescent="0.25">
      <c r="A354" s="250" t="str">
        <f t="shared" si="52"/>
        <v/>
      </c>
      <c r="B354" s="251" t="str">
        <f t="shared" si="45"/>
        <v/>
      </c>
      <c r="C354" s="251" t="str">
        <f>IF(B354="","",VLOOKUP(D354,'Species Data'!B:D,4,FALSE))</f>
        <v/>
      </c>
      <c r="D354" s="251" t="str">
        <f t="shared" ca="1" si="46"/>
        <v/>
      </c>
      <c r="E354" s="251" t="str">
        <f t="shared" ca="1" si="47"/>
        <v/>
      </c>
      <c r="F354" s="251" t="str">
        <f t="shared" ca="1" si="48"/>
        <v/>
      </c>
      <c r="G354" s="251" t="str">
        <f t="shared" ca="1" si="49"/>
        <v/>
      </c>
      <c r="H354" s="208" t="str">
        <f ca="1">IF(G354="","",IF(VLOOKUP(VOC!F354,'Species Data'!D:E,3,FALSE)=0,"X",IF(G354&lt;44.1,2,1)))</f>
        <v/>
      </c>
      <c r="I354" s="208" t="str">
        <f t="shared" ca="1" si="50"/>
        <v/>
      </c>
      <c r="J354" s="252" t="str">
        <f ca="1">IF(I354="","",IF(COUNTIF($D$12:D354,D354)=1,IF(H354=1,I354*H354,IF(H354="X","X",0)),0))</f>
        <v/>
      </c>
      <c r="K354" s="253" t="str">
        <f t="shared" ca="1" si="51"/>
        <v/>
      </c>
      <c r="L354" s="244"/>
      <c r="M354" s="217"/>
      <c r="N354" s="217"/>
      <c r="O354" s="218"/>
      <c r="P354" s="217"/>
      <c r="Q354" s="219"/>
      <c r="R354" s="217"/>
      <c r="S354" s="217"/>
      <c r="T354" s="217"/>
      <c r="U354" s="217"/>
      <c r="V354" s="219"/>
      <c r="W354" s="219"/>
      <c r="X354" s="219"/>
      <c r="Y354" s="219"/>
      <c r="Z354" s="219"/>
      <c r="AA354" s="217"/>
      <c r="AB354" s="217"/>
      <c r="AC354" s="217"/>
      <c r="AD354" s="219"/>
      <c r="AE354" s="219"/>
      <c r="AF354" s="219"/>
      <c r="AG354" s="219"/>
      <c r="AH354" s="217"/>
      <c r="AI354" s="217"/>
      <c r="AJ354" s="217"/>
      <c r="AK354" s="217"/>
      <c r="AL354" s="217"/>
      <c r="AM354" s="219"/>
      <c r="AN354" s="219"/>
      <c r="AO354" s="217"/>
      <c r="AP354" s="217"/>
      <c r="AQ354" s="219"/>
      <c r="AR354" s="219"/>
      <c r="AS354" s="217"/>
    </row>
    <row r="355" spans="1:45" s="181" customFormat="1" x14ac:dyDescent="0.25">
      <c r="A355" s="250" t="str">
        <f t="shared" si="52"/>
        <v/>
      </c>
      <c r="B355" s="251" t="str">
        <f t="shared" si="45"/>
        <v/>
      </c>
      <c r="C355" s="251" t="str">
        <f>IF(B355="","",VLOOKUP(D355,'Species Data'!B:D,4,FALSE))</f>
        <v/>
      </c>
      <c r="D355" s="251" t="str">
        <f t="shared" ca="1" si="46"/>
        <v/>
      </c>
      <c r="E355" s="251" t="str">
        <f t="shared" ca="1" si="47"/>
        <v/>
      </c>
      <c r="F355" s="251" t="str">
        <f t="shared" ca="1" si="48"/>
        <v/>
      </c>
      <c r="G355" s="251" t="str">
        <f t="shared" ca="1" si="49"/>
        <v/>
      </c>
      <c r="H355" s="208" t="str">
        <f ca="1">IF(G355="","",IF(VLOOKUP(VOC!F355,'Species Data'!D:E,3,FALSE)=0,"X",IF(G355&lt;44.1,2,1)))</f>
        <v/>
      </c>
      <c r="I355" s="208" t="str">
        <f t="shared" ca="1" si="50"/>
        <v/>
      </c>
      <c r="J355" s="252" t="str">
        <f ca="1">IF(I355="","",IF(COUNTIF($D$12:D355,D355)=1,IF(H355=1,I355*H355,IF(H355="X","X",0)),0))</f>
        <v/>
      </c>
      <c r="K355" s="253" t="str">
        <f t="shared" ca="1" si="51"/>
        <v/>
      </c>
      <c r="L355" s="244"/>
      <c r="M355" s="217"/>
      <c r="N355" s="217"/>
      <c r="O355" s="218"/>
      <c r="P355" s="217"/>
      <c r="Q355" s="219"/>
      <c r="R355" s="217"/>
      <c r="S355" s="217"/>
      <c r="T355" s="217"/>
      <c r="U355" s="217"/>
      <c r="V355" s="219"/>
      <c r="W355" s="219"/>
      <c r="X355" s="219"/>
      <c r="Y355" s="219"/>
      <c r="Z355" s="219"/>
      <c r="AA355" s="217"/>
      <c r="AB355" s="217"/>
      <c r="AC355" s="217"/>
      <c r="AD355" s="219"/>
      <c r="AE355" s="219"/>
      <c r="AF355" s="219"/>
      <c r="AG355" s="219"/>
      <c r="AH355" s="217"/>
      <c r="AI355" s="217"/>
      <c r="AJ355" s="217"/>
      <c r="AK355" s="217"/>
      <c r="AL355" s="217"/>
      <c r="AM355" s="219"/>
      <c r="AN355" s="219"/>
      <c r="AO355" s="217"/>
      <c r="AP355" s="217"/>
      <c r="AQ355" s="219"/>
      <c r="AR355" s="219"/>
      <c r="AS355" s="217"/>
    </row>
    <row r="356" spans="1:45" s="181" customFormat="1" x14ac:dyDescent="0.25">
      <c r="A356" s="250" t="str">
        <f t="shared" si="52"/>
        <v/>
      </c>
      <c r="B356" s="251" t="str">
        <f t="shared" si="45"/>
        <v/>
      </c>
      <c r="C356" s="251" t="str">
        <f>IF(B356="","",VLOOKUP(D356,'Species Data'!B:D,4,FALSE))</f>
        <v/>
      </c>
      <c r="D356" s="251" t="str">
        <f t="shared" ca="1" si="46"/>
        <v/>
      </c>
      <c r="E356" s="251" t="str">
        <f t="shared" ca="1" si="47"/>
        <v/>
      </c>
      <c r="F356" s="251" t="str">
        <f t="shared" ca="1" si="48"/>
        <v/>
      </c>
      <c r="G356" s="251" t="str">
        <f t="shared" ca="1" si="49"/>
        <v/>
      </c>
      <c r="H356" s="208" t="str">
        <f ca="1">IF(G356="","",IF(VLOOKUP(VOC!F356,'Species Data'!D:E,3,FALSE)=0,"X",IF(G356&lt;44.1,2,1)))</f>
        <v/>
      </c>
      <c r="I356" s="208" t="str">
        <f t="shared" ca="1" si="50"/>
        <v/>
      </c>
      <c r="J356" s="252" t="str">
        <f ca="1">IF(I356="","",IF(COUNTIF($D$12:D356,D356)=1,IF(H356=1,I356*H356,IF(H356="X","X",0)),0))</f>
        <v/>
      </c>
      <c r="K356" s="253" t="str">
        <f t="shared" ca="1" si="51"/>
        <v/>
      </c>
      <c r="L356" s="244"/>
      <c r="M356" s="217"/>
      <c r="N356" s="217"/>
      <c r="O356" s="218"/>
      <c r="P356" s="217"/>
      <c r="Q356" s="219"/>
      <c r="R356" s="217"/>
      <c r="S356" s="217"/>
      <c r="T356" s="217"/>
      <c r="U356" s="217"/>
      <c r="V356" s="219"/>
      <c r="W356" s="219"/>
      <c r="X356" s="219"/>
      <c r="Y356" s="219"/>
      <c r="Z356" s="219"/>
      <c r="AA356" s="217"/>
      <c r="AB356" s="217"/>
      <c r="AC356" s="217"/>
      <c r="AD356" s="219"/>
      <c r="AE356" s="219"/>
      <c r="AF356" s="219"/>
      <c r="AG356" s="219"/>
      <c r="AH356" s="217"/>
      <c r="AI356" s="217"/>
      <c r="AJ356" s="217"/>
      <c r="AK356" s="217"/>
      <c r="AL356" s="217"/>
      <c r="AM356" s="219"/>
      <c r="AN356" s="219"/>
      <c r="AO356" s="217"/>
      <c r="AP356" s="217"/>
      <c r="AQ356" s="219"/>
      <c r="AR356" s="219"/>
      <c r="AS356" s="217"/>
    </row>
    <row r="357" spans="1:45" s="181" customFormat="1" x14ac:dyDescent="0.25">
      <c r="A357" s="250" t="str">
        <f t="shared" si="52"/>
        <v/>
      </c>
      <c r="B357" s="251" t="str">
        <f t="shared" si="45"/>
        <v/>
      </c>
      <c r="C357" s="251" t="str">
        <f>IF(B357="","",VLOOKUP(D357,'Species Data'!B:D,4,FALSE))</f>
        <v/>
      </c>
      <c r="D357" s="251" t="str">
        <f t="shared" ca="1" si="46"/>
        <v/>
      </c>
      <c r="E357" s="251" t="str">
        <f t="shared" ca="1" si="47"/>
        <v/>
      </c>
      <c r="F357" s="251" t="str">
        <f t="shared" ca="1" si="48"/>
        <v/>
      </c>
      <c r="G357" s="251" t="str">
        <f t="shared" ca="1" si="49"/>
        <v/>
      </c>
      <c r="H357" s="208" t="str">
        <f ca="1">IF(G357="","",IF(VLOOKUP(VOC!F357,'Species Data'!D:E,3,FALSE)=0,"X",IF(G357&lt;44.1,2,1)))</f>
        <v/>
      </c>
      <c r="I357" s="208" t="str">
        <f t="shared" ca="1" si="50"/>
        <v/>
      </c>
      <c r="J357" s="252" t="str">
        <f ca="1">IF(I357="","",IF(COUNTIF($D$12:D357,D357)=1,IF(H357=1,I357*H357,IF(H357="X","X",0)),0))</f>
        <v/>
      </c>
      <c r="K357" s="253" t="str">
        <f t="shared" ca="1" si="51"/>
        <v/>
      </c>
      <c r="L357" s="244"/>
      <c r="M357" s="217"/>
      <c r="N357" s="217"/>
      <c r="O357" s="218"/>
      <c r="P357" s="217"/>
      <c r="Q357" s="219"/>
      <c r="R357" s="217"/>
      <c r="S357" s="217"/>
      <c r="T357" s="217"/>
      <c r="U357" s="217"/>
      <c r="V357" s="219"/>
      <c r="W357" s="219"/>
      <c r="X357" s="219"/>
      <c r="Y357" s="219"/>
      <c r="Z357" s="219"/>
      <c r="AA357" s="217"/>
      <c r="AB357" s="217"/>
      <c r="AC357" s="217"/>
      <c r="AD357" s="219"/>
      <c r="AE357" s="219"/>
      <c r="AF357" s="219"/>
      <c r="AG357" s="219"/>
      <c r="AH357" s="217"/>
      <c r="AI357" s="217"/>
      <c r="AJ357" s="217"/>
      <c r="AK357" s="217"/>
      <c r="AL357" s="217"/>
      <c r="AM357" s="219"/>
      <c r="AN357" s="219"/>
      <c r="AO357" s="217"/>
      <c r="AP357" s="217"/>
      <c r="AQ357" s="219"/>
      <c r="AR357" s="219"/>
      <c r="AS357" s="217"/>
    </row>
    <row r="358" spans="1:45" s="181" customFormat="1" x14ac:dyDescent="0.25">
      <c r="A358" s="250" t="str">
        <f t="shared" si="52"/>
        <v/>
      </c>
      <c r="B358" s="251" t="str">
        <f t="shared" si="45"/>
        <v/>
      </c>
      <c r="C358" s="251" t="str">
        <f>IF(B358="","",VLOOKUP(D358,'Species Data'!B:D,4,FALSE))</f>
        <v/>
      </c>
      <c r="D358" s="251" t="str">
        <f t="shared" ca="1" si="46"/>
        <v/>
      </c>
      <c r="E358" s="251" t="str">
        <f t="shared" ca="1" si="47"/>
        <v/>
      </c>
      <c r="F358" s="251" t="str">
        <f t="shared" ca="1" si="48"/>
        <v/>
      </c>
      <c r="G358" s="251" t="str">
        <f t="shared" ca="1" si="49"/>
        <v/>
      </c>
      <c r="H358" s="208" t="str">
        <f ca="1">IF(G358="","",IF(VLOOKUP(VOC!F358,'Species Data'!D:E,3,FALSE)=0,"X",IF(G358&lt;44.1,2,1)))</f>
        <v/>
      </c>
      <c r="I358" s="208" t="str">
        <f t="shared" ca="1" si="50"/>
        <v/>
      </c>
      <c r="J358" s="252" t="str">
        <f ca="1">IF(I358="","",IF(COUNTIF($D$12:D358,D358)=1,IF(H358=1,I358*H358,IF(H358="X","X",0)),0))</f>
        <v/>
      </c>
      <c r="K358" s="253" t="str">
        <f t="shared" ca="1" si="51"/>
        <v/>
      </c>
      <c r="L358" s="244"/>
      <c r="M358" s="217"/>
      <c r="N358" s="217"/>
      <c r="O358" s="218"/>
      <c r="P358" s="217"/>
      <c r="Q358" s="219"/>
      <c r="R358" s="217"/>
      <c r="S358" s="217"/>
      <c r="T358" s="217"/>
      <c r="U358" s="217"/>
      <c r="V358" s="219"/>
      <c r="W358" s="219"/>
      <c r="X358" s="219"/>
      <c r="Y358" s="219"/>
      <c r="Z358" s="219"/>
      <c r="AA358" s="217"/>
      <c r="AB358" s="217"/>
      <c r="AC358" s="217"/>
      <c r="AD358" s="219"/>
      <c r="AE358" s="219"/>
      <c r="AF358" s="219"/>
      <c r="AG358" s="219"/>
      <c r="AH358" s="217"/>
      <c r="AI358" s="217"/>
      <c r="AJ358" s="217"/>
      <c r="AK358" s="217"/>
      <c r="AL358" s="217"/>
      <c r="AM358" s="219"/>
      <c r="AN358" s="219"/>
      <c r="AO358" s="217"/>
      <c r="AP358" s="217"/>
      <c r="AQ358" s="219"/>
      <c r="AR358" s="219"/>
      <c r="AS358" s="217"/>
    </row>
    <row r="359" spans="1:45" s="181" customFormat="1" x14ac:dyDescent="0.25">
      <c r="A359" s="250" t="str">
        <f t="shared" si="52"/>
        <v/>
      </c>
      <c r="B359" s="251" t="str">
        <f t="shared" si="45"/>
        <v/>
      </c>
      <c r="C359" s="251" t="str">
        <f>IF(B359="","",VLOOKUP(D359,'Species Data'!B:D,4,FALSE))</f>
        <v/>
      </c>
      <c r="D359" s="251" t="str">
        <f t="shared" ca="1" si="46"/>
        <v/>
      </c>
      <c r="E359" s="251" t="str">
        <f t="shared" ca="1" si="47"/>
        <v/>
      </c>
      <c r="F359" s="251" t="str">
        <f t="shared" ca="1" si="48"/>
        <v/>
      </c>
      <c r="G359" s="251" t="str">
        <f t="shared" ca="1" si="49"/>
        <v/>
      </c>
      <c r="H359" s="208" t="str">
        <f ca="1">IF(G359="","",IF(VLOOKUP(VOC!F359,'Species Data'!D:E,3,FALSE)=0,"X",IF(G359&lt;44.1,2,1)))</f>
        <v/>
      </c>
      <c r="I359" s="208" t="str">
        <f t="shared" ca="1" si="50"/>
        <v/>
      </c>
      <c r="J359" s="252" t="str">
        <f ca="1">IF(I359="","",IF(COUNTIF($D$12:D359,D359)=1,IF(H359=1,I359*H359,IF(H359="X","X",0)),0))</f>
        <v/>
      </c>
      <c r="K359" s="253" t="str">
        <f t="shared" ca="1" si="51"/>
        <v/>
      </c>
      <c r="L359" s="244"/>
      <c r="M359" s="217"/>
      <c r="N359" s="217"/>
      <c r="O359" s="218"/>
      <c r="P359" s="217"/>
      <c r="Q359" s="219"/>
      <c r="R359" s="217"/>
      <c r="S359" s="217"/>
      <c r="T359" s="217"/>
      <c r="U359" s="217"/>
      <c r="V359" s="219"/>
      <c r="W359" s="219"/>
      <c r="X359" s="219"/>
      <c r="Y359" s="219"/>
      <c r="Z359" s="219"/>
      <c r="AA359" s="217"/>
      <c r="AB359" s="217"/>
      <c r="AC359" s="217"/>
      <c r="AD359" s="219"/>
      <c r="AE359" s="219"/>
      <c r="AF359" s="219"/>
      <c r="AG359" s="219"/>
      <c r="AH359" s="217"/>
      <c r="AI359" s="217"/>
      <c r="AJ359" s="217"/>
      <c r="AK359" s="217"/>
      <c r="AL359" s="217"/>
      <c r="AM359" s="219"/>
      <c r="AN359" s="219"/>
      <c r="AO359" s="217"/>
      <c r="AP359" s="217"/>
      <c r="AQ359" s="219"/>
      <c r="AR359" s="219"/>
      <c r="AS359" s="217"/>
    </row>
    <row r="360" spans="1:45" s="181" customFormat="1" x14ac:dyDescent="0.25">
      <c r="A360" s="250" t="str">
        <f t="shared" si="52"/>
        <v/>
      </c>
      <c r="B360" s="251" t="str">
        <f t="shared" si="45"/>
        <v/>
      </c>
      <c r="C360" s="251" t="str">
        <f>IF(B360="","",VLOOKUP(D360,'Species Data'!B:D,4,FALSE))</f>
        <v/>
      </c>
      <c r="D360" s="251" t="str">
        <f t="shared" ca="1" si="46"/>
        <v/>
      </c>
      <c r="E360" s="251" t="str">
        <f t="shared" ca="1" si="47"/>
        <v/>
      </c>
      <c r="F360" s="251" t="str">
        <f t="shared" ca="1" si="48"/>
        <v/>
      </c>
      <c r="G360" s="251" t="str">
        <f t="shared" ca="1" si="49"/>
        <v/>
      </c>
      <c r="H360" s="208" t="str">
        <f ca="1">IF(G360="","",IF(VLOOKUP(VOC!F360,'Species Data'!D:E,3,FALSE)=0,"X",IF(G360&lt;44.1,2,1)))</f>
        <v/>
      </c>
      <c r="I360" s="208" t="str">
        <f t="shared" ca="1" si="50"/>
        <v/>
      </c>
      <c r="J360" s="252" t="str">
        <f ca="1">IF(I360="","",IF(COUNTIF($D$12:D360,D360)=1,IF(H360=1,I360*H360,IF(H360="X","X",0)),0))</f>
        <v/>
      </c>
      <c r="K360" s="253" t="str">
        <f t="shared" ca="1" si="51"/>
        <v/>
      </c>
      <c r="L360" s="244"/>
      <c r="M360" s="217"/>
      <c r="N360" s="217"/>
      <c r="O360" s="218"/>
      <c r="P360" s="217"/>
      <c r="Q360" s="219"/>
      <c r="R360" s="217"/>
      <c r="S360" s="217"/>
      <c r="T360" s="217"/>
      <c r="U360" s="217"/>
      <c r="V360" s="219"/>
      <c r="W360" s="219"/>
      <c r="X360" s="219"/>
      <c r="Y360" s="219"/>
      <c r="Z360" s="219"/>
      <c r="AA360" s="217"/>
      <c r="AB360" s="217"/>
      <c r="AC360" s="217"/>
      <c r="AD360" s="219"/>
      <c r="AE360" s="219"/>
      <c r="AF360" s="219"/>
      <c r="AG360" s="219"/>
      <c r="AH360" s="217"/>
      <c r="AI360" s="217"/>
      <c r="AJ360" s="217"/>
      <c r="AK360" s="217"/>
      <c r="AL360" s="217"/>
      <c r="AM360" s="219"/>
      <c r="AN360" s="219"/>
      <c r="AO360" s="217"/>
      <c r="AP360" s="217"/>
      <c r="AQ360" s="219"/>
      <c r="AR360" s="219"/>
      <c r="AS360" s="217"/>
    </row>
    <row r="361" spans="1:45" s="181" customFormat="1" x14ac:dyDescent="0.25">
      <c r="A361" s="250" t="str">
        <f t="shared" si="52"/>
        <v/>
      </c>
      <c r="B361" s="251" t="str">
        <f t="shared" si="45"/>
        <v/>
      </c>
      <c r="C361" s="251" t="str">
        <f>IF(B361="","",VLOOKUP(D361,'Species Data'!B:D,4,FALSE))</f>
        <v/>
      </c>
      <c r="D361" s="251" t="str">
        <f t="shared" ca="1" si="46"/>
        <v/>
      </c>
      <c r="E361" s="251" t="str">
        <f t="shared" ca="1" si="47"/>
        <v/>
      </c>
      <c r="F361" s="251" t="str">
        <f t="shared" ca="1" si="48"/>
        <v/>
      </c>
      <c r="G361" s="251" t="str">
        <f t="shared" ca="1" si="49"/>
        <v/>
      </c>
      <c r="H361" s="208" t="str">
        <f ca="1">IF(G361="","",IF(VLOOKUP(VOC!F361,'Species Data'!D:E,3,FALSE)=0,"X",IF(G361&lt;44.1,2,1)))</f>
        <v/>
      </c>
      <c r="I361" s="208" t="str">
        <f t="shared" ca="1" si="50"/>
        <v/>
      </c>
      <c r="J361" s="252" t="str">
        <f ca="1">IF(I361="","",IF(COUNTIF($D$12:D361,D361)=1,IF(H361=1,I361*H361,IF(H361="X","X",0)),0))</f>
        <v/>
      </c>
      <c r="K361" s="253" t="str">
        <f t="shared" ca="1" si="51"/>
        <v/>
      </c>
      <c r="L361" s="244"/>
      <c r="M361" s="217"/>
      <c r="N361" s="217"/>
      <c r="O361" s="218"/>
      <c r="P361" s="217"/>
      <c r="Q361" s="219"/>
      <c r="R361" s="217"/>
      <c r="S361" s="217"/>
      <c r="T361" s="217"/>
      <c r="U361" s="217"/>
      <c r="V361" s="219"/>
      <c r="W361" s="219"/>
      <c r="X361" s="219"/>
      <c r="Y361" s="219"/>
      <c r="Z361" s="219"/>
      <c r="AA361" s="217"/>
      <c r="AB361" s="217"/>
      <c r="AC361" s="217"/>
      <c r="AD361" s="219"/>
      <c r="AE361" s="219"/>
      <c r="AF361" s="219"/>
      <c r="AG361" s="219"/>
      <c r="AH361" s="217"/>
      <c r="AI361" s="217"/>
      <c r="AJ361" s="217"/>
      <c r="AK361" s="217"/>
      <c r="AL361" s="217"/>
      <c r="AM361" s="219"/>
      <c r="AN361" s="219"/>
      <c r="AO361" s="217"/>
      <c r="AP361" s="217"/>
      <c r="AQ361" s="219"/>
      <c r="AR361" s="219"/>
      <c r="AS361" s="217"/>
    </row>
    <row r="362" spans="1:45" s="181" customFormat="1" x14ac:dyDescent="0.25">
      <c r="A362" s="250" t="str">
        <f t="shared" si="52"/>
        <v/>
      </c>
      <c r="B362" s="251" t="str">
        <f t="shared" si="45"/>
        <v/>
      </c>
      <c r="C362" s="251" t="str">
        <f>IF(B362="","",VLOOKUP(D362,'Species Data'!B:D,4,FALSE))</f>
        <v/>
      </c>
      <c r="D362" s="251" t="str">
        <f t="shared" ca="1" si="46"/>
        <v/>
      </c>
      <c r="E362" s="251" t="str">
        <f t="shared" ca="1" si="47"/>
        <v/>
      </c>
      <c r="F362" s="251" t="str">
        <f t="shared" ca="1" si="48"/>
        <v/>
      </c>
      <c r="G362" s="251" t="str">
        <f t="shared" ca="1" si="49"/>
        <v/>
      </c>
      <c r="H362" s="208" t="str">
        <f ca="1">IF(G362="","",IF(VLOOKUP(VOC!F362,'Species Data'!D:E,3,FALSE)=0,"X",IF(G362&lt;44.1,2,1)))</f>
        <v/>
      </c>
      <c r="I362" s="208" t="str">
        <f t="shared" ca="1" si="50"/>
        <v/>
      </c>
      <c r="J362" s="252" t="str">
        <f ca="1">IF(I362="","",IF(COUNTIF($D$12:D362,D362)=1,IF(H362=1,I362*H362,IF(H362="X","X",0)),0))</f>
        <v/>
      </c>
      <c r="K362" s="253" t="str">
        <f t="shared" ca="1" si="51"/>
        <v/>
      </c>
      <c r="L362" s="244"/>
      <c r="M362" s="217"/>
      <c r="N362" s="217"/>
      <c r="O362" s="218"/>
      <c r="P362" s="217"/>
      <c r="Q362" s="219"/>
      <c r="R362" s="217"/>
      <c r="S362" s="217"/>
      <c r="T362" s="217"/>
      <c r="U362" s="217"/>
      <c r="V362" s="219"/>
      <c r="W362" s="219"/>
      <c r="X362" s="219"/>
      <c r="Y362" s="219"/>
      <c r="Z362" s="219"/>
      <c r="AA362" s="217"/>
      <c r="AB362" s="217"/>
      <c r="AC362" s="217"/>
      <c r="AD362" s="219"/>
      <c r="AE362" s="219"/>
      <c r="AF362" s="219"/>
      <c r="AG362" s="219"/>
      <c r="AH362" s="217"/>
      <c r="AI362" s="217"/>
      <c r="AJ362" s="217"/>
      <c r="AK362" s="217"/>
      <c r="AL362" s="217"/>
      <c r="AM362" s="219"/>
      <c r="AN362" s="219"/>
      <c r="AO362" s="217"/>
      <c r="AP362" s="217"/>
      <c r="AQ362" s="219"/>
      <c r="AR362" s="219"/>
      <c r="AS362" s="217"/>
    </row>
    <row r="363" spans="1:45" s="181" customFormat="1" x14ac:dyDescent="0.25">
      <c r="A363" s="250" t="str">
        <f t="shared" si="52"/>
        <v/>
      </c>
      <c r="B363" s="251" t="str">
        <f t="shared" si="45"/>
        <v/>
      </c>
      <c r="C363" s="251" t="str">
        <f>IF(B363="","",VLOOKUP(D363,'Species Data'!B:D,4,FALSE))</f>
        <v/>
      </c>
      <c r="D363" s="251" t="str">
        <f t="shared" ca="1" si="46"/>
        <v/>
      </c>
      <c r="E363" s="251" t="str">
        <f t="shared" ca="1" si="47"/>
        <v/>
      </c>
      <c r="F363" s="251" t="str">
        <f t="shared" ca="1" si="48"/>
        <v/>
      </c>
      <c r="G363" s="251" t="str">
        <f t="shared" ca="1" si="49"/>
        <v/>
      </c>
      <c r="H363" s="208" t="str">
        <f ca="1">IF(G363="","",IF(VLOOKUP(VOC!F363,'Species Data'!D:E,3,FALSE)=0,"X",IF(G363&lt;44.1,2,1)))</f>
        <v/>
      </c>
      <c r="I363" s="208" t="str">
        <f t="shared" ca="1" si="50"/>
        <v/>
      </c>
      <c r="J363" s="252" t="str">
        <f ca="1">IF(I363="","",IF(COUNTIF($D$12:D363,D363)=1,IF(H363=1,I363*H363,IF(H363="X","X",0)),0))</f>
        <v/>
      </c>
      <c r="K363" s="253" t="str">
        <f t="shared" ca="1" si="51"/>
        <v/>
      </c>
      <c r="L363" s="244"/>
      <c r="M363" s="217"/>
      <c r="N363" s="217"/>
      <c r="O363" s="218"/>
      <c r="P363" s="217"/>
      <c r="Q363" s="219"/>
      <c r="R363" s="217"/>
      <c r="S363" s="217"/>
      <c r="T363" s="217"/>
      <c r="U363" s="217"/>
      <c r="V363" s="219"/>
      <c r="W363" s="219"/>
      <c r="X363" s="219"/>
      <c r="Y363" s="219"/>
      <c r="Z363" s="219"/>
      <c r="AA363" s="217"/>
      <c r="AB363" s="217"/>
      <c r="AC363" s="217"/>
      <c r="AD363" s="219"/>
      <c r="AE363" s="219"/>
      <c r="AF363" s="219"/>
      <c r="AG363" s="219"/>
      <c r="AH363" s="217"/>
      <c r="AI363" s="217"/>
      <c r="AJ363" s="217"/>
      <c r="AK363" s="217"/>
      <c r="AL363" s="217"/>
      <c r="AM363" s="219"/>
      <c r="AN363" s="219"/>
      <c r="AO363" s="217"/>
      <c r="AP363" s="217"/>
      <c r="AQ363" s="219"/>
      <c r="AR363" s="219"/>
      <c r="AS363" s="217"/>
    </row>
    <row r="364" spans="1:45" s="181" customFormat="1" x14ac:dyDescent="0.25">
      <c r="A364" s="250" t="str">
        <f t="shared" si="52"/>
        <v/>
      </c>
      <c r="B364" s="251" t="str">
        <f t="shared" si="45"/>
        <v/>
      </c>
      <c r="C364" s="251" t="str">
        <f>IF(B364="","",VLOOKUP(D364,'Species Data'!B:D,4,FALSE))</f>
        <v/>
      </c>
      <c r="D364" s="251" t="str">
        <f t="shared" ca="1" si="46"/>
        <v/>
      </c>
      <c r="E364" s="251" t="str">
        <f t="shared" ca="1" si="47"/>
        <v/>
      </c>
      <c r="F364" s="251" t="str">
        <f t="shared" ca="1" si="48"/>
        <v/>
      </c>
      <c r="G364" s="251" t="str">
        <f t="shared" ca="1" si="49"/>
        <v/>
      </c>
      <c r="H364" s="208" t="str">
        <f ca="1">IF(G364="","",IF(VLOOKUP(VOC!F364,'Species Data'!D:E,3,FALSE)=0,"X",IF(G364&lt;44.1,2,1)))</f>
        <v/>
      </c>
      <c r="I364" s="208" t="str">
        <f t="shared" ca="1" si="50"/>
        <v/>
      </c>
      <c r="J364" s="252" t="str">
        <f ca="1">IF(I364="","",IF(COUNTIF($D$12:D364,D364)=1,IF(H364=1,I364*H364,IF(H364="X","X",0)),0))</f>
        <v/>
      </c>
      <c r="K364" s="253" t="str">
        <f t="shared" ca="1" si="51"/>
        <v/>
      </c>
      <c r="L364" s="244"/>
      <c r="M364" s="217"/>
      <c r="N364" s="217"/>
      <c r="O364" s="218"/>
      <c r="P364" s="217"/>
      <c r="Q364" s="219"/>
      <c r="R364" s="217"/>
      <c r="S364" s="217"/>
      <c r="T364" s="217"/>
      <c r="U364" s="217"/>
      <c r="V364" s="219"/>
      <c r="W364" s="219"/>
      <c r="X364" s="219"/>
      <c r="Y364" s="219"/>
      <c r="Z364" s="219"/>
      <c r="AA364" s="217"/>
      <c r="AB364" s="217"/>
      <c r="AC364" s="217"/>
      <c r="AD364" s="219"/>
      <c r="AE364" s="219"/>
      <c r="AF364" s="219"/>
      <c r="AG364" s="219"/>
      <c r="AH364" s="217"/>
      <c r="AI364" s="217"/>
      <c r="AJ364" s="217"/>
      <c r="AK364" s="217"/>
      <c r="AL364" s="217"/>
      <c r="AM364" s="219"/>
      <c r="AN364" s="219"/>
      <c r="AO364" s="217"/>
      <c r="AP364" s="217"/>
      <c r="AQ364" s="219"/>
      <c r="AR364" s="219"/>
      <c r="AS364" s="217"/>
    </row>
    <row r="365" spans="1:45" s="181" customFormat="1" x14ac:dyDescent="0.25">
      <c r="A365" s="250" t="str">
        <f t="shared" si="52"/>
        <v/>
      </c>
      <c r="B365" s="251" t="str">
        <f t="shared" si="45"/>
        <v/>
      </c>
      <c r="C365" s="251" t="str">
        <f>IF(B365="","",VLOOKUP(D365,'Species Data'!B:D,4,FALSE))</f>
        <v/>
      </c>
      <c r="D365" s="251" t="str">
        <f t="shared" ca="1" si="46"/>
        <v/>
      </c>
      <c r="E365" s="251" t="str">
        <f t="shared" ca="1" si="47"/>
        <v/>
      </c>
      <c r="F365" s="251" t="str">
        <f t="shared" ca="1" si="48"/>
        <v/>
      </c>
      <c r="G365" s="251" t="str">
        <f t="shared" ca="1" si="49"/>
        <v/>
      </c>
      <c r="H365" s="208" t="str">
        <f ca="1">IF(G365="","",IF(VLOOKUP(VOC!F365,'Species Data'!D:E,3,FALSE)=0,"X",IF(G365&lt;44.1,2,1)))</f>
        <v/>
      </c>
      <c r="I365" s="208" t="str">
        <f t="shared" ca="1" si="50"/>
        <v/>
      </c>
      <c r="J365" s="252" t="str">
        <f ca="1">IF(I365="","",IF(COUNTIF($D$12:D365,D365)=1,IF(H365=1,I365*H365,IF(H365="X","X",0)),0))</f>
        <v/>
      </c>
      <c r="K365" s="253" t="str">
        <f t="shared" ca="1" si="51"/>
        <v/>
      </c>
      <c r="L365" s="244"/>
      <c r="M365" s="217"/>
      <c r="N365" s="217"/>
      <c r="O365" s="218"/>
      <c r="P365" s="217"/>
      <c r="Q365" s="219"/>
      <c r="R365" s="217"/>
      <c r="S365" s="217"/>
      <c r="T365" s="217"/>
      <c r="U365" s="217"/>
      <c r="V365" s="219"/>
      <c r="W365" s="219"/>
      <c r="X365" s="219"/>
      <c r="Y365" s="219"/>
      <c r="Z365" s="219"/>
      <c r="AA365" s="217"/>
      <c r="AB365" s="217"/>
      <c r="AC365" s="217"/>
      <c r="AD365" s="219"/>
      <c r="AE365" s="219"/>
      <c r="AF365" s="219"/>
      <c r="AG365" s="219"/>
      <c r="AH365" s="217"/>
      <c r="AI365" s="217"/>
      <c r="AJ365" s="217"/>
      <c r="AK365" s="217"/>
      <c r="AL365" s="217"/>
      <c r="AM365" s="219"/>
      <c r="AN365" s="219"/>
      <c r="AO365" s="217"/>
      <c r="AP365" s="217"/>
      <c r="AQ365" s="219"/>
      <c r="AR365" s="219"/>
      <c r="AS365" s="217"/>
    </row>
    <row r="366" spans="1:45" s="223" customFormat="1" x14ac:dyDescent="0.25">
      <c r="A366" s="250" t="str">
        <f t="shared" si="52"/>
        <v/>
      </c>
      <c r="B366" s="251" t="str">
        <f t="shared" si="45"/>
        <v/>
      </c>
      <c r="C366" s="251" t="str">
        <f>IF(B366="","",VLOOKUP(D366,'Species Data'!B:D,4,FALSE))</f>
        <v/>
      </c>
      <c r="D366" s="251" t="str">
        <f t="shared" ca="1" si="46"/>
        <v/>
      </c>
      <c r="E366" s="251" t="str">
        <f t="shared" ca="1" si="47"/>
        <v/>
      </c>
      <c r="F366" s="251" t="str">
        <f t="shared" ca="1" si="48"/>
        <v/>
      </c>
      <c r="G366" s="251" t="str">
        <f t="shared" ca="1" si="49"/>
        <v/>
      </c>
      <c r="H366" s="208" t="str">
        <f ca="1">IF(G366="","",IF(VLOOKUP(VOC!F366,'Species Data'!D:E,3,FALSE)=0,"X",IF(G366&lt;44.1,2,1)))</f>
        <v/>
      </c>
      <c r="I366" s="208" t="str">
        <f t="shared" ca="1" si="50"/>
        <v/>
      </c>
      <c r="J366" s="252" t="str">
        <f ca="1">IF(I366="","",IF(COUNTIF($D$12:D366,D366)=1,IF(H366=1,I366*H366,IF(H366="X","X",0)),0))</f>
        <v/>
      </c>
      <c r="K366" s="253" t="str">
        <f t="shared" ca="1" si="51"/>
        <v/>
      </c>
      <c r="L366" s="244"/>
      <c r="M366" s="217"/>
      <c r="N366" s="217"/>
      <c r="O366" s="218"/>
      <c r="P366" s="217"/>
      <c r="Q366" s="219"/>
      <c r="R366" s="217"/>
      <c r="S366" s="217"/>
      <c r="T366" s="217"/>
      <c r="U366" s="217"/>
      <c r="V366" s="219"/>
      <c r="W366" s="219"/>
      <c r="X366" s="219"/>
      <c r="Y366" s="219"/>
      <c r="Z366" s="219"/>
      <c r="AA366" s="217"/>
      <c r="AB366" s="217"/>
      <c r="AC366" s="217"/>
      <c r="AD366" s="219"/>
      <c r="AE366" s="219"/>
      <c r="AF366" s="219"/>
      <c r="AG366" s="219"/>
      <c r="AH366" s="217"/>
      <c r="AI366" s="217"/>
      <c r="AJ366" s="217"/>
      <c r="AK366" s="217"/>
      <c r="AL366" s="217"/>
      <c r="AM366" s="219"/>
      <c r="AN366" s="219"/>
      <c r="AO366" s="217"/>
      <c r="AP366" s="217"/>
      <c r="AQ366" s="219"/>
      <c r="AR366" s="219"/>
      <c r="AS366" s="217"/>
    </row>
    <row r="367" spans="1:45" s="223" customFormat="1" x14ac:dyDescent="0.25">
      <c r="A367" s="250" t="str">
        <f t="shared" si="52"/>
        <v/>
      </c>
      <c r="B367" s="251" t="str">
        <f t="shared" si="45"/>
        <v/>
      </c>
      <c r="C367" s="251" t="str">
        <f>IF(B367="","",VLOOKUP(D367,'Species Data'!B:D,4,FALSE))</f>
        <v/>
      </c>
      <c r="D367" s="251" t="str">
        <f t="shared" ca="1" si="46"/>
        <v/>
      </c>
      <c r="E367" s="251" t="str">
        <f t="shared" ca="1" si="47"/>
        <v/>
      </c>
      <c r="F367" s="251" t="str">
        <f t="shared" ca="1" si="48"/>
        <v/>
      </c>
      <c r="G367" s="251" t="str">
        <f t="shared" ca="1" si="49"/>
        <v/>
      </c>
      <c r="H367" s="208" t="str">
        <f ca="1">IF(G367="","",IF(VLOOKUP(VOC!F367,'Species Data'!D:E,3,FALSE)=0,"X",IF(G367&lt;44.1,2,1)))</f>
        <v/>
      </c>
      <c r="I367" s="208" t="str">
        <f t="shared" ca="1" si="50"/>
        <v/>
      </c>
      <c r="J367" s="252" t="str">
        <f ca="1">IF(I367="","",IF(COUNTIF($D$12:D367,D367)=1,IF(H367=1,I367*H367,IF(H367="X","X",0)),0))</f>
        <v/>
      </c>
      <c r="K367" s="253" t="str">
        <f t="shared" ca="1" si="51"/>
        <v/>
      </c>
      <c r="L367" s="244"/>
      <c r="M367" s="217"/>
      <c r="N367" s="217"/>
      <c r="O367" s="218"/>
      <c r="P367" s="217"/>
      <c r="Q367" s="219"/>
      <c r="R367" s="217"/>
      <c r="S367" s="217"/>
      <c r="T367" s="217"/>
      <c r="U367" s="217"/>
      <c r="V367" s="219"/>
      <c r="W367" s="219"/>
      <c r="X367" s="219"/>
      <c r="Y367" s="219"/>
      <c r="Z367" s="219"/>
      <c r="AA367" s="217"/>
      <c r="AB367" s="217"/>
      <c r="AC367" s="217"/>
      <c r="AD367" s="219"/>
      <c r="AE367" s="219"/>
      <c r="AF367" s="219"/>
      <c r="AG367" s="219"/>
      <c r="AH367" s="217"/>
      <c r="AI367" s="217"/>
      <c r="AJ367" s="217"/>
      <c r="AK367" s="217"/>
      <c r="AL367" s="217"/>
      <c r="AM367" s="219"/>
      <c r="AN367" s="219"/>
      <c r="AO367" s="217"/>
      <c r="AP367" s="217"/>
      <c r="AQ367" s="219"/>
      <c r="AR367" s="219"/>
      <c r="AS367" s="217"/>
    </row>
    <row r="368" spans="1:45" s="223" customFormat="1" x14ac:dyDescent="0.25">
      <c r="A368" s="250" t="str">
        <f t="shared" si="52"/>
        <v/>
      </c>
      <c r="B368" s="251" t="str">
        <f t="shared" si="45"/>
        <v/>
      </c>
      <c r="C368" s="251" t="str">
        <f>IF(B368="","",VLOOKUP(D368,'Species Data'!B:D,4,FALSE))</f>
        <v/>
      </c>
      <c r="D368" s="251" t="str">
        <f t="shared" ca="1" si="46"/>
        <v/>
      </c>
      <c r="E368" s="251" t="str">
        <f t="shared" ca="1" si="47"/>
        <v/>
      </c>
      <c r="F368" s="251" t="str">
        <f t="shared" ca="1" si="48"/>
        <v/>
      </c>
      <c r="G368" s="251" t="str">
        <f t="shared" ca="1" si="49"/>
        <v/>
      </c>
      <c r="H368" s="208" t="str">
        <f ca="1">IF(G368="","",IF(VLOOKUP(VOC!F368,'Species Data'!D:E,3,FALSE)=0,"X",IF(G368&lt;44.1,2,1)))</f>
        <v/>
      </c>
      <c r="I368" s="208" t="str">
        <f t="shared" ca="1" si="50"/>
        <v/>
      </c>
      <c r="J368" s="252" t="str">
        <f ca="1">IF(I368="","",IF(COUNTIF($D$12:D368,D368)=1,IF(H368=1,I368*H368,IF(H368="X","X",0)),0))</f>
        <v/>
      </c>
      <c r="K368" s="253" t="str">
        <f t="shared" ca="1" si="51"/>
        <v/>
      </c>
      <c r="L368" s="244"/>
      <c r="M368" s="217"/>
      <c r="N368" s="217"/>
      <c r="O368" s="218"/>
      <c r="P368" s="217"/>
      <c r="Q368" s="219"/>
      <c r="R368" s="217"/>
      <c r="S368" s="217"/>
      <c r="T368" s="217"/>
      <c r="U368" s="217"/>
      <c r="V368" s="219"/>
      <c r="W368" s="219"/>
      <c r="X368" s="219"/>
      <c r="Y368" s="219"/>
      <c r="Z368" s="219"/>
      <c r="AA368" s="217"/>
      <c r="AB368" s="217"/>
      <c r="AC368" s="217"/>
      <c r="AD368" s="219"/>
      <c r="AE368" s="219"/>
      <c r="AF368" s="219"/>
      <c r="AG368" s="219"/>
      <c r="AH368" s="217"/>
      <c r="AI368" s="217"/>
      <c r="AJ368" s="217"/>
      <c r="AK368" s="217"/>
      <c r="AL368" s="217"/>
      <c r="AM368" s="219"/>
      <c r="AN368" s="219"/>
      <c r="AO368" s="217"/>
      <c r="AP368" s="217"/>
      <c r="AQ368" s="219"/>
      <c r="AR368" s="219"/>
      <c r="AS368" s="217"/>
    </row>
    <row r="369" spans="1:45" s="223" customFormat="1" x14ac:dyDescent="0.25">
      <c r="A369" s="250" t="str">
        <f t="shared" si="52"/>
        <v/>
      </c>
      <c r="B369" s="251" t="str">
        <f t="shared" si="45"/>
        <v/>
      </c>
      <c r="C369" s="251" t="str">
        <f>IF(B369="","",VLOOKUP(D369,'Species Data'!B:D,4,FALSE))</f>
        <v/>
      </c>
      <c r="D369" s="251" t="str">
        <f t="shared" ca="1" si="46"/>
        <v/>
      </c>
      <c r="E369" s="251" t="str">
        <f t="shared" ca="1" si="47"/>
        <v/>
      </c>
      <c r="F369" s="251" t="str">
        <f t="shared" ca="1" si="48"/>
        <v/>
      </c>
      <c r="G369" s="251" t="str">
        <f t="shared" ca="1" si="49"/>
        <v/>
      </c>
      <c r="H369" s="208" t="str">
        <f ca="1">IF(G369="","",IF(VLOOKUP(VOC!F369,'Species Data'!D:E,3,FALSE)=0,"X",IF(G369&lt;44.1,2,1)))</f>
        <v/>
      </c>
      <c r="I369" s="208" t="str">
        <f t="shared" ca="1" si="50"/>
        <v/>
      </c>
      <c r="J369" s="252" t="str">
        <f ca="1">IF(I369="","",IF(COUNTIF($D$12:D369,D369)=1,IF(H369=1,I369*H369,IF(H369="X","X",0)),0))</f>
        <v/>
      </c>
      <c r="K369" s="253" t="str">
        <f t="shared" ca="1" si="51"/>
        <v/>
      </c>
      <c r="L369" s="244"/>
      <c r="M369" s="217"/>
      <c r="N369" s="217"/>
      <c r="O369" s="218"/>
      <c r="P369" s="217"/>
      <c r="Q369" s="219"/>
      <c r="R369" s="217"/>
      <c r="S369" s="217"/>
      <c r="T369" s="217"/>
      <c r="U369" s="217"/>
      <c r="V369" s="219"/>
      <c r="W369" s="219"/>
      <c r="X369" s="219"/>
      <c r="Y369" s="219"/>
      <c r="Z369" s="219"/>
      <c r="AA369" s="217"/>
      <c r="AB369" s="217"/>
      <c r="AC369" s="217"/>
      <c r="AD369" s="219"/>
      <c r="AE369" s="219"/>
      <c r="AF369" s="219"/>
      <c r="AG369" s="219"/>
      <c r="AH369" s="217"/>
      <c r="AI369" s="217"/>
      <c r="AJ369" s="217"/>
      <c r="AK369" s="217"/>
      <c r="AL369" s="217"/>
      <c r="AM369" s="219"/>
      <c r="AN369" s="219"/>
      <c r="AO369" s="217"/>
      <c r="AP369" s="217"/>
      <c r="AQ369" s="219"/>
      <c r="AR369" s="219"/>
      <c r="AS369" s="217"/>
    </row>
    <row r="370" spans="1:45" s="223" customFormat="1" x14ac:dyDescent="0.25">
      <c r="A370" s="250" t="str">
        <f t="shared" si="52"/>
        <v/>
      </c>
      <c r="B370" s="251" t="str">
        <f t="shared" si="45"/>
        <v/>
      </c>
      <c r="C370" s="251" t="str">
        <f>IF(B370="","",VLOOKUP(D370,'Species Data'!B:D,4,FALSE))</f>
        <v/>
      </c>
      <c r="D370" s="251" t="str">
        <f t="shared" ca="1" si="46"/>
        <v/>
      </c>
      <c r="E370" s="251" t="str">
        <f t="shared" ca="1" si="47"/>
        <v/>
      </c>
      <c r="F370" s="251" t="str">
        <f t="shared" ca="1" si="48"/>
        <v/>
      </c>
      <c r="G370" s="251" t="str">
        <f t="shared" ca="1" si="49"/>
        <v/>
      </c>
      <c r="H370" s="208" t="str">
        <f ca="1">IF(G370="","",IF(VLOOKUP(VOC!F370,'Species Data'!D:E,3,FALSE)=0,"X",IF(G370&lt;44.1,2,1)))</f>
        <v/>
      </c>
      <c r="I370" s="208" t="str">
        <f t="shared" ca="1" si="50"/>
        <v/>
      </c>
      <c r="J370" s="252" t="str">
        <f ca="1">IF(I370="","",IF(COUNTIF($D$12:D370,D370)=1,IF(H370=1,I370*H370,IF(H370="X","X",0)),0))</f>
        <v/>
      </c>
      <c r="K370" s="253" t="str">
        <f t="shared" ca="1" si="51"/>
        <v/>
      </c>
      <c r="L370" s="244"/>
      <c r="M370" s="217"/>
      <c r="N370" s="217"/>
      <c r="O370" s="218"/>
      <c r="P370" s="217"/>
      <c r="Q370" s="219"/>
      <c r="R370" s="217"/>
      <c r="S370" s="217"/>
      <c r="T370" s="217"/>
      <c r="U370" s="217"/>
      <c r="V370" s="219"/>
      <c r="W370" s="219"/>
      <c r="X370" s="219"/>
      <c r="Y370" s="219"/>
      <c r="Z370" s="219"/>
      <c r="AA370" s="217"/>
      <c r="AB370" s="217"/>
      <c r="AC370" s="217"/>
      <c r="AD370" s="219"/>
      <c r="AE370" s="219"/>
      <c r="AF370" s="219"/>
      <c r="AG370" s="219"/>
      <c r="AH370" s="217"/>
      <c r="AI370" s="217"/>
      <c r="AJ370" s="217"/>
      <c r="AK370" s="217"/>
      <c r="AL370" s="217"/>
      <c r="AM370" s="219"/>
      <c r="AN370" s="219"/>
      <c r="AO370" s="217"/>
      <c r="AP370" s="217"/>
      <c r="AQ370" s="219"/>
      <c r="AR370" s="219"/>
      <c r="AS370" s="217"/>
    </row>
    <row r="371" spans="1:45" s="223" customFormat="1" x14ac:dyDescent="0.25">
      <c r="A371" s="250" t="str">
        <f t="shared" si="52"/>
        <v/>
      </c>
      <c r="B371" s="251" t="str">
        <f t="shared" si="45"/>
        <v/>
      </c>
      <c r="C371" s="251" t="str">
        <f>IF(B371="","",VLOOKUP(D371,'Species Data'!B:D,4,FALSE))</f>
        <v/>
      </c>
      <c r="D371" s="251" t="str">
        <f t="shared" ca="1" si="46"/>
        <v/>
      </c>
      <c r="E371" s="251" t="str">
        <f t="shared" ca="1" si="47"/>
        <v/>
      </c>
      <c r="F371" s="251" t="str">
        <f t="shared" ca="1" si="48"/>
        <v/>
      </c>
      <c r="G371" s="251" t="str">
        <f t="shared" ca="1" si="49"/>
        <v/>
      </c>
      <c r="H371" s="208" t="str">
        <f ca="1">IF(G371="","",IF(VLOOKUP(VOC!F371,'Species Data'!D:E,3,FALSE)=0,"X",IF(G371&lt;44.1,2,1)))</f>
        <v/>
      </c>
      <c r="I371" s="208" t="str">
        <f t="shared" ca="1" si="50"/>
        <v/>
      </c>
      <c r="J371" s="252" t="str">
        <f ca="1">IF(I371="","",IF(COUNTIF($D$12:D371,D371)=1,IF(H371=1,I371*H371,IF(H371="X","X",0)),0))</f>
        <v/>
      </c>
      <c r="K371" s="253" t="str">
        <f t="shared" ca="1" si="51"/>
        <v/>
      </c>
      <c r="L371" s="244"/>
      <c r="M371" s="217"/>
      <c r="N371" s="217"/>
      <c r="O371" s="218"/>
      <c r="P371" s="217"/>
      <c r="Q371" s="219"/>
      <c r="R371" s="217"/>
      <c r="S371" s="217"/>
      <c r="T371" s="217"/>
      <c r="U371" s="217"/>
      <c r="V371" s="219"/>
      <c r="W371" s="219"/>
      <c r="X371" s="219"/>
      <c r="Y371" s="219"/>
      <c r="Z371" s="219"/>
      <c r="AA371" s="217"/>
      <c r="AB371" s="217"/>
      <c r="AC371" s="217"/>
      <c r="AD371" s="219"/>
      <c r="AE371" s="219"/>
      <c r="AF371" s="219"/>
      <c r="AG371" s="219"/>
      <c r="AH371" s="217"/>
      <c r="AI371" s="217"/>
      <c r="AJ371" s="217"/>
      <c r="AK371" s="217"/>
      <c r="AL371" s="217"/>
      <c r="AM371" s="219"/>
      <c r="AN371" s="219"/>
      <c r="AO371" s="217"/>
      <c r="AP371" s="217"/>
      <c r="AQ371" s="219"/>
      <c r="AR371" s="219"/>
      <c r="AS371" s="217"/>
    </row>
    <row r="372" spans="1:45" s="223" customFormat="1" x14ac:dyDescent="0.25">
      <c r="A372" s="250" t="str">
        <f t="shared" si="52"/>
        <v/>
      </c>
      <c r="B372" s="251" t="str">
        <f t="shared" si="45"/>
        <v/>
      </c>
      <c r="C372" s="251" t="str">
        <f>IF(B372="","",VLOOKUP(D372,'Species Data'!B:D,4,FALSE))</f>
        <v/>
      </c>
      <c r="D372" s="251" t="str">
        <f t="shared" ca="1" si="46"/>
        <v/>
      </c>
      <c r="E372" s="251" t="str">
        <f t="shared" ca="1" si="47"/>
        <v/>
      </c>
      <c r="F372" s="251" t="str">
        <f t="shared" ca="1" si="48"/>
        <v/>
      </c>
      <c r="G372" s="251" t="str">
        <f t="shared" ca="1" si="49"/>
        <v/>
      </c>
      <c r="H372" s="208" t="str">
        <f ca="1">IF(G372="","",IF(VLOOKUP(VOC!F372,'Species Data'!D:E,3,FALSE)=0,"X",IF(G372&lt;44.1,2,1)))</f>
        <v/>
      </c>
      <c r="I372" s="208" t="str">
        <f t="shared" ca="1" si="50"/>
        <v/>
      </c>
      <c r="J372" s="252" t="str">
        <f ca="1">IF(I372="","",IF(COUNTIF($D$12:D372,D372)=1,IF(H372=1,I372*H372,IF(H372="X","X",0)),0))</f>
        <v/>
      </c>
      <c r="K372" s="253" t="str">
        <f t="shared" ca="1" si="51"/>
        <v/>
      </c>
      <c r="L372" s="244"/>
      <c r="M372" s="217"/>
      <c r="N372" s="217"/>
      <c r="O372" s="218"/>
      <c r="P372" s="217"/>
      <c r="Q372" s="219"/>
      <c r="R372" s="217"/>
      <c r="S372" s="217"/>
      <c r="T372" s="217"/>
      <c r="U372" s="217"/>
      <c r="V372" s="219"/>
      <c r="W372" s="219"/>
      <c r="X372" s="219"/>
      <c r="Y372" s="219"/>
      <c r="Z372" s="219"/>
      <c r="AA372" s="217"/>
      <c r="AB372" s="217"/>
      <c r="AC372" s="217"/>
      <c r="AD372" s="219"/>
      <c r="AE372" s="219"/>
      <c r="AF372" s="219"/>
      <c r="AG372" s="219"/>
      <c r="AH372" s="217"/>
      <c r="AI372" s="217"/>
      <c r="AJ372" s="217"/>
      <c r="AK372" s="217"/>
      <c r="AL372" s="217"/>
      <c r="AM372" s="219"/>
      <c r="AN372" s="219"/>
      <c r="AO372" s="217"/>
      <c r="AP372" s="217"/>
      <c r="AQ372" s="219"/>
      <c r="AR372" s="219"/>
      <c r="AS372" s="217"/>
    </row>
    <row r="373" spans="1:45" s="223" customFormat="1" x14ac:dyDescent="0.25">
      <c r="A373" s="250" t="str">
        <f t="shared" si="52"/>
        <v/>
      </c>
      <c r="B373" s="251" t="str">
        <f t="shared" si="45"/>
        <v/>
      </c>
      <c r="C373" s="251" t="str">
        <f>IF(B373="","",VLOOKUP(D373,'Species Data'!B:D,4,FALSE))</f>
        <v/>
      </c>
      <c r="D373" s="251" t="str">
        <f t="shared" ca="1" si="46"/>
        <v/>
      </c>
      <c r="E373" s="251" t="str">
        <f t="shared" ca="1" si="47"/>
        <v/>
      </c>
      <c r="F373" s="251" t="str">
        <f t="shared" ca="1" si="48"/>
        <v/>
      </c>
      <c r="G373" s="251" t="str">
        <f t="shared" ca="1" si="49"/>
        <v/>
      </c>
      <c r="H373" s="208" t="str">
        <f ca="1">IF(G373="","",IF(VLOOKUP(VOC!F373,'Species Data'!D:E,3,FALSE)=0,"X",IF(G373&lt;44.1,2,1)))</f>
        <v/>
      </c>
      <c r="I373" s="208" t="str">
        <f t="shared" ca="1" si="50"/>
        <v/>
      </c>
      <c r="J373" s="252" t="str">
        <f ca="1">IF(I373="","",IF(COUNTIF($D$12:D373,D373)=1,IF(H373=1,I373*H373,IF(H373="X","X",0)),0))</f>
        <v/>
      </c>
      <c r="K373" s="253" t="str">
        <f t="shared" ca="1" si="51"/>
        <v/>
      </c>
      <c r="L373" s="244"/>
      <c r="M373" s="217"/>
      <c r="N373" s="217"/>
      <c r="O373" s="218"/>
      <c r="P373" s="217"/>
      <c r="Q373" s="219"/>
      <c r="R373" s="217"/>
      <c r="S373" s="217"/>
      <c r="T373" s="217"/>
      <c r="U373" s="217"/>
      <c r="V373" s="219"/>
      <c r="W373" s="219"/>
      <c r="X373" s="219"/>
      <c r="Y373" s="219"/>
      <c r="Z373" s="219"/>
      <c r="AA373" s="217"/>
      <c r="AB373" s="217"/>
      <c r="AC373" s="217"/>
      <c r="AD373" s="219"/>
      <c r="AE373" s="219"/>
      <c r="AF373" s="219"/>
      <c r="AG373" s="219"/>
      <c r="AH373" s="217"/>
      <c r="AI373" s="217"/>
      <c r="AJ373" s="217"/>
      <c r="AK373" s="217"/>
      <c r="AL373" s="217"/>
      <c r="AM373" s="219"/>
      <c r="AN373" s="219"/>
      <c r="AO373" s="217"/>
      <c r="AP373" s="217"/>
      <c r="AQ373" s="219"/>
      <c r="AR373" s="219"/>
      <c r="AS373" s="217"/>
    </row>
    <row r="374" spans="1:45" s="223" customFormat="1" x14ac:dyDescent="0.25">
      <c r="A374" s="250" t="str">
        <f t="shared" si="52"/>
        <v/>
      </c>
      <c r="B374" s="251" t="str">
        <f t="shared" si="45"/>
        <v/>
      </c>
      <c r="C374" s="251" t="str">
        <f>IF(B374="","",VLOOKUP(D374,'Species Data'!B:D,4,FALSE))</f>
        <v/>
      </c>
      <c r="D374" s="251" t="str">
        <f t="shared" ca="1" si="46"/>
        <v/>
      </c>
      <c r="E374" s="251" t="str">
        <f t="shared" ca="1" si="47"/>
        <v/>
      </c>
      <c r="F374" s="251" t="str">
        <f t="shared" ca="1" si="48"/>
        <v/>
      </c>
      <c r="G374" s="251" t="str">
        <f t="shared" ca="1" si="49"/>
        <v/>
      </c>
      <c r="H374" s="208" t="str">
        <f ca="1">IF(G374="","",IF(VLOOKUP(VOC!F374,'Species Data'!D:E,3,FALSE)=0,"X",IF(G374&lt;44.1,2,1)))</f>
        <v/>
      </c>
      <c r="I374" s="208" t="str">
        <f t="shared" ca="1" si="50"/>
        <v/>
      </c>
      <c r="J374" s="252" t="str">
        <f ca="1">IF(I374="","",IF(COUNTIF($D$12:D374,D374)=1,IF(H374=1,I374*H374,IF(H374="X","X",0)),0))</f>
        <v/>
      </c>
      <c r="K374" s="253" t="str">
        <f t="shared" ca="1" si="51"/>
        <v/>
      </c>
      <c r="L374" s="244"/>
      <c r="M374" s="217"/>
      <c r="N374" s="217"/>
      <c r="O374" s="218"/>
      <c r="P374" s="217"/>
      <c r="Q374" s="219"/>
      <c r="R374" s="217"/>
      <c r="S374" s="217"/>
      <c r="T374" s="217"/>
      <c r="U374" s="217"/>
      <c r="V374" s="219"/>
      <c r="W374" s="219"/>
      <c r="X374" s="219"/>
      <c r="Y374" s="219"/>
      <c r="Z374" s="219"/>
      <c r="AA374" s="217"/>
      <c r="AB374" s="217"/>
      <c r="AC374" s="217"/>
      <c r="AD374" s="219"/>
      <c r="AE374" s="219"/>
      <c r="AF374" s="219"/>
      <c r="AG374" s="219"/>
      <c r="AH374" s="217"/>
      <c r="AI374" s="217"/>
      <c r="AJ374" s="217"/>
      <c r="AK374" s="217"/>
      <c r="AL374" s="217"/>
      <c r="AM374" s="219"/>
      <c r="AN374" s="219"/>
      <c r="AO374" s="217"/>
      <c r="AP374" s="217"/>
      <c r="AQ374" s="219"/>
      <c r="AR374" s="219"/>
      <c r="AS374" s="217"/>
    </row>
    <row r="375" spans="1:45" s="223" customFormat="1" x14ac:dyDescent="0.25">
      <c r="A375" s="250" t="str">
        <f t="shared" si="52"/>
        <v/>
      </c>
      <c r="B375" s="251" t="str">
        <f t="shared" si="45"/>
        <v/>
      </c>
      <c r="C375" s="251" t="str">
        <f>IF(B375="","",VLOOKUP(D375,'Species Data'!B:D,4,FALSE))</f>
        <v/>
      </c>
      <c r="D375" s="251" t="str">
        <f t="shared" ca="1" si="46"/>
        <v/>
      </c>
      <c r="E375" s="251" t="str">
        <f t="shared" ca="1" si="47"/>
        <v/>
      </c>
      <c r="F375" s="251" t="str">
        <f t="shared" ca="1" si="48"/>
        <v/>
      </c>
      <c r="G375" s="251" t="str">
        <f t="shared" ca="1" si="49"/>
        <v/>
      </c>
      <c r="H375" s="208" t="str">
        <f ca="1">IF(G375="","",IF(VLOOKUP(VOC!F375,'Species Data'!D:E,3,FALSE)=0,"X",IF(G375&lt;44.1,2,1)))</f>
        <v/>
      </c>
      <c r="I375" s="208" t="str">
        <f t="shared" ca="1" si="50"/>
        <v/>
      </c>
      <c r="J375" s="252" t="str">
        <f ca="1">IF(I375="","",IF(COUNTIF($D$12:D375,D375)=1,IF(H375=1,I375*H375,IF(H375="X","X",0)),0))</f>
        <v/>
      </c>
      <c r="K375" s="253" t="str">
        <f t="shared" ca="1" si="51"/>
        <v/>
      </c>
      <c r="L375" s="244"/>
      <c r="M375" s="217"/>
      <c r="N375" s="217"/>
      <c r="O375" s="218"/>
      <c r="P375" s="217"/>
      <c r="Q375" s="219"/>
      <c r="R375" s="217"/>
      <c r="S375" s="217"/>
      <c r="T375" s="217"/>
      <c r="U375" s="217"/>
      <c r="V375" s="219"/>
      <c r="W375" s="219"/>
      <c r="X375" s="219"/>
      <c r="Y375" s="219"/>
      <c r="Z375" s="219"/>
      <c r="AA375" s="217"/>
      <c r="AB375" s="217"/>
      <c r="AC375" s="217"/>
      <c r="AD375" s="219"/>
      <c r="AE375" s="219"/>
      <c r="AF375" s="219"/>
      <c r="AG375" s="219"/>
      <c r="AH375" s="217"/>
      <c r="AI375" s="217"/>
      <c r="AJ375" s="217"/>
      <c r="AK375" s="217"/>
      <c r="AL375" s="217"/>
      <c r="AM375" s="219"/>
      <c r="AN375" s="219"/>
      <c r="AO375" s="217"/>
      <c r="AP375" s="217"/>
      <c r="AQ375" s="219"/>
      <c r="AR375" s="219"/>
      <c r="AS375" s="217"/>
    </row>
    <row r="376" spans="1:45" s="223" customFormat="1" x14ac:dyDescent="0.25">
      <c r="A376" s="250" t="str">
        <f t="shared" si="52"/>
        <v/>
      </c>
      <c r="B376" s="251" t="str">
        <f t="shared" si="45"/>
        <v/>
      </c>
      <c r="C376" s="251" t="str">
        <f>IF(B376="","",VLOOKUP(D376,'Species Data'!B:D,4,FALSE))</f>
        <v/>
      </c>
      <c r="D376" s="251" t="str">
        <f t="shared" ca="1" si="46"/>
        <v/>
      </c>
      <c r="E376" s="251" t="str">
        <f t="shared" ca="1" si="47"/>
        <v/>
      </c>
      <c r="F376" s="251" t="str">
        <f t="shared" ca="1" si="48"/>
        <v/>
      </c>
      <c r="G376" s="251" t="str">
        <f t="shared" ca="1" si="49"/>
        <v/>
      </c>
      <c r="H376" s="208" t="str">
        <f ca="1">IF(G376="","",IF(VLOOKUP(VOC!F376,'Species Data'!D:E,3,FALSE)=0,"X",IF(G376&lt;44.1,2,1)))</f>
        <v/>
      </c>
      <c r="I376" s="208" t="str">
        <f t="shared" ca="1" si="50"/>
        <v/>
      </c>
      <c r="J376" s="252" t="str">
        <f ca="1">IF(I376="","",IF(COUNTIF($D$12:D376,D376)=1,IF(H376=1,I376*H376,IF(H376="X","X",0)),0))</f>
        <v/>
      </c>
      <c r="K376" s="253" t="str">
        <f t="shared" ca="1" si="51"/>
        <v/>
      </c>
      <c r="L376" s="244"/>
      <c r="M376" s="217"/>
      <c r="N376" s="217"/>
      <c r="O376" s="218"/>
      <c r="P376" s="217"/>
      <c r="Q376" s="219"/>
      <c r="R376" s="217"/>
      <c r="S376" s="217"/>
      <c r="T376" s="217"/>
      <c r="U376" s="217"/>
      <c r="V376" s="219"/>
      <c r="W376" s="219"/>
      <c r="X376" s="219"/>
      <c r="Y376" s="219"/>
      <c r="Z376" s="219"/>
      <c r="AA376" s="217"/>
      <c r="AB376" s="217"/>
      <c r="AC376" s="217"/>
      <c r="AD376" s="219"/>
      <c r="AE376" s="219"/>
      <c r="AF376" s="219"/>
      <c r="AG376" s="219"/>
      <c r="AH376" s="217"/>
      <c r="AI376" s="217"/>
      <c r="AJ376" s="217"/>
      <c r="AK376" s="217"/>
      <c r="AL376" s="217"/>
      <c r="AM376" s="219"/>
      <c r="AN376" s="219"/>
      <c r="AO376" s="217"/>
      <c r="AP376" s="217"/>
      <c r="AQ376" s="219"/>
      <c r="AR376" s="219"/>
      <c r="AS376" s="217"/>
    </row>
    <row r="377" spans="1:45" s="223" customFormat="1" x14ac:dyDescent="0.25">
      <c r="A377" s="250" t="str">
        <f t="shared" si="52"/>
        <v/>
      </c>
      <c r="B377" s="251" t="str">
        <f t="shared" si="45"/>
        <v/>
      </c>
      <c r="C377" s="251" t="str">
        <f>IF(B377="","",VLOOKUP(D377,'Species Data'!B:D,4,FALSE))</f>
        <v/>
      </c>
      <c r="D377" s="251" t="str">
        <f t="shared" ca="1" si="46"/>
        <v/>
      </c>
      <c r="E377" s="251" t="str">
        <f t="shared" ca="1" si="47"/>
        <v/>
      </c>
      <c r="F377" s="251" t="str">
        <f t="shared" ca="1" si="48"/>
        <v/>
      </c>
      <c r="G377" s="251" t="str">
        <f t="shared" ca="1" si="49"/>
        <v/>
      </c>
      <c r="H377" s="208" t="str">
        <f ca="1">IF(G377="","",IF(VLOOKUP(VOC!F377,'Species Data'!D:E,3,FALSE)=0,"X",IF(G377&lt;44.1,2,1)))</f>
        <v/>
      </c>
      <c r="I377" s="208" t="str">
        <f t="shared" ca="1" si="50"/>
        <v/>
      </c>
      <c r="J377" s="252" t="str">
        <f ca="1">IF(I377="","",IF(COUNTIF($D$12:D377,D377)=1,IF(H377=1,I377*H377,IF(H377="X","X",0)),0))</f>
        <v/>
      </c>
      <c r="K377" s="253" t="str">
        <f t="shared" ca="1" si="51"/>
        <v/>
      </c>
      <c r="L377" s="244"/>
      <c r="M377" s="217"/>
      <c r="N377" s="217"/>
      <c r="O377" s="218"/>
      <c r="P377" s="217"/>
      <c r="Q377" s="219"/>
      <c r="R377" s="217"/>
      <c r="S377" s="217"/>
      <c r="T377" s="217"/>
      <c r="U377" s="217"/>
      <c r="V377" s="219"/>
      <c r="W377" s="219"/>
      <c r="X377" s="219"/>
      <c r="Y377" s="219"/>
      <c r="Z377" s="219"/>
      <c r="AA377" s="217"/>
      <c r="AB377" s="217"/>
      <c r="AC377" s="217"/>
      <c r="AD377" s="219"/>
      <c r="AE377" s="219"/>
      <c r="AF377" s="219"/>
      <c r="AG377" s="219"/>
      <c r="AH377" s="217"/>
      <c r="AI377" s="217"/>
      <c r="AJ377" s="217"/>
      <c r="AK377" s="217"/>
      <c r="AL377" s="217"/>
      <c r="AM377" s="219"/>
      <c r="AN377" s="219"/>
      <c r="AO377" s="217"/>
      <c r="AP377" s="217"/>
      <c r="AQ377" s="219"/>
      <c r="AR377" s="219"/>
      <c r="AS377" s="217"/>
    </row>
    <row r="378" spans="1:45" s="223" customFormat="1" x14ac:dyDescent="0.25">
      <c r="A378" s="250" t="str">
        <f t="shared" si="52"/>
        <v/>
      </c>
      <c r="B378" s="251" t="str">
        <f t="shared" si="45"/>
        <v/>
      </c>
      <c r="C378" s="251" t="str">
        <f>IF(B378="","",VLOOKUP(D378,'Species Data'!B:D,4,FALSE))</f>
        <v/>
      </c>
      <c r="D378" s="251" t="str">
        <f t="shared" ca="1" si="46"/>
        <v/>
      </c>
      <c r="E378" s="251" t="str">
        <f t="shared" ca="1" si="47"/>
        <v/>
      </c>
      <c r="F378" s="251" t="str">
        <f t="shared" ca="1" si="48"/>
        <v/>
      </c>
      <c r="G378" s="251" t="str">
        <f t="shared" ca="1" si="49"/>
        <v/>
      </c>
      <c r="H378" s="208" t="str">
        <f ca="1">IF(G378="","",IF(VLOOKUP(VOC!F378,'Species Data'!D:E,3,FALSE)=0,"X",IF(G378&lt;44.1,2,1)))</f>
        <v/>
      </c>
      <c r="I378" s="208" t="str">
        <f t="shared" ca="1" si="50"/>
        <v/>
      </c>
      <c r="J378" s="252" t="str">
        <f ca="1">IF(I378="","",IF(COUNTIF($D$12:D378,D378)=1,IF(H378=1,I378*H378,IF(H378="X","X",0)),0))</f>
        <v/>
      </c>
      <c r="K378" s="253" t="str">
        <f t="shared" ca="1" si="51"/>
        <v/>
      </c>
      <c r="L378" s="244"/>
      <c r="M378" s="217"/>
      <c r="N378" s="217"/>
      <c r="O378" s="218"/>
      <c r="P378" s="217"/>
      <c r="Q378" s="219"/>
      <c r="R378" s="217"/>
      <c r="S378" s="217"/>
      <c r="T378" s="217"/>
      <c r="U378" s="217"/>
      <c r="V378" s="219"/>
      <c r="W378" s="219"/>
      <c r="X378" s="219"/>
      <c r="Y378" s="219"/>
      <c r="Z378" s="219"/>
      <c r="AA378" s="217"/>
      <c r="AB378" s="217"/>
      <c r="AC378" s="217"/>
      <c r="AD378" s="219"/>
      <c r="AE378" s="219"/>
      <c r="AF378" s="219"/>
      <c r="AG378" s="219"/>
      <c r="AH378" s="217"/>
      <c r="AI378" s="217"/>
      <c r="AJ378" s="217"/>
      <c r="AK378" s="217"/>
      <c r="AL378" s="217"/>
      <c r="AM378" s="219"/>
      <c r="AN378" s="219"/>
      <c r="AO378" s="217"/>
      <c r="AP378" s="217"/>
      <c r="AQ378" s="219"/>
      <c r="AR378" s="219"/>
      <c r="AS378" s="217"/>
    </row>
    <row r="379" spans="1:45" s="223" customFormat="1" x14ac:dyDescent="0.25">
      <c r="A379" s="250" t="str">
        <f t="shared" si="52"/>
        <v/>
      </c>
      <c r="B379" s="251" t="str">
        <f t="shared" si="45"/>
        <v/>
      </c>
      <c r="C379" s="251" t="str">
        <f>IF(B379="","",VLOOKUP(D379,'Species Data'!B:D,4,FALSE))</f>
        <v/>
      </c>
      <c r="D379" s="251" t="str">
        <f t="shared" ca="1" si="46"/>
        <v/>
      </c>
      <c r="E379" s="251" t="str">
        <f t="shared" ca="1" si="47"/>
        <v/>
      </c>
      <c r="F379" s="251" t="str">
        <f t="shared" ca="1" si="48"/>
        <v/>
      </c>
      <c r="G379" s="251" t="str">
        <f t="shared" ca="1" si="49"/>
        <v/>
      </c>
      <c r="H379" s="208" t="str">
        <f ca="1">IF(G379="","",IF(VLOOKUP(VOC!F379,'Species Data'!D:E,3,FALSE)=0,"X",IF(G379&lt;44.1,2,1)))</f>
        <v/>
      </c>
      <c r="I379" s="208" t="str">
        <f t="shared" ca="1" si="50"/>
        <v/>
      </c>
      <c r="J379" s="252" t="str">
        <f ca="1">IF(I379="","",IF(COUNTIF($D$12:D379,D379)=1,IF(H379=1,I379*H379,IF(H379="X","X",0)),0))</f>
        <v/>
      </c>
      <c r="K379" s="253" t="str">
        <f t="shared" ca="1" si="51"/>
        <v/>
      </c>
      <c r="L379" s="244"/>
      <c r="M379" s="217"/>
      <c r="N379" s="217"/>
      <c r="O379" s="218"/>
      <c r="P379" s="217"/>
      <c r="Q379" s="219"/>
      <c r="R379" s="217"/>
      <c r="S379" s="217"/>
      <c r="T379" s="217"/>
      <c r="U379" s="217"/>
      <c r="V379" s="219"/>
      <c r="W379" s="219"/>
      <c r="X379" s="219"/>
      <c r="Y379" s="219"/>
      <c r="Z379" s="219"/>
      <c r="AA379" s="217"/>
      <c r="AB379" s="217"/>
      <c r="AC379" s="217"/>
      <c r="AD379" s="219"/>
      <c r="AE379" s="219"/>
      <c r="AF379" s="219"/>
      <c r="AG379" s="219"/>
      <c r="AH379" s="217"/>
      <c r="AI379" s="217"/>
      <c r="AJ379" s="217"/>
      <c r="AK379" s="217"/>
      <c r="AL379" s="217"/>
      <c r="AM379" s="219"/>
      <c r="AN379" s="219"/>
      <c r="AO379" s="217"/>
      <c r="AP379" s="217"/>
      <c r="AQ379" s="219"/>
      <c r="AR379" s="219"/>
      <c r="AS379" s="217"/>
    </row>
    <row r="380" spans="1:45" s="223" customFormat="1" x14ac:dyDescent="0.25">
      <c r="A380" s="250" t="str">
        <f t="shared" si="52"/>
        <v/>
      </c>
      <c r="B380" s="251" t="str">
        <f t="shared" si="45"/>
        <v/>
      </c>
      <c r="C380" s="251" t="str">
        <f>IF(B380="","",VLOOKUP(D380,'Species Data'!B:D,4,FALSE))</f>
        <v/>
      </c>
      <c r="D380" s="251" t="str">
        <f t="shared" ca="1" si="46"/>
        <v/>
      </c>
      <c r="E380" s="251" t="str">
        <f t="shared" ca="1" si="47"/>
        <v/>
      </c>
      <c r="F380" s="251" t="str">
        <f t="shared" ca="1" si="48"/>
        <v/>
      </c>
      <c r="G380" s="251" t="str">
        <f t="shared" ca="1" si="49"/>
        <v/>
      </c>
      <c r="H380" s="208" t="str">
        <f ca="1">IF(G380="","",IF(VLOOKUP(VOC!F380,'Species Data'!D:E,3,FALSE)=0,"X",IF(G380&lt;44.1,2,1)))</f>
        <v/>
      </c>
      <c r="I380" s="208" t="str">
        <f t="shared" ca="1" si="50"/>
        <v/>
      </c>
      <c r="J380" s="252" t="str">
        <f ca="1">IF(I380="","",IF(COUNTIF($D$12:D380,D380)=1,IF(H380=1,I380*H380,IF(H380="X","X",0)),0))</f>
        <v/>
      </c>
      <c r="K380" s="253" t="str">
        <f t="shared" ca="1" si="51"/>
        <v/>
      </c>
      <c r="L380" s="244"/>
      <c r="M380" s="217"/>
      <c r="N380" s="217"/>
      <c r="O380" s="218"/>
      <c r="P380" s="217"/>
      <c r="Q380" s="219"/>
      <c r="R380" s="217"/>
      <c r="S380" s="217"/>
      <c r="T380" s="217"/>
      <c r="U380" s="217"/>
      <c r="V380" s="219"/>
      <c r="W380" s="219"/>
      <c r="X380" s="219"/>
      <c r="Y380" s="219"/>
      <c r="Z380" s="219"/>
      <c r="AA380" s="217"/>
      <c r="AB380" s="217"/>
      <c r="AC380" s="217"/>
      <c r="AD380" s="219"/>
      <c r="AE380" s="219"/>
      <c r="AF380" s="219"/>
      <c r="AG380" s="219"/>
      <c r="AH380" s="217"/>
      <c r="AI380" s="217"/>
      <c r="AJ380" s="217"/>
      <c r="AK380" s="217"/>
      <c r="AL380" s="217"/>
      <c r="AM380" s="219"/>
      <c r="AN380" s="219"/>
      <c r="AO380" s="217"/>
      <c r="AP380" s="217"/>
      <c r="AQ380" s="219"/>
      <c r="AR380" s="219"/>
      <c r="AS380" s="217"/>
    </row>
    <row r="381" spans="1:45" s="223" customFormat="1" x14ac:dyDescent="0.25">
      <c r="A381" s="250" t="str">
        <f t="shared" si="52"/>
        <v/>
      </c>
      <c r="B381" s="251" t="str">
        <f t="shared" si="45"/>
        <v/>
      </c>
      <c r="C381" s="251" t="str">
        <f>IF(B381="","",VLOOKUP(D381,'Species Data'!B:D,4,FALSE))</f>
        <v/>
      </c>
      <c r="D381" s="251" t="str">
        <f t="shared" ca="1" si="46"/>
        <v/>
      </c>
      <c r="E381" s="251" t="str">
        <f t="shared" ca="1" si="47"/>
        <v/>
      </c>
      <c r="F381" s="251" t="str">
        <f t="shared" ca="1" si="48"/>
        <v/>
      </c>
      <c r="G381" s="251" t="str">
        <f t="shared" ca="1" si="49"/>
        <v/>
      </c>
      <c r="H381" s="208" t="str">
        <f ca="1">IF(G381="","",IF(VLOOKUP(VOC!F381,'Species Data'!D:E,3,FALSE)=0,"X",IF(G381&lt;44.1,2,1)))</f>
        <v/>
      </c>
      <c r="I381" s="208" t="str">
        <f t="shared" ca="1" si="50"/>
        <v/>
      </c>
      <c r="J381" s="252" t="str">
        <f ca="1">IF(I381="","",IF(COUNTIF($D$12:D381,D381)=1,IF(H381=1,I381*H381,IF(H381="X","X",0)),0))</f>
        <v/>
      </c>
      <c r="K381" s="253" t="str">
        <f t="shared" ca="1" si="51"/>
        <v/>
      </c>
      <c r="L381" s="244"/>
      <c r="M381" s="217"/>
      <c r="N381" s="217"/>
      <c r="O381" s="218"/>
      <c r="P381" s="217"/>
      <c r="Q381" s="219"/>
      <c r="R381" s="217"/>
      <c r="S381" s="217"/>
      <c r="T381" s="217"/>
      <c r="U381" s="217"/>
      <c r="V381" s="219"/>
      <c r="W381" s="219"/>
      <c r="X381" s="219"/>
      <c r="Y381" s="219"/>
      <c r="Z381" s="219"/>
      <c r="AA381" s="217"/>
      <c r="AB381" s="217"/>
      <c r="AC381" s="217"/>
      <c r="AD381" s="219"/>
      <c r="AE381" s="219"/>
      <c r="AF381" s="219"/>
      <c r="AG381" s="219"/>
      <c r="AH381" s="217"/>
      <c r="AI381" s="217"/>
      <c r="AJ381" s="217"/>
      <c r="AK381" s="217"/>
      <c r="AL381" s="217"/>
      <c r="AM381" s="219"/>
      <c r="AN381" s="219"/>
      <c r="AO381" s="217"/>
      <c r="AP381" s="217"/>
      <c r="AQ381" s="219"/>
      <c r="AR381" s="219"/>
      <c r="AS381" s="217"/>
    </row>
    <row r="382" spans="1:45" s="223" customFormat="1" x14ac:dyDescent="0.25">
      <c r="A382" s="250" t="str">
        <f t="shared" si="52"/>
        <v/>
      </c>
      <c r="B382" s="251" t="str">
        <f t="shared" si="45"/>
        <v/>
      </c>
      <c r="C382" s="251" t="str">
        <f>IF(B382="","",VLOOKUP(D382,'Species Data'!B:D,4,FALSE))</f>
        <v/>
      </c>
      <c r="D382" s="251" t="str">
        <f t="shared" ca="1" si="46"/>
        <v/>
      </c>
      <c r="E382" s="251" t="str">
        <f t="shared" ca="1" si="47"/>
        <v/>
      </c>
      <c r="F382" s="251" t="str">
        <f t="shared" ca="1" si="48"/>
        <v/>
      </c>
      <c r="G382" s="251" t="str">
        <f t="shared" ca="1" si="49"/>
        <v/>
      </c>
      <c r="H382" s="208" t="str">
        <f ca="1">IF(G382="","",IF(VLOOKUP(VOC!F382,'Species Data'!D:E,3,FALSE)=0,"X",IF(G382&lt;44.1,2,1)))</f>
        <v/>
      </c>
      <c r="I382" s="208" t="str">
        <f t="shared" ca="1" si="50"/>
        <v/>
      </c>
      <c r="J382" s="252" t="str">
        <f ca="1">IF(I382="","",IF(COUNTIF($D$12:D382,D382)=1,IF(H382=1,I382*H382,IF(H382="X","X",0)),0))</f>
        <v/>
      </c>
      <c r="K382" s="253" t="str">
        <f t="shared" ca="1" si="51"/>
        <v/>
      </c>
      <c r="L382" s="244"/>
      <c r="M382" s="217"/>
      <c r="N382" s="217"/>
      <c r="O382" s="218"/>
      <c r="P382" s="217"/>
      <c r="Q382" s="219"/>
      <c r="R382" s="217"/>
      <c r="S382" s="217"/>
      <c r="T382" s="217"/>
      <c r="U382" s="217"/>
      <c r="V382" s="219"/>
      <c r="W382" s="219"/>
      <c r="X382" s="219"/>
      <c r="Y382" s="219"/>
      <c r="Z382" s="219"/>
      <c r="AA382" s="217"/>
      <c r="AB382" s="217"/>
      <c r="AC382" s="217"/>
      <c r="AD382" s="219"/>
      <c r="AE382" s="219"/>
      <c r="AF382" s="219"/>
      <c r="AG382" s="219"/>
      <c r="AH382" s="217"/>
      <c r="AI382" s="217"/>
      <c r="AJ382" s="217"/>
      <c r="AK382" s="217"/>
      <c r="AL382" s="217"/>
      <c r="AM382" s="219"/>
      <c r="AN382" s="219"/>
      <c r="AO382" s="217"/>
      <c r="AP382" s="217"/>
      <c r="AQ382" s="219"/>
      <c r="AR382" s="219"/>
      <c r="AS382" s="217"/>
    </row>
    <row r="383" spans="1:45" s="223" customFormat="1" x14ac:dyDescent="0.25">
      <c r="A383" s="250" t="str">
        <f t="shared" si="52"/>
        <v/>
      </c>
      <c r="B383" s="251" t="str">
        <f t="shared" si="45"/>
        <v/>
      </c>
      <c r="C383" s="251" t="str">
        <f>IF(B383="","",VLOOKUP(D383,'Species Data'!B:D,4,FALSE))</f>
        <v/>
      </c>
      <c r="D383" s="251" t="str">
        <f t="shared" ca="1" si="46"/>
        <v/>
      </c>
      <c r="E383" s="251" t="str">
        <f t="shared" ca="1" si="47"/>
        <v/>
      </c>
      <c r="F383" s="251" t="str">
        <f t="shared" ca="1" si="48"/>
        <v/>
      </c>
      <c r="G383" s="251" t="str">
        <f t="shared" ca="1" si="49"/>
        <v/>
      </c>
      <c r="H383" s="208" t="str">
        <f ca="1">IF(G383="","",IF(VLOOKUP(VOC!F383,'Species Data'!D:E,3,FALSE)=0,"X",IF(G383&lt;44.1,2,1)))</f>
        <v/>
      </c>
      <c r="I383" s="208" t="str">
        <f t="shared" ca="1" si="50"/>
        <v/>
      </c>
      <c r="J383" s="252" t="str">
        <f ca="1">IF(I383="","",IF(COUNTIF($D$12:D383,D383)=1,IF(H383=1,I383*H383,IF(H383="X","X",0)),0))</f>
        <v/>
      </c>
      <c r="K383" s="253" t="str">
        <f t="shared" ca="1" si="51"/>
        <v/>
      </c>
      <c r="L383" s="244"/>
      <c r="M383" s="217"/>
      <c r="N383" s="217"/>
      <c r="O383" s="218"/>
      <c r="P383" s="217"/>
      <c r="Q383" s="219"/>
      <c r="R383" s="217"/>
      <c r="S383" s="217"/>
      <c r="T383" s="217"/>
      <c r="U383" s="217"/>
      <c r="V383" s="219"/>
      <c r="W383" s="219"/>
      <c r="X383" s="219"/>
      <c r="Y383" s="219"/>
      <c r="Z383" s="219"/>
      <c r="AA383" s="217"/>
      <c r="AB383" s="217"/>
      <c r="AC383" s="217"/>
      <c r="AD383" s="219"/>
      <c r="AE383" s="219"/>
      <c r="AF383" s="219"/>
      <c r="AG383" s="219"/>
      <c r="AH383" s="217"/>
      <c r="AI383" s="217"/>
      <c r="AJ383" s="217"/>
      <c r="AK383" s="217"/>
      <c r="AL383" s="217"/>
      <c r="AM383" s="219"/>
      <c r="AN383" s="219"/>
      <c r="AO383" s="217"/>
      <c r="AP383" s="217"/>
      <c r="AQ383" s="219"/>
      <c r="AR383" s="219"/>
      <c r="AS383" s="217"/>
    </row>
    <row r="384" spans="1:45" s="223" customFormat="1" x14ac:dyDescent="0.25">
      <c r="A384" s="250" t="str">
        <f t="shared" si="52"/>
        <v/>
      </c>
      <c r="B384" s="251" t="str">
        <f t="shared" si="45"/>
        <v/>
      </c>
      <c r="C384" s="251" t="str">
        <f>IF(B384="","",VLOOKUP(D384,'Species Data'!B:D,4,FALSE))</f>
        <v/>
      </c>
      <c r="D384" s="251" t="str">
        <f t="shared" ca="1" si="46"/>
        <v/>
      </c>
      <c r="E384" s="251" t="str">
        <f t="shared" ca="1" si="47"/>
        <v/>
      </c>
      <c r="F384" s="251" t="str">
        <f t="shared" ca="1" si="48"/>
        <v/>
      </c>
      <c r="G384" s="251" t="str">
        <f t="shared" ca="1" si="49"/>
        <v/>
      </c>
      <c r="H384" s="208" t="str">
        <f ca="1">IF(G384="","",IF(VLOOKUP(VOC!F384,'Species Data'!D:E,3,FALSE)=0,"X",IF(G384&lt;44.1,2,1)))</f>
        <v/>
      </c>
      <c r="I384" s="208" t="str">
        <f t="shared" ca="1" si="50"/>
        <v/>
      </c>
      <c r="J384" s="252" t="str">
        <f ca="1">IF(I384="","",IF(COUNTIF($D$12:D384,D384)=1,IF(H384=1,I384*H384,IF(H384="X","X",0)),0))</f>
        <v/>
      </c>
      <c r="K384" s="253" t="str">
        <f t="shared" ca="1" si="51"/>
        <v/>
      </c>
      <c r="L384" s="244"/>
      <c r="M384" s="217"/>
      <c r="N384" s="217"/>
      <c r="O384" s="218"/>
      <c r="P384" s="217"/>
      <c r="Q384" s="219"/>
      <c r="R384" s="217"/>
      <c r="S384" s="217"/>
      <c r="T384" s="217"/>
      <c r="U384" s="217"/>
      <c r="V384" s="219"/>
      <c r="W384" s="219"/>
      <c r="X384" s="219"/>
      <c r="Y384" s="219"/>
      <c r="Z384" s="219"/>
      <c r="AA384" s="217"/>
      <c r="AB384" s="217"/>
      <c r="AC384" s="217"/>
      <c r="AD384" s="219"/>
      <c r="AE384" s="219"/>
      <c r="AF384" s="219"/>
      <c r="AG384" s="219"/>
      <c r="AH384" s="217"/>
      <c r="AI384" s="217"/>
      <c r="AJ384" s="217"/>
      <c r="AK384" s="217"/>
      <c r="AL384" s="217"/>
      <c r="AM384" s="219"/>
      <c r="AN384" s="219"/>
      <c r="AO384" s="217"/>
      <c r="AP384" s="217"/>
      <c r="AQ384" s="219"/>
      <c r="AR384" s="219"/>
      <c r="AS384" s="217"/>
    </row>
    <row r="385" spans="1:45" s="223" customFormat="1" x14ac:dyDescent="0.25">
      <c r="A385" s="250" t="str">
        <f t="shared" si="52"/>
        <v/>
      </c>
      <c r="B385" s="251" t="str">
        <f t="shared" si="45"/>
        <v/>
      </c>
      <c r="C385" s="251" t="str">
        <f>IF(B385="","",VLOOKUP(D385,'Species Data'!B:D,4,FALSE))</f>
        <v/>
      </c>
      <c r="D385" s="251" t="str">
        <f t="shared" ca="1" si="46"/>
        <v/>
      </c>
      <c r="E385" s="251" t="str">
        <f t="shared" ca="1" si="47"/>
        <v/>
      </c>
      <c r="F385" s="251" t="str">
        <f t="shared" ca="1" si="48"/>
        <v/>
      </c>
      <c r="G385" s="251" t="str">
        <f t="shared" ca="1" si="49"/>
        <v/>
      </c>
      <c r="H385" s="208" t="str">
        <f ca="1">IF(G385="","",IF(VLOOKUP(VOC!F385,'Species Data'!D:E,3,FALSE)=0,"X",IF(G385&lt;44.1,2,1)))</f>
        <v/>
      </c>
      <c r="I385" s="208" t="str">
        <f t="shared" ca="1" si="50"/>
        <v/>
      </c>
      <c r="J385" s="252" t="str">
        <f ca="1">IF(I385="","",IF(COUNTIF($D$12:D385,D385)=1,IF(H385=1,I385*H385,IF(H385="X","X",0)),0))</f>
        <v/>
      </c>
      <c r="K385" s="253" t="str">
        <f t="shared" ca="1" si="51"/>
        <v/>
      </c>
      <c r="L385" s="244"/>
      <c r="M385" s="217"/>
      <c r="N385" s="217"/>
      <c r="O385" s="218"/>
      <c r="P385" s="217"/>
      <c r="Q385" s="219"/>
      <c r="R385" s="217"/>
      <c r="S385" s="217"/>
      <c r="T385" s="217"/>
      <c r="U385" s="217"/>
      <c r="V385" s="219"/>
      <c r="W385" s="219"/>
      <c r="X385" s="219"/>
      <c r="Y385" s="219"/>
      <c r="Z385" s="219"/>
      <c r="AA385" s="217"/>
      <c r="AB385" s="217"/>
      <c r="AC385" s="217"/>
      <c r="AD385" s="219"/>
      <c r="AE385" s="219"/>
      <c r="AF385" s="219"/>
      <c r="AG385" s="219"/>
      <c r="AH385" s="217"/>
      <c r="AI385" s="217"/>
      <c r="AJ385" s="217"/>
      <c r="AK385" s="217"/>
      <c r="AL385" s="217"/>
      <c r="AM385" s="219"/>
      <c r="AN385" s="219"/>
      <c r="AO385" s="217"/>
      <c r="AP385" s="217"/>
      <c r="AQ385" s="219"/>
      <c r="AR385" s="219"/>
      <c r="AS385" s="217"/>
    </row>
    <row r="386" spans="1:45" s="223" customFormat="1" x14ac:dyDescent="0.25">
      <c r="A386" s="250" t="str">
        <f t="shared" si="52"/>
        <v/>
      </c>
      <c r="B386" s="251" t="str">
        <f t="shared" si="45"/>
        <v/>
      </c>
      <c r="C386" s="251" t="str">
        <f>IF(B386="","",VLOOKUP(D386,'Species Data'!B:D,4,FALSE))</f>
        <v/>
      </c>
      <c r="D386" s="251" t="str">
        <f t="shared" ca="1" si="46"/>
        <v/>
      </c>
      <c r="E386" s="251" t="str">
        <f t="shared" ca="1" si="47"/>
        <v/>
      </c>
      <c r="F386" s="251" t="str">
        <f t="shared" ca="1" si="48"/>
        <v/>
      </c>
      <c r="G386" s="251" t="str">
        <f t="shared" ca="1" si="49"/>
        <v/>
      </c>
      <c r="H386" s="208" t="str">
        <f ca="1">IF(G386="","",IF(VLOOKUP(VOC!F386,'Species Data'!D:E,3,FALSE)=0,"X",IF(G386&lt;44.1,2,1)))</f>
        <v/>
      </c>
      <c r="I386" s="208" t="str">
        <f t="shared" ca="1" si="50"/>
        <v/>
      </c>
      <c r="J386" s="252" t="str">
        <f ca="1">IF(I386="","",IF(COUNTIF($D$12:D386,D386)=1,IF(H386=1,I386*H386,IF(H386="X","X",0)),0))</f>
        <v/>
      </c>
      <c r="K386" s="253" t="str">
        <f t="shared" ca="1" si="51"/>
        <v/>
      </c>
      <c r="L386" s="244"/>
      <c r="M386" s="217"/>
      <c r="N386" s="217"/>
      <c r="O386" s="218"/>
      <c r="P386" s="217"/>
      <c r="Q386" s="219"/>
      <c r="R386" s="217"/>
      <c r="S386" s="217"/>
      <c r="T386" s="217"/>
      <c r="U386" s="217"/>
      <c r="V386" s="219"/>
      <c r="W386" s="219"/>
      <c r="X386" s="219"/>
      <c r="Y386" s="219"/>
      <c r="Z386" s="219"/>
      <c r="AA386" s="217"/>
      <c r="AB386" s="217"/>
      <c r="AC386" s="217"/>
      <c r="AD386" s="219"/>
      <c r="AE386" s="219"/>
      <c r="AF386" s="219"/>
      <c r="AG386" s="219"/>
      <c r="AH386" s="217"/>
      <c r="AI386" s="217"/>
      <c r="AJ386" s="217"/>
      <c r="AK386" s="217"/>
      <c r="AL386" s="217"/>
      <c r="AM386" s="219"/>
      <c r="AN386" s="219"/>
      <c r="AO386" s="217"/>
      <c r="AP386" s="217"/>
      <c r="AQ386" s="219"/>
      <c r="AR386" s="219"/>
      <c r="AS386" s="217"/>
    </row>
    <row r="387" spans="1:45" s="223" customFormat="1" x14ac:dyDescent="0.25">
      <c r="A387" s="250" t="str">
        <f t="shared" si="52"/>
        <v/>
      </c>
      <c r="B387" s="251" t="str">
        <f t="shared" si="45"/>
        <v/>
      </c>
      <c r="C387" s="251" t="str">
        <f>IF(B387="","",VLOOKUP(D387,'Species Data'!B:D,4,FALSE))</f>
        <v/>
      </c>
      <c r="D387" s="251" t="str">
        <f t="shared" ca="1" si="46"/>
        <v/>
      </c>
      <c r="E387" s="251" t="str">
        <f t="shared" ca="1" si="47"/>
        <v/>
      </c>
      <c r="F387" s="251" t="str">
        <f t="shared" ca="1" si="48"/>
        <v/>
      </c>
      <c r="G387" s="251" t="str">
        <f t="shared" ca="1" si="49"/>
        <v/>
      </c>
      <c r="H387" s="208" t="str">
        <f ca="1">IF(G387="","",IF(VLOOKUP(VOC!F387,'Species Data'!D:E,3,FALSE)=0,"X",IF(G387&lt;44.1,2,1)))</f>
        <v/>
      </c>
      <c r="I387" s="208" t="str">
        <f t="shared" ca="1" si="50"/>
        <v/>
      </c>
      <c r="J387" s="252" t="str">
        <f ca="1">IF(I387="","",IF(COUNTIF($D$12:D387,D387)=1,IF(H387=1,I387*H387,IF(H387="X","X",0)),0))</f>
        <v/>
      </c>
      <c r="K387" s="253" t="str">
        <f t="shared" ca="1" si="51"/>
        <v/>
      </c>
      <c r="L387" s="244"/>
      <c r="M387" s="217"/>
      <c r="N387" s="217"/>
      <c r="O387" s="218"/>
      <c r="P387" s="217"/>
      <c r="Q387" s="219"/>
      <c r="R387" s="217"/>
      <c r="S387" s="217"/>
      <c r="T387" s="217"/>
      <c r="U387" s="217"/>
      <c r="V387" s="219"/>
      <c r="W387" s="219"/>
      <c r="X387" s="219"/>
      <c r="Y387" s="219"/>
      <c r="Z387" s="219"/>
      <c r="AA387" s="217"/>
      <c r="AB387" s="217"/>
      <c r="AC387" s="217"/>
      <c r="AD387" s="219"/>
      <c r="AE387" s="219"/>
      <c r="AF387" s="219"/>
      <c r="AG387" s="219"/>
      <c r="AH387" s="217"/>
      <c r="AI387" s="217"/>
      <c r="AJ387" s="217"/>
      <c r="AK387" s="217"/>
      <c r="AL387" s="217"/>
      <c r="AM387" s="219"/>
      <c r="AN387" s="219"/>
      <c r="AO387" s="217"/>
      <c r="AP387" s="217"/>
      <c r="AQ387" s="219"/>
      <c r="AR387" s="219"/>
      <c r="AS387" s="217"/>
    </row>
    <row r="388" spans="1:45" s="223" customFormat="1" x14ac:dyDescent="0.25">
      <c r="A388" s="250" t="str">
        <f t="shared" si="52"/>
        <v/>
      </c>
      <c r="B388" s="251" t="str">
        <f t="shared" si="45"/>
        <v/>
      </c>
      <c r="C388" s="251" t="str">
        <f>IF(B388="","",VLOOKUP(D388,'Species Data'!B:D,4,FALSE))</f>
        <v/>
      </c>
      <c r="D388" s="251" t="str">
        <f t="shared" ca="1" si="46"/>
        <v/>
      </c>
      <c r="E388" s="251" t="str">
        <f t="shared" ca="1" si="47"/>
        <v/>
      </c>
      <c r="F388" s="251" t="str">
        <f t="shared" ca="1" si="48"/>
        <v/>
      </c>
      <c r="G388" s="251" t="str">
        <f t="shared" ca="1" si="49"/>
        <v/>
      </c>
      <c r="H388" s="208" t="str">
        <f ca="1">IF(G388="","",IF(VLOOKUP(VOC!F388,'Species Data'!D:E,3,FALSE)=0,"X",IF(G388&lt;44.1,2,1)))</f>
        <v/>
      </c>
      <c r="I388" s="208" t="str">
        <f t="shared" ca="1" si="50"/>
        <v/>
      </c>
      <c r="J388" s="252" t="str">
        <f ca="1">IF(I388="","",IF(COUNTIF($D$12:D388,D388)=1,IF(H388=1,I388*H388,IF(H388="X","X",0)),0))</f>
        <v/>
      </c>
      <c r="K388" s="253" t="str">
        <f t="shared" ca="1" si="51"/>
        <v/>
      </c>
      <c r="L388" s="244"/>
      <c r="M388" s="217"/>
      <c r="N388" s="217"/>
      <c r="O388" s="218"/>
      <c r="P388" s="217"/>
      <c r="Q388" s="219"/>
      <c r="R388" s="217"/>
      <c r="S388" s="217"/>
      <c r="T388" s="217"/>
      <c r="U388" s="217"/>
      <c r="V388" s="219"/>
      <c r="W388" s="219"/>
      <c r="X388" s="219"/>
      <c r="Y388" s="219"/>
      <c r="Z388" s="219"/>
      <c r="AA388" s="217"/>
      <c r="AB388" s="217"/>
      <c r="AC388" s="217"/>
      <c r="AD388" s="219"/>
      <c r="AE388" s="219"/>
      <c r="AF388" s="219"/>
      <c r="AG388" s="219"/>
      <c r="AH388" s="217"/>
      <c r="AI388" s="217"/>
      <c r="AJ388" s="217"/>
      <c r="AK388" s="217"/>
      <c r="AL388" s="217"/>
      <c r="AM388" s="219"/>
      <c r="AN388" s="219"/>
      <c r="AO388" s="217"/>
      <c r="AP388" s="217"/>
      <c r="AQ388" s="219"/>
      <c r="AR388" s="219"/>
      <c r="AS388" s="217"/>
    </row>
    <row r="389" spans="1:45" s="223" customFormat="1" x14ac:dyDescent="0.25">
      <c r="A389" s="250" t="str">
        <f t="shared" si="52"/>
        <v/>
      </c>
      <c r="B389" s="251" t="str">
        <f t="shared" si="45"/>
        <v/>
      </c>
      <c r="C389" s="251" t="str">
        <f>IF(B389="","",VLOOKUP(D389,'Species Data'!B:D,4,FALSE))</f>
        <v/>
      </c>
      <c r="D389" s="251" t="str">
        <f t="shared" ca="1" si="46"/>
        <v/>
      </c>
      <c r="E389" s="251" t="str">
        <f t="shared" ca="1" si="47"/>
        <v/>
      </c>
      <c r="F389" s="251" t="str">
        <f t="shared" ca="1" si="48"/>
        <v/>
      </c>
      <c r="G389" s="251" t="str">
        <f t="shared" ca="1" si="49"/>
        <v/>
      </c>
      <c r="H389" s="208" t="str">
        <f ca="1">IF(G389="","",IF(VLOOKUP(VOC!F389,'Species Data'!D:E,3,FALSE)=0,"X",IF(G389&lt;44.1,2,1)))</f>
        <v/>
      </c>
      <c r="I389" s="208" t="str">
        <f t="shared" ca="1" si="50"/>
        <v/>
      </c>
      <c r="J389" s="252" t="str">
        <f ca="1">IF(I389="","",IF(COUNTIF($D$12:D389,D389)=1,IF(H389=1,I389*H389,IF(H389="X","X",0)),0))</f>
        <v/>
      </c>
      <c r="K389" s="253" t="str">
        <f t="shared" ca="1" si="51"/>
        <v/>
      </c>
      <c r="L389" s="244"/>
      <c r="M389" s="217"/>
      <c r="N389" s="217"/>
      <c r="O389" s="218"/>
      <c r="P389" s="217"/>
      <c r="Q389" s="219"/>
      <c r="R389" s="217"/>
      <c r="S389" s="217"/>
      <c r="T389" s="217"/>
      <c r="U389" s="217"/>
      <c r="V389" s="219"/>
      <c r="W389" s="219"/>
      <c r="X389" s="219"/>
      <c r="Y389" s="219"/>
      <c r="Z389" s="219"/>
      <c r="AA389" s="217"/>
      <c r="AB389" s="217"/>
      <c r="AC389" s="217"/>
      <c r="AD389" s="219"/>
      <c r="AE389" s="219"/>
      <c r="AF389" s="219"/>
      <c r="AG389" s="219"/>
      <c r="AH389" s="217"/>
      <c r="AI389" s="217"/>
      <c r="AJ389" s="217"/>
      <c r="AK389" s="217"/>
      <c r="AL389" s="217"/>
      <c r="AM389" s="219"/>
      <c r="AN389" s="219"/>
      <c r="AO389" s="217"/>
      <c r="AP389" s="217"/>
      <c r="AQ389" s="219"/>
      <c r="AR389" s="219"/>
      <c r="AS389" s="217"/>
    </row>
    <row r="390" spans="1:45" s="223" customFormat="1" x14ac:dyDescent="0.25">
      <c r="A390" s="250" t="str">
        <f t="shared" si="52"/>
        <v/>
      </c>
      <c r="B390" s="251" t="str">
        <f t="shared" si="45"/>
        <v/>
      </c>
      <c r="C390" s="251" t="str">
        <f>IF(B390="","",VLOOKUP(D390,'Species Data'!B:D,4,FALSE))</f>
        <v/>
      </c>
      <c r="D390" s="251" t="str">
        <f t="shared" ca="1" si="46"/>
        <v/>
      </c>
      <c r="E390" s="251" t="str">
        <f t="shared" ca="1" si="47"/>
        <v/>
      </c>
      <c r="F390" s="251" t="str">
        <f t="shared" ca="1" si="48"/>
        <v/>
      </c>
      <c r="G390" s="251" t="str">
        <f t="shared" ca="1" si="49"/>
        <v/>
      </c>
      <c r="H390" s="208" t="str">
        <f ca="1">IF(G390="","",IF(VLOOKUP(VOC!F390,'Species Data'!D:E,3,FALSE)=0,"X",IF(G390&lt;44.1,2,1)))</f>
        <v/>
      </c>
      <c r="I390" s="208" t="str">
        <f t="shared" ca="1" si="50"/>
        <v/>
      </c>
      <c r="J390" s="252" t="str">
        <f ca="1">IF(I390="","",IF(COUNTIF($D$12:D390,D390)=1,IF(H390=1,I390*H390,IF(H390="X","X",0)),0))</f>
        <v/>
      </c>
      <c r="K390" s="253" t="str">
        <f t="shared" ca="1" si="51"/>
        <v/>
      </c>
      <c r="L390" s="244"/>
      <c r="M390" s="217"/>
      <c r="N390" s="217"/>
      <c r="O390" s="218"/>
      <c r="P390" s="217"/>
      <c r="Q390" s="219"/>
      <c r="R390" s="217"/>
      <c r="S390" s="217"/>
      <c r="T390" s="217"/>
      <c r="U390" s="217"/>
      <c r="V390" s="219"/>
      <c r="W390" s="219"/>
      <c r="X390" s="219"/>
      <c r="Y390" s="219"/>
      <c r="Z390" s="219"/>
      <c r="AA390" s="217"/>
      <c r="AB390" s="217"/>
      <c r="AC390" s="217"/>
      <c r="AD390" s="219"/>
      <c r="AE390" s="219"/>
      <c r="AF390" s="219"/>
      <c r="AG390" s="219"/>
      <c r="AH390" s="217"/>
      <c r="AI390" s="217"/>
      <c r="AJ390" s="217"/>
      <c r="AK390" s="217"/>
      <c r="AL390" s="217"/>
      <c r="AM390" s="219"/>
      <c r="AN390" s="219"/>
      <c r="AO390" s="217"/>
      <c r="AP390" s="217"/>
      <c r="AQ390" s="219"/>
      <c r="AR390" s="219"/>
      <c r="AS390" s="217"/>
    </row>
    <row r="391" spans="1:45" s="223" customFormat="1" x14ac:dyDescent="0.25">
      <c r="A391" s="250" t="str">
        <f t="shared" si="52"/>
        <v/>
      </c>
      <c r="B391" s="251" t="str">
        <f t="shared" si="45"/>
        <v/>
      </c>
      <c r="C391" s="251" t="str">
        <f>IF(B391="","",VLOOKUP(D391,'Species Data'!B:D,4,FALSE))</f>
        <v/>
      </c>
      <c r="D391" s="251" t="str">
        <f t="shared" ca="1" si="46"/>
        <v/>
      </c>
      <c r="E391" s="251" t="str">
        <f t="shared" ca="1" si="47"/>
        <v/>
      </c>
      <c r="F391" s="251" t="str">
        <f t="shared" ca="1" si="48"/>
        <v/>
      </c>
      <c r="G391" s="251" t="str">
        <f t="shared" ca="1" si="49"/>
        <v/>
      </c>
      <c r="H391" s="208" t="str">
        <f ca="1">IF(G391="","",IF(VLOOKUP(VOC!F391,'Species Data'!D:E,3,FALSE)=0,"X",IF(G391&lt;44.1,2,1)))</f>
        <v/>
      </c>
      <c r="I391" s="208" t="str">
        <f t="shared" ca="1" si="50"/>
        <v/>
      </c>
      <c r="J391" s="252" t="str">
        <f ca="1">IF(I391="","",IF(COUNTIF($D$12:D391,D391)=1,IF(H391=1,I391*H391,IF(H391="X","X",0)),0))</f>
        <v/>
      </c>
      <c r="K391" s="253" t="str">
        <f t="shared" ca="1" si="51"/>
        <v/>
      </c>
      <c r="L391" s="244"/>
      <c r="M391" s="217"/>
      <c r="N391" s="217"/>
      <c r="O391" s="218"/>
      <c r="P391" s="217"/>
      <c r="Q391" s="219"/>
      <c r="R391" s="217"/>
      <c r="S391" s="217"/>
      <c r="T391" s="217"/>
      <c r="U391" s="217"/>
      <c r="V391" s="219"/>
      <c r="W391" s="219"/>
      <c r="X391" s="219"/>
      <c r="Y391" s="219"/>
      <c r="Z391" s="219"/>
      <c r="AA391" s="217"/>
      <c r="AB391" s="217"/>
      <c r="AC391" s="217"/>
      <c r="AD391" s="219"/>
      <c r="AE391" s="219"/>
      <c r="AF391" s="219"/>
      <c r="AG391" s="219"/>
      <c r="AH391" s="217"/>
      <c r="AI391" s="217"/>
      <c r="AJ391" s="217"/>
      <c r="AK391" s="217"/>
      <c r="AL391" s="217"/>
      <c r="AM391" s="219"/>
      <c r="AN391" s="219"/>
      <c r="AO391" s="217"/>
      <c r="AP391" s="217"/>
      <c r="AQ391" s="219"/>
      <c r="AR391" s="219"/>
      <c r="AS391" s="217"/>
    </row>
    <row r="392" spans="1:45" s="223" customFormat="1" x14ac:dyDescent="0.25">
      <c r="A392" s="250" t="str">
        <f t="shared" si="52"/>
        <v/>
      </c>
      <c r="B392" s="251" t="str">
        <f t="shared" si="45"/>
        <v/>
      </c>
      <c r="C392" s="251" t="str">
        <f>IF(B392="","",VLOOKUP(D392,'Species Data'!B:D,4,FALSE))</f>
        <v/>
      </c>
      <c r="D392" s="251" t="str">
        <f t="shared" ca="1" si="46"/>
        <v/>
      </c>
      <c r="E392" s="251" t="str">
        <f t="shared" ca="1" si="47"/>
        <v/>
      </c>
      <c r="F392" s="251" t="str">
        <f t="shared" ca="1" si="48"/>
        <v/>
      </c>
      <c r="G392" s="251" t="str">
        <f t="shared" ca="1" si="49"/>
        <v/>
      </c>
      <c r="H392" s="208" t="str">
        <f ca="1">IF(G392="","",IF(VLOOKUP(VOC!F392,'Species Data'!D:E,3,FALSE)=0,"X",IF(G392&lt;44.1,2,1)))</f>
        <v/>
      </c>
      <c r="I392" s="208" t="str">
        <f t="shared" ca="1" si="50"/>
        <v/>
      </c>
      <c r="J392" s="252" t="str">
        <f ca="1">IF(I392="","",IF(COUNTIF($D$12:D392,D392)=1,IF(H392=1,I392*H392,IF(H392="X","X",0)),0))</f>
        <v/>
      </c>
      <c r="K392" s="253" t="str">
        <f t="shared" ca="1" si="51"/>
        <v/>
      </c>
      <c r="L392" s="244"/>
      <c r="M392" s="217"/>
      <c r="N392" s="217"/>
      <c r="O392" s="218"/>
      <c r="P392" s="217"/>
      <c r="Q392" s="219"/>
      <c r="R392" s="217"/>
      <c r="S392" s="217"/>
      <c r="T392" s="217"/>
      <c r="U392" s="217"/>
      <c r="V392" s="219"/>
      <c r="W392" s="219"/>
      <c r="X392" s="219"/>
      <c r="Y392" s="219"/>
      <c r="Z392" s="219"/>
      <c r="AA392" s="217"/>
      <c r="AB392" s="217"/>
      <c r="AC392" s="217"/>
      <c r="AD392" s="219"/>
      <c r="AE392" s="219"/>
      <c r="AF392" s="219"/>
      <c r="AG392" s="219"/>
      <c r="AH392" s="217"/>
      <c r="AI392" s="217"/>
      <c r="AJ392" s="217"/>
      <c r="AK392" s="217"/>
      <c r="AL392" s="217"/>
      <c r="AM392" s="219"/>
      <c r="AN392" s="219"/>
      <c r="AO392" s="217"/>
      <c r="AP392" s="217"/>
      <c r="AQ392" s="219"/>
      <c r="AR392" s="219"/>
      <c r="AS392" s="217"/>
    </row>
    <row r="393" spans="1:45" s="223" customFormat="1" x14ac:dyDescent="0.25">
      <c r="A393" s="250" t="str">
        <f t="shared" si="52"/>
        <v/>
      </c>
      <c r="B393" s="251" t="str">
        <f t="shared" si="45"/>
        <v/>
      </c>
      <c r="C393" s="251" t="str">
        <f>IF(B393="","",VLOOKUP(D393,'Species Data'!B:D,4,FALSE))</f>
        <v/>
      </c>
      <c r="D393" s="251" t="str">
        <f t="shared" ca="1" si="46"/>
        <v/>
      </c>
      <c r="E393" s="251" t="str">
        <f t="shared" ca="1" si="47"/>
        <v/>
      </c>
      <c r="F393" s="251" t="str">
        <f t="shared" ca="1" si="48"/>
        <v/>
      </c>
      <c r="G393" s="251" t="str">
        <f t="shared" ca="1" si="49"/>
        <v/>
      </c>
      <c r="H393" s="208" t="str">
        <f ca="1">IF(G393="","",IF(VLOOKUP(VOC!F393,'Species Data'!D:E,3,FALSE)=0,"X",IF(G393&lt;44.1,2,1)))</f>
        <v/>
      </c>
      <c r="I393" s="208" t="str">
        <f t="shared" ca="1" si="50"/>
        <v/>
      </c>
      <c r="J393" s="252" t="str">
        <f ca="1">IF(I393="","",IF(COUNTIF($D$12:D393,D393)=1,IF(H393=1,I393*H393,IF(H393="X","X",0)),0))</f>
        <v/>
      </c>
      <c r="K393" s="253" t="str">
        <f t="shared" ca="1" si="51"/>
        <v/>
      </c>
      <c r="L393" s="244"/>
      <c r="M393" s="217"/>
      <c r="N393" s="217"/>
      <c r="O393" s="218"/>
      <c r="P393" s="217"/>
      <c r="Q393" s="219"/>
      <c r="R393" s="217"/>
      <c r="S393" s="217"/>
      <c r="T393" s="217"/>
      <c r="U393" s="217"/>
      <c r="V393" s="219"/>
      <c r="W393" s="219"/>
      <c r="X393" s="219"/>
      <c r="Y393" s="219"/>
      <c r="Z393" s="219"/>
      <c r="AA393" s="217"/>
      <c r="AB393" s="217"/>
      <c r="AC393" s="217"/>
      <c r="AD393" s="219"/>
      <c r="AE393" s="219"/>
      <c r="AF393" s="219"/>
      <c r="AG393" s="219"/>
      <c r="AH393" s="217"/>
      <c r="AI393" s="217"/>
      <c r="AJ393" s="217"/>
      <c r="AK393" s="217"/>
      <c r="AL393" s="217"/>
      <c r="AM393" s="219"/>
      <c r="AN393" s="219"/>
      <c r="AO393" s="217"/>
      <c r="AP393" s="217"/>
      <c r="AQ393" s="219"/>
      <c r="AR393" s="219"/>
      <c r="AS393" s="217"/>
    </row>
    <row r="394" spans="1:45" s="223" customFormat="1" x14ac:dyDescent="0.25">
      <c r="A394" s="250" t="str">
        <f t="shared" si="52"/>
        <v/>
      </c>
      <c r="B394" s="251" t="str">
        <f t="shared" si="45"/>
        <v/>
      </c>
      <c r="C394" s="251" t="str">
        <f>IF(B394="","",VLOOKUP(D394,'Species Data'!B:D,4,FALSE))</f>
        <v/>
      </c>
      <c r="D394" s="251" t="str">
        <f t="shared" ca="1" si="46"/>
        <v/>
      </c>
      <c r="E394" s="251" t="str">
        <f t="shared" ca="1" si="47"/>
        <v/>
      </c>
      <c r="F394" s="251" t="str">
        <f t="shared" ca="1" si="48"/>
        <v/>
      </c>
      <c r="G394" s="251" t="str">
        <f t="shared" ca="1" si="49"/>
        <v/>
      </c>
      <c r="H394" s="208" t="str">
        <f ca="1">IF(G394="","",IF(VLOOKUP(VOC!F394,'Species Data'!D:E,3,FALSE)=0,"X",IF(G394&lt;44.1,2,1)))</f>
        <v/>
      </c>
      <c r="I394" s="208" t="str">
        <f t="shared" ca="1" si="50"/>
        <v/>
      </c>
      <c r="J394" s="252" t="str">
        <f ca="1">IF(I394="","",IF(COUNTIF($D$12:D394,D394)=1,IF(H394=1,I394*H394,IF(H394="X","X",0)),0))</f>
        <v/>
      </c>
      <c r="K394" s="253" t="str">
        <f t="shared" ca="1" si="51"/>
        <v/>
      </c>
      <c r="L394" s="244"/>
      <c r="M394" s="217"/>
      <c r="N394" s="217"/>
      <c r="O394" s="218"/>
      <c r="P394" s="217"/>
      <c r="Q394" s="219"/>
      <c r="R394" s="217"/>
      <c r="S394" s="217"/>
      <c r="T394" s="217"/>
      <c r="U394" s="217"/>
      <c r="V394" s="219"/>
      <c r="W394" s="219"/>
      <c r="X394" s="219"/>
      <c r="Y394" s="219"/>
      <c r="Z394" s="219"/>
      <c r="AA394" s="217"/>
      <c r="AB394" s="217"/>
      <c r="AC394" s="217"/>
      <c r="AD394" s="219"/>
      <c r="AE394" s="219"/>
      <c r="AF394" s="219"/>
      <c r="AG394" s="219"/>
      <c r="AH394" s="217"/>
      <c r="AI394" s="217"/>
      <c r="AJ394" s="217"/>
      <c r="AK394" s="217"/>
      <c r="AL394" s="217"/>
      <c r="AM394" s="219"/>
      <c r="AN394" s="219"/>
      <c r="AO394" s="217"/>
      <c r="AP394" s="217"/>
      <c r="AQ394" s="219"/>
      <c r="AR394" s="219"/>
      <c r="AS394" s="217"/>
    </row>
    <row r="395" spans="1:45" s="223" customFormat="1" x14ac:dyDescent="0.25">
      <c r="A395" s="250" t="str">
        <f t="shared" si="52"/>
        <v/>
      </c>
      <c r="B395" s="251" t="str">
        <f t="shared" si="45"/>
        <v/>
      </c>
      <c r="C395" s="251" t="str">
        <f>IF(B395="","",VLOOKUP(D395,'Species Data'!B:D,4,FALSE))</f>
        <v/>
      </c>
      <c r="D395" s="251" t="str">
        <f t="shared" ca="1" si="46"/>
        <v/>
      </c>
      <c r="E395" s="251" t="str">
        <f t="shared" ca="1" si="47"/>
        <v/>
      </c>
      <c r="F395" s="251" t="str">
        <f t="shared" ca="1" si="48"/>
        <v/>
      </c>
      <c r="G395" s="251" t="str">
        <f t="shared" ca="1" si="49"/>
        <v/>
      </c>
      <c r="H395" s="208" t="str">
        <f ca="1">IF(G395="","",IF(VLOOKUP(VOC!F395,'Species Data'!D:E,3,FALSE)=0,"X",IF(G395&lt;44.1,2,1)))</f>
        <v/>
      </c>
      <c r="I395" s="208" t="str">
        <f t="shared" ca="1" si="50"/>
        <v/>
      </c>
      <c r="J395" s="252" t="str">
        <f ca="1">IF(I395="","",IF(COUNTIF($D$12:D395,D395)=1,IF(H395=1,I395*H395,IF(H395="X","X",0)),0))</f>
        <v/>
      </c>
      <c r="K395" s="253" t="str">
        <f t="shared" ca="1" si="51"/>
        <v/>
      </c>
      <c r="L395" s="244"/>
      <c r="M395" s="217"/>
      <c r="N395" s="217"/>
      <c r="O395" s="218"/>
      <c r="P395" s="217"/>
      <c r="Q395" s="219"/>
      <c r="R395" s="217"/>
      <c r="S395" s="217"/>
      <c r="T395" s="217"/>
      <c r="U395" s="217"/>
      <c r="V395" s="219"/>
      <c r="W395" s="219"/>
      <c r="X395" s="219"/>
      <c r="Y395" s="219"/>
      <c r="Z395" s="219"/>
      <c r="AA395" s="217"/>
      <c r="AB395" s="217"/>
      <c r="AC395" s="217"/>
      <c r="AD395" s="219"/>
      <c r="AE395" s="219"/>
      <c r="AF395" s="219"/>
      <c r="AG395" s="219"/>
      <c r="AH395" s="217"/>
      <c r="AI395" s="217"/>
      <c r="AJ395" s="217"/>
      <c r="AK395" s="217"/>
      <c r="AL395" s="217"/>
      <c r="AM395" s="219"/>
      <c r="AN395" s="219"/>
      <c r="AO395" s="217"/>
      <c r="AP395" s="217"/>
      <c r="AQ395" s="219"/>
      <c r="AR395" s="219"/>
      <c r="AS395" s="217"/>
    </row>
    <row r="396" spans="1:45" s="223" customFormat="1" x14ac:dyDescent="0.25">
      <c r="A396" s="250" t="str">
        <f t="shared" si="52"/>
        <v/>
      </c>
      <c r="B396" s="251" t="str">
        <f t="shared" ref="B396:B450" si="53">IF(ROW(A396)-(ROW($A$12))&lt;$B$10,$B$9,"")</f>
        <v/>
      </c>
      <c r="C396" s="251" t="str">
        <f>IF(B396="","",VLOOKUP(D396,'Species Data'!B:D,4,FALSE))</f>
        <v/>
      </c>
      <c r="D396" s="251" t="str">
        <f t="shared" ref="D396:D450" ca="1" si="54">IF(B396="","",INDIRECT("AE"&amp;$A396))</f>
        <v/>
      </c>
      <c r="E396" s="251" t="str">
        <f t="shared" ref="E396:E450" ca="1" si="55">IF(D396="","",INDIRECT("AF"&amp;$A396))</f>
        <v/>
      </c>
      <c r="F396" s="251" t="str">
        <f t="shared" ref="F396:F450" ca="1" si="56">IF(E396="","",INDIRECT("AO"&amp;$A396))</f>
        <v/>
      </c>
      <c r="G396" s="251" t="str">
        <f t="shared" ref="G396:G450" ca="1" si="57">IF(F396="","",INDIRECT("AQ"&amp;$A396))</f>
        <v/>
      </c>
      <c r="H396" s="208" t="str">
        <f ca="1">IF(G396="","",IF(VLOOKUP(VOC!F396,'Species Data'!D:E,3,FALSE)=0,"X",IF(G396&lt;44.1,2,1)))</f>
        <v/>
      </c>
      <c r="I396" s="208" t="str">
        <f t="shared" ref="I396:I450" ca="1" si="58">IF(H396="","",SUMIF(D:D,D396,E:E)/($E$9/100))</f>
        <v/>
      </c>
      <c r="J396" s="252" t="str">
        <f ca="1">IF(I396="","",IF(COUNTIF($D$12:D396,D396)=1,IF(H396=1,I396*H396,IF(H396="X","X",0)),0))</f>
        <v/>
      </c>
      <c r="K396" s="253" t="str">
        <f t="shared" ref="K396:K450" ca="1" si="59">IF(J396="","",IF(J396="X",0,J396/$J$9*100))</f>
        <v/>
      </c>
      <c r="L396" s="244"/>
      <c r="M396" s="217"/>
      <c r="N396" s="217"/>
      <c r="O396" s="218"/>
      <c r="P396" s="217"/>
      <c r="Q396" s="219"/>
      <c r="R396" s="217"/>
      <c r="S396" s="217"/>
      <c r="T396" s="217"/>
      <c r="U396" s="217"/>
      <c r="V396" s="219"/>
      <c r="W396" s="219"/>
      <c r="X396" s="219"/>
      <c r="Y396" s="219"/>
      <c r="Z396" s="219"/>
      <c r="AA396" s="217"/>
      <c r="AB396" s="217"/>
      <c r="AC396" s="217"/>
      <c r="AD396" s="219"/>
      <c r="AE396" s="219"/>
      <c r="AF396" s="219"/>
      <c r="AG396" s="219"/>
      <c r="AH396" s="217"/>
      <c r="AI396" s="217"/>
      <c r="AJ396" s="217"/>
      <c r="AK396" s="217"/>
      <c r="AL396" s="217"/>
      <c r="AM396" s="219"/>
      <c r="AN396" s="219"/>
      <c r="AO396" s="217"/>
      <c r="AP396" s="217"/>
      <c r="AQ396" s="219"/>
      <c r="AR396" s="219"/>
      <c r="AS396" s="217"/>
    </row>
    <row r="397" spans="1:45" s="223" customFormat="1" x14ac:dyDescent="0.25">
      <c r="A397" s="250" t="str">
        <f t="shared" si="52"/>
        <v/>
      </c>
      <c r="B397" s="251" t="str">
        <f t="shared" si="53"/>
        <v/>
      </c>
      <c r="C397" s="251" t="str">
        <f>IF(B397="","",VLOOKUP(D397,'Species Data'!B:D,4,FALSE))</f>
        <v/>
      </c>
      <c r="D397" s="251" t="str">
        <f t="shared" ca="1" si="54"/>
        <v/>
      </c>
      <c r="E397" s="251" t="str">
        <f t="shared" ca="1" si="55"/>
        <v/>
      </c>
      <c r="F397" s="251" t="str">
        <f t="shared" ca="1" si="56"/>
        <v/>
      </c>
      <c r="G397" s="251" t="str">
        <f t="shared" ca="1" si="57"/>
        <v/>
      </c>
      <c r="H397" s="208" t="str">
        <f ca="1">IF(G397="","",IF(VLOOKUP(VOC!F397,'Species Data'!D:E,3,FALSE)=0,"X",IF(G397&lt;44.1,2,1)))</f>
        <v/>
      </c>
      <c r="I397" s="208" t="str">
        <f t="shared" ca="1" si="58"/>
        <v/>
      </c>
      <c r="J397" s="252" t="str">
        <f ca="1">IF(I397="","",IF(COUNTIF($D$12:D397,D397)=1,IF(H397=1,I397*H397,IF(H397="X","X",0)),0))</f>
        <v/>
      </c>
      <c r="K397" s="253" t="str">
        <f t="shared" ca="1" si="59"/>
        <v/>
      </c>
      <c r="L397" s="244"/>
      <c r="M397" s="217"/>
      <c r="N397" s="217"/>
      <c r="O397" s="218"/>
      <c r="P397" s="217"/>
      <c r="Q397" s="219"/>
      <c r="R397" s="217"/>
      <c r="S397" s="217"/>
      <c r="T397" s="217"/>
      <c r="U397" s="217"/>
      <c r="V397" s="219"/>
      <c r="W397" s="219"/>
      <c r="X397" s="219"/>
      <c r="Y397" s="219"/>
      <c r="Z397" s="219"/>
      <c r="AA397" s="217"/>
      <c r="AB397" s="217"/>
      <c r="AC397" s="217"/>
      <c r="AD397" s="219"/>
      <c r="AE397" s="219"/>
      <c r="AF397" s="219"/>
      <c r="AG397" s="219"/>
      <c r="AH397" s="217"/>
      <c r="AI397" s="217"/>
      <c r="AJ397" s="217"/>
      <c r="AK397" s="217"/>
      <c r="AL397" s="217"/>
      <c r="AM397" s="219"/>
      <c r="AN397" s="219"/>
      <c r="AO397" s="217"/>
      <c r="AP397" s="217"/>
      <c r="AQ397" s="219"/>
      <c r="AR397" s="219"/>
      <c r="AS397" s="217"/>
    </row>
    <row r="398" spans="1:45" s="223" customFormat="1" x14ac:dyDescent="0.25">
      <c r="A398" s="250" t="str">
        <f t="shared" ref="A398:A450" si="60">IF(B398="","",A397+1)</f>
        <v/>
      </c>
      <c r="B398" s="251" t="str">
        <f t="shared" si="53"/>
        <v/>
      </c>
      <c r="C398" s="251" t="str">
        <f>IF(B398="","",VLOOKUP(D398,'Species Data'!B:D,4,FALSE))</f>
        <v/>
      </c>
      <c r="D398" s="251" t="str">
        <f t="shared" ca="1" si="54"/>
        <v/>
      </c>
      <c r="E398" s="251" t="str">
        <f t="shared" ca="1" si="55"/>
        <v/>
      </c>
      <c r="F398" s="251" t="str">
        <f t="shared" ca="1" si="56"/>
        <v/>
      </c>
      <c r="G398" s="251" t="str">
        <f t="shared" ca="1" si="57"/>
        <v/>
      </c>
      <c r="H398" s="208" t="str">
        <f ca="1">IF(G398="","",IF(VLOOKUP(VOC!F398,'Species Data'!D:E,3,FALSE)=0,"X",IF(G398&lt;44.1,2,1)))</f>
        <v/>
      </c>
      <c r="I398" s="208" t="str">
        <f t="shared" ca="1" si="58"/>
        <v/>
      </c>
      <c r="J398" s="252" t="str">
        <f ca="1">IF(I398="","",IF(COUNTIF($D$12:D398,D398)=1,IF(H398=1,I398*H398,IF(H398="X","X",0)),0))</f>
        <v/>
      </c>
      <c r="K398" s="253" t="str">
        <f t="shared" ca="1" si="59"/>
        <v/>
      </c>
      <c r="L398" s="244"/>
      <c r="M398" s="217"/>
      <c r="N398" s="217"/>
      <c r="O398" s="218"/>
      <c r="P398" s="217"/>
      <c r="Q398" s="219"/>
      <c r="R398" s="217"/>
      <c r="S398" s="217"/>
      <c r="T398" s="217"/>
      <c r="U398" s="217"/>
      <c r="V398" s="219"/>
      <c r="W398" s="219"/>
      <c r="X398" s="219"/>
      <c r="Y398" s="219"/>
      <c r="Z398" s="219"/>
      <c r="AA398" s="217"/>
      <c r="AB398" s="217"/>
      <c r="AC398" s="217"/>
      <c r="AD398" s="219"/>
      <c r="AE398" s="219"/>
      <c r="AF398" s="219"/>
      <c r="AG398" s="219"/>
      <c r="AH398" s="217"/>
      <c r="AI398" s="217"/>
      <c r="AJ398" s="217"/>
      <c r="AK398" s="217"/>
      <c r="AL398" s="217"/>
      <c r="AM398" s="219"/>
      <c r="AN398" s="219"/>
      <c r="AO398" s="217"/>
      <c r="AP398" s="217"/>
      <c r="AQ398" s="219"/>
      <c r="AR398" s="219"/>
      <c r="AS398" s="217"/>
    </row>
    <row r="399" spans="1:45" s="223" customFormat="1" x14ac:dyDescent="0.25">
      <c r="A399" s="250" t="str">
        <f t="shared" si="60"/>
        <v/>
      </c>
      <c r="B399" s="251" t="str">
        <f t="shared" si="53"/>
        <v/>
      </c>
      <c r="C399" s="251" t="str">
        <f>IF(B399="","",VLOOKUP(D399,'Species Data'!B:D,4,FALSE))</f>
        <v/>
      </c>
      <c r="D399" s="251" t="str">
        <f t="shared" ca="1" si="54"/>
        <v/>
      </c>
      <c r="E399" s="251" t="str">
        <f t="shared" ca="1" si="55"/>
        <v/>
      </c>
      <c r="F399" s="251" t="str">
        <f t="shared" ca="1" si="56"/>
        <v/>
      </c>
      <c r="G399" s="251" t="str">
        <f t="shared" ca="1" si="57"/>
        <v/>
      </c>
      <c r="H399" s="208" t="str">
        <f ca="1">IF(G399="","",IF(VLOOKUP(VOC!F399,'Species Data'!D:E,3,FALSE)=0,"X",IF(G399&lt;44.1,2,1)))</f>
        <v/>
      </c>
      <c r="I399" s="208" t="str">
        <f t="shared" ca="1" si="58"/>
        <v/>
      </c>
      <c r="J399" s="252" t="str">
        <f ca="1">IF(I399="","",IF(COUNTIF($D$12:D399,D399)=1,IF(H399=1,I399*H399,IF(H399="X","X",0)),0))</f>
        <v/>
      </c>
      <c r="K399" s="253" t="str">
        <f t="shared" ca="1" si="59"/>
        <v/>
      </c>
      <c r="L399" s="244"/>
      <c r="M399" s="217"/>
      <c r="N399" s="217"/>
      <c r="O399" s="218"/>
      <c r="P399" s="217"/>
      <c r="Q399" s="219"/>
      <c r="R399" s="217"/>
      <c r="S399" s="217"/>
      <c r="T399" s="217"/>
      <c r="U399" s="217"/>
      <c r="V399" s="219"/>
      <c r="W399" s="219"/>
      <c r="X399" s="219"/>
      <c r="Y399" s="219"/>
      <c r="Z399" s="219"/>
      <c r="AA399" s="217"/>
      <c r="AB399" s="217"/>
      <c r="AC399" s="217"/>
      <c r="AD399" s="219"/>
      <c r="AE399" s="219"/>
      <c r="AF399" s="219"/>
      <c r="AG399" s="219"/>
      <c r="AH399" s="217"/>
      <c r="AI399" s="217"/>
      <c r="AJ399" s="217"/>
      <c r="AK399" s="217"/>
      <c r="AL399" s="217"/>
      <c r="AM399" s="219"/>
      <c r="AN399" s="219"/>
      <c r="AO399" s="217"/>
      <c r="AP399" s="217"/>
      <c r="AQ399" s="219"/>
      <c r="AR399" s="219"/>
      <c r="AS399" s="217"/>
    </row>
    <row r="400" spans="1:45" s="223" customFormat="1" x14ac:dyDescent="0.25">
      <c r="A400" s="250" t="str">
        <f t="shared" si="60"/>
        <v/>
      </c>
      <c r="B400" s="251" t="str">
        <f t="shared" si="53"/>
        <v/>
      </c>
      <c r="C400" s="251" t="str">
        <f>IF(B400="","",VLOOKUP(D400,'Species Data'!B:D,4,FALSE))</f>
        <v/>
      </c>
      <c r="D400" s="251" t="str">
        <f t="shared" ca="1" si="54"/>
        <v/>
      </c>
      <c r="E400" s="251" t="str">
        <f t="shared" ca="1" si="55"/>
        <v/>
      </c>
      <c r="F400" s="251" t="str">
        <f t="shared" ca="1" si="56"/>
        <v/>
      </c>
      <c r="G400" s="251" t="str">
        <f t="shared" ca="1" si="57"/>
        <v/>
      </c>
      <c r="H400" s="208" t="str">
        <f ca="1">IF(G400="","",IF(VLOOKUP(VOC!F400,'Species Data'!D:E,3,FALSE)=0,"X",IF(G400&lt;44.1,2,1)))</f>
        <v/>
      </c>
      <c r="I400" s="208" t="str">
        <f t="shared" ca="1" si="58"/>
        <v/>
      </c>
      <c r="J400" s="252" t="str">
        <f ca="1">IF(I400="","",IF(COUNTIF($D$12:D400,D400)=1,IF(H400=1,I400*H400,IF(H400="X","X",0)),0))</f>
        <v/>
      </c>
      <c r="K400" s="253" t="str">
        <f t="shared" ca="1" si="59"/>
        <v/>
      </c>
      <c r="L400" s="244"/>
      <c r="M400" s="217"/>
      <c r="N400" s="217"/>
      <c r="O400" s="218"/>
      <c r="P400" s="217"/>
      <c r="Q400" s="219"/>
      <c r="R400" s="217"/>
      <c r="S400" s="217"/>
      <c r="T400" s="217"/>
      <c r="U400" s="217"/>
      <c r="V400" s="219"/>
      <c r="W400" s="219"/>
      <c r="X400" s="219"/>
      <c r="Y400" s="219"/>
      <c r="Z400" s="219"/>
      <c r="AA400" s="217"/>
      <c r="AB400" s="217"/>
      <c r="AC400" s="217"/>
      <c r="AD400" s="219"/>
      <c r="AE400" s="219"/>
      <c r="AF400" s="219"/>
      <c r="AG400" s="219"/>
      <c r="AH400" s="217"/>
      <c r="AI400" s="217"/>
      <c r="AJ400" s="217"/>
      <c r="AK400" s="217"/>
      <c r="AL400" s="217"/>
      <c r="AM400" s="219"/>
      <c r="AN400" s="219"/>
      <c r="AO400" s="217"/>
      <c r="AP400" s="217"/>
      <c r="AQ400" s="219"/>
      <c r="AR400" s="219"/>
      <c r="AS400" s="217"/>
    </row>
    <row r="401" spans="1:45" s="223" customFormat="1" x14ac:dyDescent="0.25">
      <c r="A401" s="250" t="str">
        <f t="shared" si="60"/>
        <v/>
      </c>
      <c r="B401" s="251" t="str">
        <f t="shared" si="53"/>
        <v/>
      </c>
      <c r="C401" s="251" t="str">
        <f>IF(B401="","",VLOOKUP(D401,'Species Data'!B:D,4,FALSE))</f>
        <v/>
      </c>
      <c r="D401" s="251" t="str">
        <f t="shared" ca="1" si="54"/>
        <v/>
      </c>
      <c r="E401" s="251" t="str">
        <f t="shared" ca="1" si="55"/>
        <v/>
      </c>
      <c r="F401" s="251" t="str">
        <f t="shared" ca="1" si="56"/>
        <v/>
      </c>
      <c r="G401" s="251" t="str">
        <f t="shared" ca="1" si="57"/>
        <v/>
      </c>
      <c r="H401" s="208" t="str">
        <f ca="1">IF(G401="","",IF(VLOOKUP(VOC!F401,'Species Data'!D:E,3,FALSE)=0,"X",IF(G401&lt;44.1,2,1)))</f>
        <v/>
      </c>
      <c r="I401" s="208" t="str">
        <f t="shared" ca="1" si="58"/>
        <v/>
      </c>
      <c r="J401" s="252" t="str">
        <f ca="1">IF(I401="","",IF(COUNTIF($D$12:D401,D401)=1,IF(H401=1,I401*H401,IF(H401="X","X",0)),0))</f>
        <v/>
      </c>
      <c r="K401" s="253" t="str">
        <f t="shared" ca="1" si="59"/>
        <v/>
      </c>
      <c r="L401" s="244"/>
      <c r="M401" s="217"/>
      <c r="N401" s="217"/>
      <c r="O401" s="218"/>
      <c r="P401" s="217"/>
      <c r="Q401" s="219"/>
      <c r="R401" s="217"/>
      <c r="S401" s="217"/>
      <c r="T401" s="217"/>
      <c r="U401" s="217"/>
      <c r="V401" s="219"/>
      <c r="W401" s="219"/>
      <c r="X401" s="219"/>
      <c r="Y401" s="219"/>
      <c r="Z401" s="219"/>
      <c r="AA401" s="217"/>
      <c r="AB401" s="217"/>
      <c r="AC401" s="217"/>
      <c r="AD401" s="219"/>
      <c r="AE401" s="219"/>
      <c r="AF401" s="219"/>
      <c r="AG401" s="219"/>
      <c r="AH401" s="217"/>
      <c r="AI401" s="217"/>
      <c r="AJ401" s="217"/>
      <c r="AK401" s="217"/>
      <c r="AL401" s="217"/>
      <c r="AM401" s="219"/>
      <c r="AN401" s="219"/>
      <c r="AO401" s="217"/>
      <c r="AP401" s="217"/>
      <c r="AQ401" s="219"/>
      <c r="AR401" s="219"/>
      <c r="AS401" s="217"/>
    </row>
    <row r="402" spans="1:45" s="223" customFormat="1" x14ac:dyDescent="0.25">
      <c r="A402" s="250" t="str">
        <f t="shared" si="60"/>
        <v/>
      </c>
      <c r="B402" s="251" t="str">
        <f t="shared" si="53"/>
        <v/>
      </c>
      <c r="C402" s="251" t="str">
        <f>IF(B402="","",VLOOKUP(D402,'Species Data'!B:D,4,FALSE))</f>
        <v/>
      </c>
      <c r="D402" s="251" t="str">
        <f t="shared" ca="1" si="54"/>
        <v/>
      </c>
      <c r="E402" s="251" t="str">
        <f t="shared" ca="1" si="55"/>
        <v/>
      </c>
      <c r="F402" s="251" t="str">
        <f t="shared" ca="1" si="56"/>
        <v/>
      </c>
      <c r="G402" s="251" t="str">
        <f t="shared" ca="1" si="57"/>
        <v/>
      </c>
      <c r="H402" s="208" t="str">
        <f ca="1">IF(G402="","",IF(VLOOKUP(VOC!F402,'Species Data'!D:E,3,FALSE)=0,"X",IF(G402&lt;44.1,2,1)))</f>
        <v/>
      </c>
      <c r="I402" s="208" t="str">
        <f t="shared" ca="1" si="58"/>
        <v/>
      </c>
      <c r="J402" s="252" t="str">
        <f ca="1">IF(I402="","",IF(COUNTIF($D$12:D402,D402)=1,IF(H402=1,I402*H402,IF(H402="X","X",0)),0))</f>
        <v/>
      </c>
      <c r="K402" s="253" t="str">
        <f t="shared" ca="1" si="59"/>
        <v/>
      </c>
      <c r="L402" s="244"/>
      <c r="M402" s="217"/>
      <c r="N402" s="217"/>
      <c r="O402" s="218"/>
      <c r="P402" s="217"/>
      <c r="Q402" s="219"/>
      <c r="R402" s="217"/>
      <c r="S402" s="217"/>
      <c r="T402" s="217"/>
      <c r="U402" s="217"/>
      <c r="V402" s="219"/>
      <c r="W402" s="219"/>
      <c r="X402" s="219"/>
      <c r="Y402" s="219"/>
      <c r="Z402" s="219"/>
      <c r="AA402" s="217"/>
      <c r="AB402" s="217"/>
      <c r="AC402" s="217"/>
      <c r="AD402" s="219"/>
      <c r="AE402" s="219"/>
      <c r="AF402" s="219"/>
      <c r="AG402" s="219"/>
      <c r="AH402" s="217"/>
      <c r="AI402" s="217"/>
      <c r="AJ402" s="217"/>
      <c r="AK402" s="217"/>
      <c r="AL402" s="217"/>
      <c r="AM402" s="219"/>
      <c r="AN402" s="219"/>
      <c r="AO402" s="217"/>
      <c r="AP402" s="217"/>
      <c r="AQ402" s="219"/>
      <c r="AR402" s="219"/>
      <c r="AS402" s="217"/>
    </row>
    <row r="403" spans="1:45" s="223" customFormat="1" x14ac:dyDescent="0.25">
      <c r="A403" s="250" t="str">
        <f t="shared" si="60"/>
        <v/>
      </c>
      <c r="B403" s="251" t="str">
        <f t="shared" si="53"/>
        <v/>
      </c>
      <c r="C403" s="251" t="str">
        <f>IF(B403="","",VLOOKUP(D403,'Species Data'!B:D,4,FALSE))</f>
        <v/>
      </c>
      <c r="D403" s="251" t="str">
        <f t="shared" ca="1" si="54"/>
        <v/>
      </c>
      <c r="E403" s="251" t="str">
        <f t="shared" ca="1" si="55"/>
        <v/>
      </c>
      <c r="F403" s="251" t="str">
        <f t="shared" ca="1" si="56"/>
        <v/>
      </c>
      <c r="G403" s="251" t="str">
        <f t="shared" ca="1" si="57"/>
        <v/>
      </c>
      <c r="H403" s="208" t="str">
        <f ca="1">IF(G403="","",IF(VLOOKUP(VOC!F403,'Species Data'!D:E,3,FALSE)=0,"X",IF(G403&lt;44.1,2,1)))</f>
        <v/>
      </c>
      <c r="I403" s="208" t="str">
        <f t="shared" ca="1" si="58"/>
        <v/>
      </c>
      <c r="J403" s="252" t="str">
        <f ca="1">IF(I403="","",IF(COUNTIF($D$12:D403,D403)=1,IF(H403=1,I403*H403,IF(H403="X","X",0)),0))</f>
        <v/>
      </c>
      <c r="K403" s="253" t="str">
        <f t="shared" ca="1" si="59"/>
        <v/>
      </c>
      <c r="L403" s="244"/>
      <c r="M403" s="217"/>
      <c r="N403" s="217"/>
      <c r="O403" s="218"/>
      <c r="P403" s="217"/>
      <c r="Q403" s="219"/>
      <c r="R403" s="217"/>
      <c r="S403" s="217"/>
      <c r="T403" s="217"/>
      <c r="U403" s="217"/>
      <c r="V403" s="219"/>
      <c r="W403" s="219"/>
      <c r="X403" s="219"/>
      <c r="Y403" s="219"/>
      <c r="Z403" s="219"/>
      <c r="AA403" s="217"/>
      <c r="AB403" s="217"/>
      <c r="AC403" s="217"/>
      <c r="AD403" s="219"/>
      <c r="AE403" s="219"/>
      <c r="AF403" s="219"/>
      <c r="AG403" s="219"/>
      <c r="AH403" s="217"/>
      <c r="AI403" s="217"/>
      <c r="AJ403" s="217"/>
      <c r="AK403" s="217"/>
      <c r="AL403" s="217"/>
      <c r="AM403" s="219"/>
      <c r="AN403" s="219"/>
      <c r="AO403" s="217"/>
      <c r="AP403" s="217"/>
      <c r="AQ403" s="219"/>
      <c r="AR403" s="219"/>
      <c r="AS403" s="217"/>
    </row>
    <row r="404" spans="1:45" s="223" customFormat="1" x14ac:dyDescent="0.25">
      <c r="A404" s="250" t="str">
        <f t="shared" si="60"/>
        <v/>
      </c>
      <c r="B404" s="251" t="str">
        <f t="shared" si="53"/>
        <v/>
      </c>
      <c r="C404" s="251" t="str">
        <f>IF(B404="","",VLOOKUP(D404,'Species Data'!B:D,4,FALSE))</f>
        <v/>
      </c>
      <c r="D404" s="251" t="str">
        <f t="shared" ca="1" si="54"/>
        <v/>
      </c>
      <c r="E404" s="251" t="str">
        <f t="shared" ca="1" si="55"/>
        <v/>
      </c>
      <c r="F404" s="251" t="str">
        <f t="shared" ca="1" si="56"/>
        <v/>
      </c>
      <c r="G404" s="251" t="str">
        <f t="shared" ca="1" si="57"/>
        <v/>
      </c>
      <c r="H404" s="208" t="str">
        <f ca="1">IF(G404="","",IF(VLOOKUP(VOC!F404,'Species Data'!D:E,3,FALSE)=0,"X",IF(G404&lt;44.1,2,1)))</f>
        <v/>
      </c>
      <c r="I404" s="208" t="str">
        <f t="shared" ca="1" si="58"/>
        <v/>
      </c>
      <c r="J404" s="252" t="str">
        <f ca="1">IF(I404="","",IF(COUNTIF($D$12:D404,D404)=1,IF(H404=1,I404*H404,IF(H404="X","X",0)),0))</f>
        <v/>
      </c>
      <c r="K404" s="253" t="str">
        <f t="shared" ca="1" si="59"/>
        <v/>
      </c>
      <c r="L404" s="244"/>
      <c r="M404" s="217"/>
      <c r="N404" s="217"/>
      <c r="O404" s="218"/>
      <c r="P404" s="217"/>
      <c r="Q404" s="219"/>
      <c r="R404" s="217"/>
      <c r="S404" s="217"/>
      <c r="T404" s="217"/>
      <c r="U404" s="217"/>
      <c r="V404" s="219"/>
      <c r="W404" s="219"/>
      <c r="X404" s="219"/>
      <c r="Y404" s="219"/>
      <c r="Z404" s="219"/>
      <c r="AA404" s="217"/>
      <c r="AB404" s="217"/>
      <c r="AC404" s="217"/>
      <c r="AD404" s="219"/>
      <c r="AE404" s="219"/>
      <c r="AF404" s="219"/>
      <c r="AG404" s="219"/>
      <c r="AH404" s="217"/>
      <c r="AI404" s="217"/>
      <c r="AJ404" s="217"/>
      <c r="AK404" s="217"/>
      <c r="AL404" s="217"/>
      <c r="AM404" s="219"/>
      <c r="AN404" s="219"/>
      <c r="AO404" s="217"/>
      <c r="AP404" s="217"/>
      <c r="AQ404" s="219"/>
      <c r="AR404" s="219"/>
      <c r="AS404" s="217"/>
    </row>
    <row r="405" spans="1:45" s="223" customFormat="1" x14ac:dyDescent="0.25">
      <c r="A405" s="250" t="str">
        <f t="shared" si="60"/>
        <v/>
      </c>
      <c r="B405" s="251" t="str">
        <f t="shared" si="53"/>
        <v/>
      </c>
      <c r="C405" s="251" t="str">
        <f>IF(B405="","",VLOOKUP(D405,'Species Data'!B:D,4,FALSE))</f>
        <v/>
      </c>
      <c r="D405" s="251" t="str">
        <f t="shared" ca="1" si="54"/>
        <v/>
      </c>
      <c r="E405" s="251" t="str">
        <f t="shared" ca="1" si="55"/>
        <v/>
      </c>
      <c r="F405" s="251" t="str">
        <f t="shared" ca="1" si="56"/>
        <v/>
      </c>
      <c r="G405" s="251" t="str">
        <f t="shared" ca="1" si="57"/>
        <v/>
      </c>
      <c r="H405" s="208" t="str">
        <f ca="1">IF(G405="","",IF(VLOOKUP(VOC!F405,'Species Data'!D:E,3,FALSE)=0,"X",IF(G405&lt;44.1,2,1)))</f>
        <v/>
      </c>
      <c r="I405" s="208" t="str">
        <f t="shared" ca="1" si="58"/>
        <v/>
      </c>
      <c r="J405" s="252" t="str">
        <f ca="1">IF(I405="","",IF(COUNTIF($D$12:D405,D405)=1,IF(H405=1,I405*H405,IF(H405="X","X",0)),0))</f>
        <v/>
      </c>
      <c r="K405" s="253" t="str">
        <f t="shared" ca="1" si="59"/>
        <v/>
      </c>
      <c r="L405" s="244"/>
      <c r="M405" s="217"/>
      <c r="N405" s="217"/>
      <c r="O405" s="218"/>
      <c r="P405" s="217"/>
      <c r="Q405" s="219"/>
      <c r="R405" s="217"/>
      <c r="S405" s="217"/>
      <c r="T405" s="217"/>
      <c r="U405" s="217"/>
      <c r="V405" s="219"/>
      <c r="W405" s="219"/>
      <c r="X405" s="219"/>
      <c r="Y405" s="219"/>
      <c r="Z405" s="219"/>
      <c r="AA405" s="217"/>
      <c r="AB405" s="217"/>
      <c r="AC405" s="217"/>
      <c r="AD405" s="219"/>
      <c r="AE405" s="219"/>
      <c r="AF405" s="219"/>
      <c r="AG405" s="219"/>
      <c r="AH405" s="217"/>
      <c r="AI405" s="217"/>
      <c r="AJ405" s="217"/>
      <c r="AK405" s="217"/>
      <c r="AL405" s="217"/>
      <c r="AM405" s="219"/>
      <c r="AN405" s="219"/>
      <c r="AO405" s="217"/>
      <c r="AP405" s="217"/>
      <c r="AQ405" s="219"/>
      <c r="AR405" s="219"/>
      <c r="AS405" s="217"/>
    </row>
    <row r="406" spans="1:45" s="223" customFormat="1" x14ac:dyDescent="0.25">
      <c r="A406" s="250" t="str">
        <f t="shared" si="60"/>
        <v/>
      </c>
      <c r="B406" s="251" t="str">
        <f t="shared" si="53"/>
        <v/>
      </c>
      <c r="C406" s="251" t="str">
        <f>IF(B406="","",VLOOKUP(D406,'Species Data'!B:D,4,FALSE))</f>
        <v/>
      </c>
      <c r="D406" s="251" t="str">
        <f t="shared" ca="1" si="54"/>
        <v/>
      </c>
      <c r="E406" s="251" t="str">
        <f t="shared" ca="1" si="55"/>
        <v/>
      </c>
      <c r="F406" s="251" t="str">
        <f t="shared" ca="1" si="56"/>
        <v/>
      </c>
      <c r="G406" s="251" t="str">
        <f t="shared" ca="1" si="57"/>
        <v/>
      </c>
      <c r="H406" s="208" t="str">
        <f ca="1">IF(G406="","",IF(VLOOKUP(VOC!F406,'Species Data'!D:E,3,FALSE)=0,"X",IF(G406&lt;44.1,2,1)))</f>
        <v/>
      </c>
      <c r="I406" s="208" t="str">
        <f t="shared" ca="1" si="58"/>
        <v/>
      </c>
      <c r="J406" s="252" t="str">
        <f ca="1">IF(I406="","",IF(COUNTIF($D$12:D406,D406)=1,IF(H406=1,I406*H406,IF(H406="X","X",0)),0))</f>
        <v/>
      </c>
      <c r="K406" s="253" t="str">
        <f t="shared" ca="1" si="59"/>
        <v/>
      </c>
      <c r="L406" s="244"/>
      <c r="M406" s="217"/>
      <c r="N406" s="217"/>
      <c r="O406" s="218"/>
      <c r="P406" s="217"/>
      <c r="Q406" s="219"/>
      <c r="R406" s="217"/>
      <c r="S406" s="217"/>
      <c r="T406" s="217"/>
      <c r="U406" s="217"/>
      <c r="V406" s="219"/>
      <c r="W406" s="219"/>
      <c r="X406" s="219"/>
      <c r="Y406" s="219"/>
      <c r="Z406" s="219"/>
      <c r="AA406" s="217"/>
      <c r="AB406" s="217"/>
      <c r="AC406" s="217"/>
      <c r="AD406" s="219"/>
      <c r="AE406" s="219"/>
      <c r="AF406" s="219"/>
      <c r="AG406" s="219"/>
      <c r="AH406" s="217"/>
      <c r="AI406" s="217"/>
      <c r="AJ406" s="217"/>
      <c r="AK406" s="217"/>
      <c r="AL406" s="217"/>
      <c r="AM406" s="219"/>
      <c r="AN406" s="219"/>
      <c r="AO406" s="217"/>
      <c r="AP406" s="217"/>
      <c r="AQ406" s="219"/>
      <c r="AR406" s="219"/>
      <c r="AS406" s="217"/>
    </row>
    <row r="407" spans="1:45" s="223" customFormat="1" x14ac:dyDescent="0.25">
      <c r="A407" s="250" t="str">
        <f t="shared" si="60"/>
        <v/>
      </c>
      <c r="B407" s="251" t="str">
        <f t="shared" si="53"/>
        <v/>
      </c>
      <c r="C407" s="251" t="str">
        <f>IF(B407="","",VLOOKUP(D407,'Species Data'!B:D,4,FALSE))</f>
        <v/>
      </c>
      <c r="D407" s="251" t="str">
        <f t="shared" ca="1" si="54"/>
        <v/>
      </c>
      <c r="E407" s="251" t="str">
        <f t="shared" ca="1" si="55"/>
        <v/>
      </c>
      <c r="F407" s="251" t="str">
        <f t="shared" ca="1" si="56"/>
        <v/>
      </c>
      <c r="G407" s="251" t="str">
        <f t="shared" ca="1" si="57"/>
        <v/>
      </c>
      <c r="H407" s="208" t="str">
        <f ca="1">IF(G407="","",IF(VLOOKUP(VOC!F407,'Species Data'!D:E,3,FALSE)=0,"X",IF(G407&lt;44.1,2,1)))</f>
        <v/>
      </c>
      <c r="I407" s="208" t="str">
        <f t="shared" ca="1" si="58"/>
        <v/>
      </c>
      <c r="J407" s="252" t="str">
        <f ca="1">IF(I407="","",IF(COUNTIF($D$12:D407,D407)=1,IF(H407=1,I407*H407,IF(H407="X","X",0)),0))</f>
        <v/>
      </c>
      <c r="K407" s="253" t="str">
        <f t="shared" ca="1" si="59"/>
        <v/>
      </c>
      <c r="L407" s="244"/>
      <c r="M407" s="217"/>
      <c r="N407" s="217"/>
      <c r="O407" s="218"/>
      <c r="P407" s="217"/>
      <c r="Q407" s="219"/>
      <c r="R407" s="217"/>
      <c r="S407" s="217"/>
      <c r="T407" s="217"/>
      <c r="U407" s="217"/>
      <c r="V407" s="219"/>
      <c r="W407" s="219"/>
      <c r="X407" s="219"/>
      <c r="Y407" s="219"/>
      <c r="Z407" s="219"/>
      <c r="AA407" s="217"/>
      <c r="AB407" s="217"/>
      <c r="AC407" s="217"/>
      <c r="AD407" s="219"/>
      <c r="AE407" s="219"/>
      <c r="AF407" s="219"/>
      <c r="AG407" s="219"/>
      <c r="AH407" s="217"/>
      <c r="AI407" s="217"/>
      <c r="AJ407" s="217"/>
      <c r="AK407" s="217"/>
      <c r="AL407" s="217"/>
      <c r="AM407" s="219"/>
      <c r="AN407" s="219"/>
      <c r="AO407" s="217"/>
      <c r="AP407" s="217"/>
      <c r="AQ407" s="219"/>
      <c r="AR407" s="219"/>
      <c r="AS407" s="217"/>
    </row>
    <row r="408" spans="1:45" s="223" customFormat="1" x14ac:dyDescent="0.25">
      <c r="A408" s="250" t="str">
        <f t="shared" si="60"/>
        <v/>
      </c>
      <c r="B408" s="251" t="str">
        <f t="shared" si="53"/>
        <v/>
      </c>
      <c r="C408" s="251" t="str">
        <f>IF(B408="","",VLOOKUP(D408,'Species Data'!B:D,4,FALSE))</f>
        <v/>
      </c>
      <c r="D408" s="251" t="str">
        <f t="shared" ca="1" si="54"/>
        <v/>
      </c>
      <c r="E408" s="251" t="str">
        <f t="shared" ca="1" si="55"/>
        <v/>
      </c>
      <c r="F408" s="251" t="str">
        <f t="shared" ca="1" si="56"/>
        <v/>
      </c>
      <c r="G408" s="251" t="str">
        <f t="shared" ca="1" si="57"/>
        <v/>
      </c>
      <c r="H408" s="208" t="str">
        <f ca="1">IF(G408="","",IF(VLOOKUP(VOC!F408,'Species Data'!D:E,3,FALSE)=0,"X",IF(G408&lt;44.1,2,1)))</f>
        <v/>
      </c>
      <c r="I408" s="208" t="str">
        <f t="shared" ca="1" si="58"/>
        <v/>
      </c>
      <c r="J408" s="252" t="str">
        <f ca="1">IF(I408="","",IF(COUNTIF($D$12:D408,D408)=1,IF(H408=1,I408*H408,IF(H408="X","X",0)),0))</f>
        <v/>
      </c>
      <c r="K408" s="253" t="str">
        <f t="shared" ca="1" si="59"/>
        <v/>
      </c>
      <c r="L408" s="244"/>
      <c r="M408" s="217"/>
      <c r="N408" s="217"/>
      <c r="O408" s="218"/>
      <c r="P408" s="217"/>
      <c r="Q408" s="219"/>
      <c r="R408" s="217"/>
      <c r="S408" s="217"/>
      <c r="T408" s="217"/>
      <c r="U408" s="217"/>
      <c r="V408" s="219"/>
      <c r="W408" s="219"/>
      <c r="X408" s="219"/>
      <c r="Y408" s="219"/>
      <c r="Z408" s="219"/>
      <c r="AA408" s="217"/>
      <c r="AB408" s="217"/>
      <c r="AC408" s="217"/>
      <c r="AD408" s="219"/>
      <c r="AE408" s="219"/>
      <c r="AF408" s="219"/>
      <c r="AG408" s="219"/>
      <c r="AH408" s="217"/>
      <c r="AI408" s="217"/>
      <c r="AJ408" s="217"/>
      <c r="AK408" s="217"/>
      <c r="AL408" s="217"/>
      <c r="AM408" s="219"/>
      <c r="AN408" s="219"/>
      <c r="AO408" s="217"/>
      <c r="AP408" s="217"/>
      <c r="AQ408" s="219"/>
      <c r="AR408" s="219"/>
      <c r="AS408" s="217"/>
    </row>
    <row r="409" spans="1:45" s="223" customFormat="1" x14ac:dyDescent="0.25">
      <c r="A409" s="250" t="str">
        <f t="shared" si="60"/>
        <v/>
      </c>
      <c r="B409" s="251" t="str">
        <f t="shared" si="53"/>
        <v/>
      </c>
      <c r="C409" s="251" t="str">
        <f>IF(B409="","",VLOOKUP(D409,'Species Data'!B:D,4,FALSE))</f>
        <v/>
      </c>
      <c r="D409" s="251" t="str">
        <f t="shared" ca="1" si="54"/>
        <v/>
      </c>
      <c r="E409" s="251" t="str">
        <f t="shared" ca="1" si="55"/>
        <v/>
      </c>
      <c r="F409" s="251" t="str">
        <f t="shared" ca="1" si="56"/>
        <v/>
      </c>
      <c r="G409" s="251" t="str">
        <f t="shared" ca="1" si="57"/>
        <v/>
      </c>
      <c r="H409" s="208" t="str">
        <f ca="1">IF(G409="","",IF(VLOOKUP(VOC!F409,'Species Data'!D:E,3,FALSE)=0,"X",IF(G409&lt;44.1,2,1)))</f>
        <v/>
      </c>
      <c r="I409" s="208" t="str">
        <f t="shared" ca="1" si="58"/>
        <v/>
      </c>
      <c r="J409" s="252" t="str">
        <f ca="1">IF(I409="","",IF(COUNTIF($D$12:D409,D409)=1,IF(H409=1,I409*H409,IF(H409="X","X",0)),0))</f>
        <v/>
      </c>
      <c r="K409" s="253" t="str">
        <f t="shared" ca="1" si="59"/>
        <v/>
      </c>
      <c r="L409" s="244"/>
      <c r="M409" s="217"/>
      <c r="N409" s="217"/>
      <c r="O409" s="218"/>
      <c r="P409" s="217"/>
      <c r="Q409" s="219"/>
      <c r="R409" s="217"/>
      <c r="S409" s="217"/>
      <c r="T409" s="217"/>
      <c r="U409" s="217"/>
      <c r="V409" s="219"/>
      <c r="W409" s="219"/>
      <c r="X409" s="219"/>
      <c r="Y409" s="219"/>
      <c r="Z409" s="219"/>
      <c r="AA409" s="217"/>
      <c r="AB409" s="217"/>
      <c r="AC409" s="217"/>
      <c r="AD409" s="219"/>
      <c r="AE409" s="219"/>
      <c r="AF409" s="219"/>
      <c r="AG409" s="219"/>
      <c r="AH409" s="217"/>
      <c r="AI409" s="217"/>
      <c r="AJ409" s="217"/>
      <c r="AK409" s="217"/>
      <c r="AL409" s="217"/>
      <c r="AM409" s="219"/>
      <c r="AN409" s="219"/>
      <c r="AO409" s="217"/>
      <c r="AP409" s="217"/>
      <c r="AQ409" s="219"/>
      <c r="AR409" s="219"/>
      <c r="AS409" s="217"/>
    </row>
    <row r="410" spans="1:45" s="223" customFormat="1" x14ac:dyDescent="0.25">
      <c r="A410" s="250" t="str">
        <f t="shared" si="60"/>
        <v/>
      </c>
      <c r="B410" s="251" t="str">
        <f t="shared" si="53"/>
        <v/>
      </c>
      <c r="C410" s="251" t="str">
        <f>IF(B410="","",VLOOKUP(D410,'Species Data'!B:D,4,FALSE))</f>
        <v/>
      </c>
      <c r="D410" s="251" t="str">
        <f t="shared" ca="1" si="54"/>
        <v/>
      </c>
      <c r="E410" s="251" t="str">
        <f t="shared" ca="1" si="55"/>
        <v/>
      </c>
      <c r="F410" s="251" t="str">
        <f t="shared" ca="1" si="56"/>
        <v/>
      </c>
      <c r="G410" s="251" t="str">
        <f t="shared" ca="1" si="57"/>
        <v/>
      </c>
      <c r="H410" s="208" t="str">
        <f ca="1">IF(G410="","",IF(VLOOKUP(VOC!F410,'Species Data'!D:E,3,FALSE)=0,"X",IF(G410&lt;44.1,2,1)))</f>
        <v/>
      </c>
      <c r="I410" s="208" t="str">
        <f t="shared" ca="1" si="58"/>
        <v/>
      </c>
      <c r="J410" s="252" t="str">
        <f ca="1">IF(I410="","",IF(COUNTIF($D$12:D410,D410)=1,IF(H410=1,I410*H410,IF(H410="X","X",0)),0))</f>
        <v/>
      </c>
      <c r="K410" s="253" t="str">
        <f t="shared" ca="1" si="59"/>
        <v/>
      </c>
      <c r="L410" s="244"/>
      <c r="M410" s="217"/>
      <c r="N410" s="217"/>
      <c r="O410" s="218"/>
      <c r="P410" s="217"/>
      <c r="Q410" s="219"/>
      <c r="R410" s="217"/>
      <c r="S410" s="217"/>
      <c r="T410" s="217"/>
      <c r="U410" s="217"/>
      <c r="V410" s="219"/>
      <c r="W410" s="219"/>
      <c r="X410" s="219"/>
      <c r="Y410" s="219"/>
      <c r="Z410" s="219"/>
      <c r="AA410" s="217"/>
      <c r="AB410" s="217"/>
      <c r="AC410" s="217"/>
      <c r="AD410" s="219"/>
      <c r="AE410" s="219"/>
      <c r="AF410" s="219"/>
      <c r="AG410" s="219"/>
      <c r="AH410" s="217"/>
      <c r="AI410" s="217"/>
      <c r="AJ410" s="217"/>
      <c r="AK410" s="217"/>
      <c r="AL410" s="217"/>
      <c r="AM410" s="219"/>
      <c r="AN410" s="219"/>
      <c r="AO410" s="217"/>
      <c r="AP410" s="217"/>
      <c r="AQ410" s="219"/>
      <c r="AR410" s="219"/>
      <c r="AS410" s="217"/>
    </row>
    <row r="411" spans="1:45" s="222" customFormat="1" x14ac:dyDescent="0.25">
      <c r="A411" s="250" t="str">
        <f t="shared" si="60"/>
        <v/>
      </c>
      <c r="B411" s="251" t="str">
        <f t="shared" si="53"/>
        <v/>
      </c>
      <c r="C411" s="251" t="str">
        <f>IF(B411="","",VLOOKUP(D411,'Species Data'!B:D,4,FALSE))</f>
        <v/>
      </c>
      <c r="D411" s="251" t="str">
        <f t="shared" ca="1" si="54"/>
        <v/>
      </c>
      <c r="E411" s="251" t="str">
        <f t="shared" ca="1" si="55"/>
        <v/>
      </c>
      <c r="F411" s="251" t="str">
        <f t="shared" ca="1" si="56"/>
        <v/>
      </c>
      <c r="G411" s="251" t="str">
        <f t="shared" ca="1" si="57"/>
        <v/>
      </c>
      <c r="H411" s="208" t="str">
        <f ca="1">IF(G411="","",IF(VLOOKUP(VOC!F411,'Species Data'!D:E,3,FALSE)=0,"X",IF(G411&lt;44.1,2,1)))</f>
        <v/>
      </c>
      <c r="I411" s="208" t="str">
        <f t="shared" ca="1" si="58"/>
        <v/>
      </c>
      <c r="J411" s="252" t="str">
        <f ca="1">IF(I411="","",IF(COUNTIF($D$12:D411,D411)=1,IF(H411=1,I411*H411,IF(H411="X","X",0)),0))</f>
        <v/>
      </c>
      <c r="K411" s="253" t="str">
        <f t="shared" ca="1" si="59"/>
        <v/>
      </c>
      <c r="L411" s="244"/>
      <c r="M411" s="217"/>
      <c r="N411" s="217"/>
      <c r="O411" s="218"/>
      <c r="P411" s="217"/>
      <c r="Q411" s="219"/>
      <c r="R411" s="217"/>
      <c r="S411" s="217"/>
      <c r="T411" s="217"/>
      <c r="U411" s="217"/>
      <c r="V411" s="219"/>
      <c r="W411" s="219"/>
      <c r="X411" s="219"/>
      <c r="Y411" s="219"/>
      <c r="Z411" s="219"/>
      <c r="AA411" s="217"/>
      <c r="AB411" s="217"/>
      <c r="AC411" s="217"/>
      <c r="AD411" s="219"/>
      <c r="AE411" s="219"/>
      <c r="AF411" s="219"/>
      <c r="AG411" s="219"/>
      <c r="AH411" s="217"/>
      <c r="AI411" s="217"/>
      <c r="AJ411" s="217"/>
      <c r="AK411" s="217"/>
      <c r="AL411" s="217"/>
      <c r="AM411" s="219"/>
      <c r="AN411" s="219"/>
      <c r="AO411" s="217"/>
      <c r="AP411" s="217"/>
      <c r="AQ411" s="219"/>
      <c r="AR411" s="219"/>
      <c r="AS411" s="217"/>
    </row>
    <row r="412" spans="1:45" s="222" customFormat="1" x14ac:dyDescent="0.25">
      <c r="A412" s="250" t="str">
        <f t="shared" si="60"/>
        <v/>
      </c>
      <c r="B412" s="251" t="str">
        <f t="shared" si="53"/>
        <v/>
      </c>
      <c r="C412" s="251" t="str">
        <f>IF(B412="","",VLOOKUP(D412,'Species Data'!B:D,4,FALSE))</f>
        <v/>
      </c>
      <c r="D412" s="251" t="str">
        <f t="shared" ca="1" si="54"/>
        <v/>
      </c>
      <c r="E412" s="251" t="str">
        <f t="shared" ca="1" si="55"/>
        <v/>
      </c>
      <c r="F412" s="251" t="str">
        <f t="shared" ca="1" si="56"/>
        <v/>
      </c>
      <c r="G412" s="251" t="str">
        <f t="shared" ca="1" si="57"/>
        <v/>
      </c>
      <c r="H412" s="208" t="str">
        <f ca="1">IF(G412="","",IF(VLOOKUP(VOC!F412,'Species Data'!D:E,3,FALSE)=0,"X",IF(G412&lt;44.1,2,1)))</f>
        <v/>
      </c>
      <c r="I412" s="208" t="str">
        <f t="shared" ca="1" si="58"/>
        <v/>
      </c>
      <c r="J412" s="252" t="str">
        <f ca="1">IF(I412="","",IF(COUNTIF($D$12:D412,D412)=1,IF(H412=1,I412*H412,IF(H412="X","X",0)),0))</f>
        <v/>
      </c>
      <c r="K412" s="253" t="str">
        <f t="shared" ca="1" si="59"/>
        <v/>
      </c>
      <c r="L412" s="244"/>
      <c r="M412" s="217"/>
      <c r="N412" s="217"/>
      <c r="O412" s="218"/>
      <c r="P412" s="217"/>
      <c r="Q412" s="219"/>
      <c r="R412" s="217"/>
      <c r="S412" s="217"/>
      <c r="T412" s="217"/>
      <c r="U412" s="217"/>
      <c r="V412" s="219"/>
      <c r="W412" s="219"/>
      <c r="X412" s="219"/>
      <c r="Y412" s="219"/>
      <c r="Z412" s="219"/>
      <c r="AA412" s="217"/>
      <c r="AB412" s="217"/>
      <c r="AC412" s="217"/>
      <c r="AD412" s="219"/>
      <c r="AE412" s="219"/>
      <c r="AF412" s="219"/>
      <c r="AG412" s="219"/>
      <c r="AH412" s="217"/>
      <c r="AI412" s="217"/>
      <c r="AJ412" s="217"/>
      <c r="AK412" s="217"/>
      <c r="AL412" s="217"/>
      <c r="AM412" s="219"/>
      <c r="AN412" s="219"/>
      <c r="AO412" s="217"/>
      <c r="AP412" s="217"/>
      <c r="AQ412" s="219"/>
      <c r="AR412" s="219"/>
      <c r="AS412" s="217"/>
    </row>
    <row r="413" spans="1:45" s="222" customFormat="1" x14ac:dyDescent="0.25">
      <c r="A413" s="250" t="str">
        <f t="shared" si="60"/>
        <v/>
      </c>
      <c r="B413" s="251" t="str">
        <f t="shared" si="53"/>
        <v/>
      </c>
      <c r="C413" s="251" t="str">
        <f>IF(B413="","",VLOOKUP(D413,'Species Data'!B:D,4,FALSE))</f>
        <v/>
      </c>
      <c r="D413" s="251" t="str">
        <f t="shared" ca="1" si="54"/>
        <v/>
      </c>
      <c r="E413" s="251" t="str">
        <f t="shared" ca="1" si="55"/>
        <v/>
      </c>
      <c r="F413" s="251" t="str">
        <f t="shared" ca="1" si="56"/>
        <v/>
      </c>
      <c r="G413" s="251" t="str">
        <f t="shared" ca="1" si="57"/>
        <v/>
      </c>
      <c r="H413" s="208" t="str">
        <f ca="1">IF(G413="","",IF(VLOOKUP(VOC!F413,'Species Data'!D:E,3,FALSE)=0,"X",IF(G413&lt;44.1,2,1)))</f>
        <v/>
      </c>
      <c r="I413" s="208" t="str">
        <f t="shared" ca="1" si="58"/>
        <v/>
      </c>
      <c r="J413" s="252" t="str">
        <f ca="1">IF(I413="","",IF(COUNTIF($D$12:D413,D413)=1,IF(H413=1,I413*H413,IF(H413="X","X",0)),0))</f>
        <v/>
      </c>
      <c r="K413" s="253" t="str">
        <f t="shared" ca="1" si="59"/>
        <v/>
      </c>
      <c r="L413" s="244"/>
      <c r="M413" s="217"/>
      <c r="N413" s="217"/>
      <c r="O413" s="218"/>
      <c r="P413" s="217"/>
      <c r="Q413" s="219"/>
      <c r="R413" s="217"/>
      <c r="S413" s="217"/>
      <c r="T413" s="217"/>
      <c r="U413" s="217"/>
      <c r="V413" s="219"/>
      <c r="W413" s="219"/>
      <c r="X413" s="219"/>
      <c r="Y413" s="219"/>
      <c r="Z413" s="219"/>
      <c r="AA413" s="217"/>
      <c r="AB413" s="217"/>
      <c r="AC413" s="217"/>
      <c r="AD413" s="219"/>
      <c r="AE413" s="219"/>
      <c r="AF413" s="219"/>
      <c r="AG413" s="219"/>
      <c r="AH413" s="217"/>
      <c r="AI413" s="217"/>
      <c r="AJ413" s="217"/>
      <c r="AK413" s="217"/>
      <c r="AL413" s="217"/>
      <c r="AM413" s="219"/>
      <c r="AN413" s="219"/>
      <c r="AO413" s="217"/>
      <c r="AP413" s="217"/>
      <c r="AQ413" s="219"/>
      <c r="AR413" s="219"/>
      <c r="AS413" s="217"/>
    </row>
    <row r="414" spans="1:45" s="222" customFormat="1" x14ac:dyDescent="0.25">
      <c r="A414" s="250" t="str">
        <f t="shared" si="60"/>
        <v/>
      </c>
      <c r="B414" s="251" t="str">
        <f t="shared" si="53"/>
        <v/>
      </c>
      <c r="C414" s="251" t="str">
        <f>IF(B414="","",VLOOKUP(D414,'Species Data'!B:D,4,FALSE))</f>
        <v/>
      </c>
      <c r="D414" s="251" t="str">
        <f t="shared" ca="1" si="54"/>
        <v/>
      </c>
      <c r="E414" s="251" t="str">
        <f t="shared" ca="1" si="55"/>
        <v/>
      </c>
      <c r="F414" s="251" t="str">
        <f t="shared" ca="1" si="56"/>
        <v/>
      </c>
      <c r="G414" s="251" t="str">
        <f t="shared" ca="1" si="57"/>
        <v/>
      </c>
      <c r="H414" s="208" t="str">
        <f ca="1">IF(G414="","",IF(VLOOKUP(VOC!F414,'Species Data'!D:E,3,FALSE)=0,"X",IF(G414&lt;44.1,2,1)))</f>
        <v/>
      </c>
      <c r="I414" s="208" t="str">
        <f t="shared" ca="1" si="58"/>
        <v/>
      </c>
      <c r="J414" s="252" t="str">
        <f ca="1">IF(I414="","",IF(COUNTIF($D$12:D414,D414)=1,IF(H414=1,I414*H414,IF(H414="X","X",0)),0))</f>
        <v/>
      </c>
      <c r="K414" s="253" t="str">
        <f t="shared" ca="1" si="59"/>
        <v/>
      </c>
      <c r="L414" s="244"/>
      <c r="M414" s="217"/>
      <c r="N414" s="217"/>
      <c r="O414" s="218"/>
      <c r="P414" s="217"/>
      <c r="Q414" s="219"/>
      <c r="R414" s="217"/>
      <c r="S414" s="217"/>
      <c r="T414" s="217"/>
      <c r="U414" s="217"/>
      <c r="V414" s="219"/>
      <c r="W414" s="219"/>
      <c r="X414" s="219"/>
      <c r="Y414" s="219"/>
      <c r="Z414" s="219"/>
      <c r="AA414" s="217"/>
      <c r="AB414" s="217"/>
      <c r="AC414" s="217"/>
      <c r="AD414" s="219"/>
      <c r="AE414" s="219"/>
      <c r="AF414" s="219"/>
      <c r="AG414" s="219"/>
      <c r="AH414" s="217"/>
      <c r="AI414" s="217"/>
      <c r="AJ414" s="217"/>
      <c r="AK414" s="217"/>
      <c r="AL414" s="217"/>
      <c r="AM414" s="219"/>
      <c r="AN414" s="219"/>
      <c r="AO414" s="217"/>
      <c r="AP414" s="217"/>
      <c r="AQ414" s="219"/>
      <c r="AR414" s="219"/>
      <c r="AS414" s="217"/>
    </row>
    <row r="415" spans="1:45" s="222" customFormat="1" x14ac:dyDescent="0.25">
      <c r="A415" s="250" t="str">
        <f t="shared" si="60"/>
        <v/>
      </c>
      <c r="B415" s="251" t="str">
        <f t="shared" si="53"/>
        <v/>
      </c>
      <c r="C415" s="251" t="str">
        <f>IF(B415="","",VLOOKUP(D415,'Species Data'!B:D,4,FALSE))</f>
        <v/>
      </c>
      <c r="D415" s="251" t="str">
        <f t="shared" ca="1" si="54"/>
        <v/>
      </c>
      <c r="E415" s="251" t="str">
        <f t="shared" ca="1" si="55"/>
        <v/>
      </c>
      <c r="F415" s="251" t="str">
        <f t="shared" ca="1" si="56"/>
        <v/>
      </c>
      <c r="G415" s="251" t="str">
        <f t="shared" ca="1" si="57"/>
        <v/>
      </c>
      <c r="H415" s="208" t="str">
        <f ca="1">IF(G415="","",IF(VLOOKUP(VOC!F415,'Species Data'!D:E,3,FALSE)=0,"X",IF(G415&lt;44.1,2,1)))</f>
        <v/>
      </c>
      <c r="I415" s="208" t="str">
        <f t="shared" ca="1" si="58"/>
        <v/>
      </c>
      <c r="J415" s="252" t="str">
        <f ca="1">IF(I415="","",IF(COUNTIF($D$12:D415,D415)=1,IF(H415=1,I415*H415,IF(H415="X","X",0)),0))</f>
        <v/>
      </c>
      <c r="K415" s="253" t="str">
        <f t="shared" ca="1" si="59"/>
        <v/>
      </c>
      <c r="L415" s="244"/>
      <c r="M415" s="217"/>
      <c r="N415" s="217"/>
      <c r="O415" s="218"/>
      <c r="P415" s="217"/>
      <c r="Q415" s="219"/>
      <c r="R415" s="217"/>
      <c r="S415" s="217"/>
      <c r="T415" s="217"/>
      <c r="U415" s="217"/>
      <c r="V415" s="219"/>
      <c r="W415" s="219"/>
      <c r="X415" s="219"/>
      <c r="Y415" s="219"/>
      <c r="Z415" s="219"/>
      <c r="AA415" s="217"/>
      <c r="AB415" s="217"/>
      <c r="AC415" s="217"/>
      <c r="AD415" s="219"/>
      <c r="AE415" s="219"/>
      <c r="AF415" s="219"/>
      <c r="AG415" s="219"/>
      <c r="AH415" s="217"/>
      <c r="AI415" s="217"/>
      <c r="AJ415" s="217"/>
      <c r="AK415" s="217"/>
      <c r="AL415" s="217"/>
      <c r="AM415" s="219"/>
      <c r="AN415" s="219"/>
      <c r="AO415" s="217"/>
      <c r="AP415" s="217"/>
      <c r="AQ415" s="219"/>
      <c r="AR415" s="219"/>
      <c r="AS415" s="217"/>
    </row>
    <row r="416" spans="1:45" s="222" customFormat="1" x14ac:dyDescent="0.25">
      <c r="A416" s="250" t="str">
        <f t="shared" si="60"/>
        <v/>
      </c>
      <c r="B416" s="251" t="str">
        <f t="shared" si="53"/>
        <v/>
      </c>
      <c r="C416" s="251" t="str">
        <f>IF(B416="","",VLOOKUP(D416,'Species Data'!B:D,4,FALSE))</f>
        <v/>
      </c>
      <c r="D416" s="251" t="str">
        <f t="shared" ca="1" si="54"/>
        <v/>
      </c>
      <c r="E416" s="251" t="str">
        <f t="shared" ca="1" si="55"/>
        <v/>
      </c>
      <c r="F416" s="251" t="str">
        <f t="shared" ca="1" si="56"/>
        <v/>
      </c>
      <c r="G416" s="251" t="str">
        <f t="shared" ca="1" si="57"/>
        <v/>
      </c>
      <c r="H416" s="208" t="str">
        <f ca="1">IF(G416="","",IF(VLOOKUP(VOC!F416,'Species Data'!D:E,3,FALSE)=0,"X",IF(G416&lt;44.1,2,1)))</f>
        <v/>
      </c>
      <c r="I416" s="208" t="str">
        <f t="shared" ca="1" si="58"/>
        <v/>
      </c>
      <c r="J416" s="252" t="str">
        <f ca="1">IF(I416="","",IF(COUNTIF($D$12:D416,D416)=1,IF(H416=1,I416*H416,IF(H416="X","X",0)),0))</f>
        <v/>
      </c>
      <c r="K416" s="253" t="str">
        <f t="shared" ca="1" si="59"/>
        <v/>
      </c>
      <c r="L416" s="244"/>
      <c r="M416" s="217"/>
      <c r="N416" s="217"/>
      <c r="O416" s="218"/>
      <c r="P416" s="217"/>
      <c r="Q416" s="219"/>
      <c r="R416" s="217"/>
      <c r="S416" s="217"/>
      <c r="T416" s="217"/>
      <c r="U416" s="217"/>
      <c r="V416" s="219"/>
      <c r="W416" s="219"/>
      <c r="X416" s="219"/>
      <c r="Y416" s="219"/>
      <c r="Z416" s="219"/>
      <c r="AA416" s="217"/>
      <c r="AB416" s="217"/>
      <c r="AC416" s="217"/>
      <c r="AD416" s="219"/>
      <c r="AE416" s="219"/>
      <c r="AF416" s="219"/>
      <c r="AG416" s="219"/>
      <c r="AH416" s="217"/>
      <c r="AI416" s="217"/>
      <c r="AJ416" s="217"/>
      <c r="AK416" s="217"/>
      <c r="AL416" s="217"/>
      <c r="AM416" s="219"/>
      <c r="AN416" s="219"/>
      <c r="AO416" s="217"/>
      <c r="AP416" s="217"/>
      <c r="AQ416" s="219"/>
      <c r="AR416" s="219"/>
      <c r="AS416" s="217"/>
    </row>
    <row r="417" spans="1:45" s="222" customFormat="1" x14ac:dyDescent="0.25">
      <c r="A417" s="250" t="str">
        <f t="shared" si="60"/>
        <v/>
      </c>
      <c r="B417" s="251" t="str">
        <f t="shared" si="53"/>
        <v/>
      </c>
      <c r="C417" s="251" t="str">
        <f>IF(B417="","",VLOOKUP(D417,'Species Data'!B:D,4,FALSE))</f>
        <v/>
      </c>
      <c r="D417" s="251" t="str">
        <f t="shared" ca="1" si="54"/>
        <v/>
      </c>
      <c r="E417" s="251" t="str">
        <f t="shared" ca="1" si="55"/>
        <v/>
      </c>
      <c r="F417" s="251" t="str">
        <f t="shared" ca="1" si="56"/>
        <v/>
      </c>
      <c r="G417" s="251" t="str">
        <f t="shared" ca="1" si="57"/>
        <v/>
      </c>
      <c r="H417" s="208" t="str">
        <f ca="1">IF(G417="","",IF(VLOOKUP(VOC!F417,'Species Data'!D:E,3,FALSE)=0,"X",IF(G417&lt;44.1,2,1)))</f>
        <v/>
      </c>
      <c r="I417" s="208" t="str">
        <f t="shared" ca="1" si="58"/>
        <v/>
      </c>
      <c r="J417" s="252" t="str">
        <f ca="1">IF(I417="","",IF(COUNTIF($D$12:D417,D417)=1,IF(H417=1,I417*H417,IF(H417="X","X",0)),0))</f>
        <v/>
      </c>
      <c r="K417" s="253" t="str">
        <f t="shared" ca="1" si="59"/>
        <v/>
      </c>
      <c r="L417" s="244"/>
      <c r="M417" s="217"/>
      <c r="N417" s="217"/>
      <c r="O417" s="218"/>
      <c r="P417" s="217"/>
      <c r="Q417" s="219"/>
      <c r="R417" s="217"/>
      <c r="S417" s="217"/>
      <c r="T417" s="217"/>
      <c r="U417" s="217"/>
      <c r="V417" s="219"/>
      <c r="W417" s="219"/>
      <c r="X417" s="219"/>
      <c r="Y417" s="219"/>
      <c r="Z417" s="219"/>
      <c r="AA417" s="217"/>
      <c r="AB417" s="217"/>
      <c r="AC417" s="217"/>
      <c r="AD417" s="219"/>
      <c r="AE417" s="219"/>
      <c r="AF417" s="219"/>
      <c r="AG417" s="219"/>
      <c r="AH417" s="217"/>
      <c r="AI417" s="217"/>
      <c r="AJ417" s="217"/>
      <c r="AK417" s="217"/>
      <c r="AL417" s="217"/>
      <c r="AM417" s="219"/>
      <c r="AN417" s="219"/>
      <c r="AO417" s="217"/>
      <c r="AP417" s="217"/>
      <c r="AQ417" s="219"/>
      <c r="AR417" s="219"/>
      <c r="AS417" s="217"/>
    </row>
    <row r="418" spans="1:45" s="222" customFormat="1" x14ac:dyDescent="0.25">
      <c r="A418" s="250" t="str">
        <f t="shared" si="60"/>
        <v/>
      </c>
      <c r="B418" s="251" t="str">
        <f t="shared" si="53"/>
        <v/>
      </c>
      <c r="C418" s="251" t="str">
        <f>IF(B418="","",VLOOKUP(D418,'Species Data'!B:D,4,FALSE))</f>
        <v/>
      </c>
      <c r="D418" s="251" t="str">
        <f t="shared" ca="1" si="54"/>
        <v/>
      </c>
      <c r="E418" s="251" t="str">
        <f t="shared" ca="1" si="55"/>
        <v/>
      </c>
      <c r="F418" s="251" t="str">
        <f t="shared" ca="1" si="56"/>
        <v/>
      </c>
      <c r="G418" s="251" t="str">
        <f t="shared" ca="1" si="57"/>
        <v/>
      </c>
      <c r="H418" s="208" t="str">
        <f ca="1">IF(G418="","",IF(VLOOKUP(VOC!F418,'Species Data'!D:E,3,FALSE)=0,"X",IF(G418&lt;44.1,2,1)))</f>
        <v/>
      </c>
      <c r="I418" s="208" t="str">
        <f t="shared" ca="1" si="58"/>
        <v/>
      </c>
      <c r="J418" s="252" t="str">
        <f ca="1">IF(I418="","",IF(COUNTIF($D$12:D418,D418)=1,IF(H418=1,I418*H418,IF(H418="X","X",0)),0))</f>
        <v/>
      </c>
      <c r="K418" s="253" t="str">
        <f t="shared" ca="1" si="59"/>
        <v/>
      </c>
      <c r="L418" s="244"/>
      <c r="M418" s="217"/>
      <c r="N418" s="217"/>
      <c r="O418" s="218"/>
      <c r="P418" s="217"/>
      <c r="Q418" s="219"/>
      <c r="R418" s="217"/>
      <c r="S418" s="217"/>
      <c r="T418" s="217"/>
      <c r="U418" s="217"/>
      <c r="V418" s="219"/>
      <c r="W418" s="219"/>
      <c r="X418" s="219"/>
      <c r="Y418" s="219"/>
      <c r="Z418" s="219"/>
      <c r="AA418" s="217"/>
      <c r="AB418" s="217"/>
      <c r="AC418" s="217"/>
      <c r="AD418" s="219"/>
      <c r="AE418" s="219"/>
      <c r="AF418" s="219"/>
      <c r="AG418" s="219"/>
      <c r="AH418" s="217"/>
      <c r="AI418" s="217"/>
      <c r="AJ418" s="217"/>
      <c r="AK418" s="217"/>
      <c r="AL418" s="217"/>
      <c r="AM418" s="219"/>
      <c r="AN418" s="219"/>
      <c r="AO418" s="217"/>
      <c r="AP418" s="217"/>
      <c r="AQ418" s="219"/>
      <c r="AR418" s="219"/>
      <c r="AS418" s="217"/>
    </row>
    <row r="419" spans="1:45" s="222" customFormat="1" x14ac:dyDescent="0.25">
      <c r="A419" s="250" t="str">
        <f t="shared" si="60"/>
        <v/>
      </c>
      <c r="B419" s="251" t="str">
        <f t="shared" si="53"/>
        <v/>
      </c>
      <c r="C419" s="251" t="str">
        <f>IF(B419="","",VLOOKUP(D419,'Species Data'!B:D,4,FALSE))</f>
        <v/>
      </c>
      <c r="D419" s="251" t="str">
        <f t="shared" ca="1" si="54"/>
        <v/>
      </c>
      <c r="E419" s="251" t="str">
        <f t="shared" ca="1" si="55"/>
        <v/>
      </c>
      <c r="F419" s="251" t="str">
        <f t="shared" ca="1" si="56"/>
        <v/>
      </c>
      <c r="G419" s="251" t="str">
        <f t="shared" ca="1" si="57"/>
        <v/>
      </c>
      <c r="H419" s="208" t="str">
        <f ca="1">IF(G419="","",IF(VLOOKUP(VOC!F419,'Species Data'!D:E,3,FALSE)=0,"X",IF(G419&lt;44.1,2,1)))</f>
        <v/>
      </c>
      <c r="I419" s="208" t="str">
        <f t="shared" ca="1" si="58"/>
        <v/>
      </c>
      <c r="J419" s="252" t="str">
        <f ca="1">IF(I419="","",IF(COUNTIF($D$12:D419,D419)=1,IF(H419=1,I419*H419,IF(H419="X","X",0)),0))</f>
        <v/>
      </c>
      <c r="K419" s="253" t="str">
        <f t="shared" ca="1" si="59"/>
        <v/>
      </c>
      <c r="L419" s="244"/>
      <c r="M419" s="217"/>
      <c r="N419" s="217"/>
      <c r="O419" s="218"/>
      <c r="P419" s="217"/>
      <c r="Q419" s="219"/>
      <c r="R419" s="217"/>
      <c r="S419" s="217"/>
      <c r="T419" s="217"/>
      <c r="U419" s="217"/>
      <c r="V419" s="219"/>
      <c r="W419" s="219"/>
      <c r="X419" s="219"/>
      <c r="Y419" s="219"/>
      <c r="Z419" s="219"/>
      <c r="AA419" s="217"/>
      <c r="AB419" s="217"/>
      <c r="AC419" s="217"/>
      <c r="AD419" s="219"/>
      <c r="AE419" s="219"/>
      <c r="AF419" s="219"/>
      <c r="AG419" s="219"/>
      <c r="AH419" s="217"/>
      <c r="AI419" s="217"/>
      <c r="AJ419" s="217"/>
      <c r="AK419" s="217"/>
      <c r="AL419" s="217"/>
      <c r="AM419" s="219"/>
      <c r="AN419" s="219"/>
      <c r="AO419" s="217"/>
      <c r="AP419" s="217"/>
      <c r="AQ419" s="219"/>
      <c r="AR419" s="219"/>
      <c r="AS419" s="217"/>
    </row>
    <row r="420" spans="1:45" x14ac:dyDescent="0.25">
      <c r="A420" s="250" t="str">
        <f t="shared" si="60"/>
        <v/>
      </c>
      <c r="B420" s="251" t="str">
        <f t="shared" si="53"/>
        <v/>
      </c>
      <c r="C420" s="251" t="str">
        <f>IF(B420="","",VLOOKUP(D420,'Species Data'!B:D,4,FALSE))</f>
        <v/>
      </c>
      <c r="D420" s="251" t="str">
        <f t="shared" ca="1" si="54"/>
        <v/>
      </c>
      <c r="E420" s="251" t="str">
        <f t="shared" ca="1" si="55"/>
        <v/>
      </c>
      <c r="F420" s="251" t="str">
        <f t="shared" ca="1" si="56"/>
        <v/>
      </c>
      <c r="G420" s="251" t="str">
        <f t="shared" ca="1" si="57"/>
        <v/>
      </c>
      <c r="H420" s="208" t="str">
        <f ca="1">IF(G420="","",IF(VLOOKUP(VOC!F420,'Species Data'!D:E,3,FALSE)=0,"X",IF(G420&lt;44.1,2,1)))</f>
        <v/>
      </c>
      <c r="I420" s="208" t="str">
        <f t="shared" ca="1" si="58"/>
        <v/>
      </c>
      <c r="J420" s="252" t="str">
        <f ca="1">IF(I420="","",IF(COUNTIF($D$12:D420,D420)=1,IF(H420=1,I420*H420,IF(H420="X","X",0)),0))</f>
        <v/>
      </c>
      <c r="K420" s="253" t="str">
        <f t="shared" ca="1" si="59"/>
        <v/>
      </c>
      <c r="L420" s="244"/>
      <c r="M420" s="217"/>
      <c r="N420" s="217"/>
      <c r="O420" s="218"/>
      <c r="P420" s="217"/>
      <c r="Q420" s="219"/>
      <c r="R420" s="217"/>
      <c r="S420" s="217"/>
      <c r="T420" s="217"/>
      <c r="U420" s="217"/>
      <c r="V420" s="219"/>
      <c r="W420" s="219"/>
      <c r="X420" s="219"/>
      <c r="Y420" s="219"/>
      <c r="Z420" s="219"/>
      <c r="AA420" s="217"/>
      <c r="AB420" s="217"/>
      <c r="AC420" s="217"/>
      <c r="AD420" s="219"/>
      <c r="AE420" s="219"/>
      <c r="AF420" s="219"/>
      <c r="AG420" s="219"/>
      <c r="AH420" s="217"/>
      <c r="AI420" s="217"/>
      <c r="AJ420" s="217"/>
      <c r="AK420" s="217"/>
      <c r="AL420" s="217"/>
      <c r="AM420" s="219"/>
      <c r="AN420" s="219"/>
      <c r="AO420" s="217"/>
      <c r="AP420" s="217"/>
      <c r="AQ420" s="219"/>
      <c r="AR420" s="219"/>
      <c r="AS420" s="217"/>
    </row>
    <row r="421" spans="1:45" x14ac:dyDescent="0.25">
      <c r="A421" s="250" t="str">
        <f t="shared" si="60"/>
        <v/>
      </c>
      <c r="B421" s="251" t="str">
        <f t="shared" si="53"/>
        <v/>
      </c>
      <c r="C421" s="251" t="str">
        <f>IF(B421="","",VLOOKUP(D421,'Species Data'!B:D,4,FALSE))</f>
        <v/>
      </c>
      <c r="D421" s="251" t="str">
        <f t="shared" ca="1" si="54"/>
        <v/>
      </c>
      <c r="E421" s="251" t="str">
        <f t="shared" ca="1" si="55"/>
        <v/>
      </c>
      <c r="F421" s="251" t="str">
        <f t="shared" ca="1" si="56"/>
        <v/>
      </c>
      <c r="G421" s="251" t="str">
        <f t="shared" ca="1" si="57"/>
        <v/>
      </c>
      <c r="H421" s="208" t="str">
        <f ca="1">IF(G421="","",IF(VLOOKUP(VOC!F421,'Species Data'!D:E,3,FALSE)=0,"X",IF(G421&lt;44.1,2,1)))</f>
        <v/>
      </c>
      <c r="I421" s="208" t="str">
        <f t="shared" ca="1" si="58"/>
        <v/>
      </c>
      <c r="J421" s="252" t="str">
        <f ca="1">IF(I421="","",IF(COUNTIF($D$12:D421,D421)=1,IF(H421=1,I421*H421,IF(H421="X","X",0)),0))</f>
        <v/>
      </c>
      <c r="K421" s="253" t="str">
        <f t="shared" ca="1" si="59"/>
        <v/>
      </c>
      <c r="L421" s="244"/>
      <c r="M421" s="217"/>
      <c r="N421" s="217"/>
      <c r="O421" s="218"/>
      <c r="P421" s="217"/>
      <c r="Q421" s="219"/>
      <c r="R421" s="217"/>
      <c r="S421" s="217"/>
      <c r="T421" s="217"/>
      <c r="U421" s="217"/>
      <c r="V421" s="219"/>
      <c r="W421" s="219"/>
      <c r="X421" s="219"/>
      <c r="Y421" s="219"/>
      <c r="Z421" s="219"/>
      <c r="AA421" s="217"/>
      <c r="AB421" s="217"/>
      <c r="AC421" s="217"/>
      <c r="AD421" s="219"/>
      <c r="AE421" s="219"/>
      <c r="AF421" s="219"/>
      <c r="AG421" s="219"/>
      <c r="AH421" s="217"/>
      <c r="AI421" s="217"/>
      <c r="AJ421" s="217"/>
      <c r="AK421" s="217"/>
      <c r="AL421" s="217"/>
      <c r="AM421" s="219"/>
      <c r="AN421" s="219"/>
      <c r="AO421" s="217"/>
      <c r="AP421" s="217"/>
      <c r="AQ421" s="219"/>
      <c r="AR421" s="219"/>
      <c r="AS421" s="217"/>
    </row>
    <row r="422" spans="1:45" x14ac:dyDescent="0.25">
      <c r="A422" s="250" t="str">
        <f t="shared" si="60"/>
        <v/>
      </c>
      <c r="B422" s="251" t="str">
        <f t="shared" si="53"/>
        <v/>
      </c>
      <c r="C422" s="251" t="str">
        <f>IF(B422="","",VLOOKUP(D422,'Species Data'!B:D,4,FALSE))</f>
        <v/>
      </c>
      <c r="D422" s="251" t="str">
        <f t="shared" ca="1" si="54"/>
        <v/>
      </c>
      <c r="E422" s="251" t="str">
        <f t="shared" ca="1" si="55"/>
        <v/>
      </c>
      <c r="F422" s="251" t="str">
        <f t="shared" ca="1" si="56"/>
        <v/>
      </c>
      <c r="G422" s="251" t="str">
        <f t="shared" ca="1" si="57"/>
        <v/>
      </c>
      <c r="H422" s="208" t="str">
        <f ca="1">IF(G422="","",IF(VLOOKUP(VOC!F422,'Species Data'!D:E,3,FALSE)=0,"X",IF(G422&lt;44.1,2,1)))</f>
        <v/>
      </c>
      <c r="I422" s="208" t="str">
        <f t="shared" ca="1" si="58"/>
        <v/>
      </c>
      <c r="J422" s="252" t="str">
        <f ca="1">IF(I422="","",IF(COUNTIF($D$12:D422,D422)=1,IF(H422=1,I422*H422,IF(H422="X","X",0)),0))</f>
        <v/>
      </c>
      <c r="K422" s="253" t="str">
        <f t="shared" ca="1" si="59"/>
        <v/>
      </c>
      <c r="L422" s="244"/>
      <c r="M422" s="217"/>
      <c r="N422" s="217"/>
      <c r="O422" s="218"/>
      <c r="P422" s="217"/>
      <c r="Q422" s="219"/>
      <c r="R422" s="217"/>
      <c r="S422" s="217"/>
      <c r="T422" s="217"/>
      <c r="U422" s="217"/>
      <c r="V422" s="219"/>
      <c r="W422" s="219"/>
      <c r="X422" s="219"/>
      <c r="Y422" s="219"/>
      <c r="Z422" s="219"/>
      <c r="AA422" s="217"/>
      <c r="AB422" s="217"/>
      <c r="AC422" s="217"/>
      <c r="AD422" s="219"/>
      <c r="AE422" s="219"/>
      <c r="AF422" s="219"/>
      <c r="AG422" s="219"/>
      <c r="AH422" s="217"/>
      <c r="AI422" s="217"/>
      <c r="AJ422" s="217"/>
      <c r="AK422" s="217"/>
      <c r="AL422" s="217"/>
      <c r="AM422" s="219"/>
      <c r="AN422" s="219"/>
      <c r="AO422" s="217"/>
      <c r="AP422" s="217"/>
      <c r="AQ422" s="219"/>
      <c r="AR422" s="219"/>
      <c r="AS422" s="217"/>
    </row>
    <row r="423" spans="1:45" x14ac:dyDescent="0.25">
      <c r="A423" s="250" t="str">
        <f t="shared" si="60"/>
        <v/>
      </c>
      <c r="B423" s="251" t="str">
        <f t="shared" si="53"/>
        <v/>
      </c>
      <c r="C423" s="251" t="str">
        <f>IF(B423="","",VLOOKUP(D423,'Species Data'!B:D,4,FALSE))</f>
        <v/>
      </c>
      <c r="D423" s="251" t="str">
        <f t="shared" ca="1" si="54"/>
        <v/>
      </c>
      <c r="E423" s="251" t="str">
        <f t="shared" ca="1" si="55"/>
        <v/>
      </c>
      <c r="F423" s="251" t="str">
        <f t="shared" ca="1" si="56"/>
        <v/>
      </c>
      <c r="G423" s="251" t="str">
        <f t="shared" ca="1" si="57"/>
        <v/>
      </c>
      <c r="H423" s="208" t="str">
        <f ca="1">IF(G423="","",IF(VLOOKUP(VOC!F423,'Species Data'!D:E,3,FALSE)=0,"X",IF(G423&lt;44.1,2,1)))</f>
        <v/>
      </c>
      <c r="I423" s="208" t="str">
        <f t="shared" ca="1" si="58"/>
        <v/>
      </c>
      <c r="J423" s="252" t="str">
        <f ca="1">IF(I423="","",IF(COUNTIF($D$12:D423,D423)=1,IF(H423=1,I423*H423,IF(H423="X","X",0)),0))</f>
        <v/>
      </c>
      <c r="K423" s="253" t="str">
        <f t="shared" ca="1" si="59"/>
        <v/>
      </c>
      <c r="L423" s="244"/>
      <c r="M423" s="217"/>
      <c r="N423" s="217"/>
      <c r="O423" s="218"/>
      <c r="P423" s="217"/>
      <c r="Q423" s="219"/>
      <c r="R423" s="217"/>
      <c r="S423" s="217"/>
      <c r="T423" s="217"/>
      <c r="U423" s="217"/>
      <c r="V423" s="219"/>
      <c r="W423" s="219"/>
      <c r="X423" s="219"/>
      <c r="Y423" s="219"/>
      <c r="Z423" s="219"/>
      <c r="AA423" s="217"/>
      <c r="AB423" s="217"/>
      <c r="AC423" s="217"/>
      <c r="AD423" s="219"/>
      <c r="AE423" s="219"/>
      <c r="AF423" s="219"/>
      <c r="AG423" s="219"/>
      <c r="AH423" s="217"/>
      <c r="AI423" s="217"/>
      <c r="AJ423" s="217"/>
      <c r="AK423" s="217"/>
      <c r="AL423" s="217"/>
      <c r="AM423" s="219"/>
      <c r="AN423" s="219"/>
      <c r="AO423" s="217"/>
      <c r="AP423" s="217"/>
      <c r="AQ423" s="219"/>
      <c r="AR423" s="219"/>
      <c r="AS423" s="217"/>
    </row>
    <row r="424" spans="1:45" x14ac:dyDescent="0.25">
      <c r="A424" s="250" t="str">
        <f t="shared" si="60"/>
        <v/>
      </c>
      <c r="B424" s="251" t="str">
        <f t="shared" si="53"/>
        <v/>
      </c>
      <c r="C424" s="251" t="str">
        <f>IF(B424="","",VLOOKUP(D424,'Species Data'!B:D,4,FALSE))</f>
        <v/>
      </c>
      <c r="D424" s="251" t="str">
        <f t="shared" ca="1" si="54"/>
        <v/>
      </c>
      <c r="E424" s="251" t="str">
        <f t="shared" ca="1" si="55"/>
        <v/>
      </c>
      <c r="F424" s="251" t="str">
        <f t="shared" ca="1" si="56"/>
        <v/>
      </c>
      <c r="G424" s="251" t="str">
        <f t="shared" ca="1" si="57"/>
        <v/>
      </c>
      <c r="H424" s="208" t="str">
        <f ca="1">IF(G424="","",IF(VLOOKUP(VOC!F424,'Species Data'!D:E,3,FALSE)=0,"X",IF(G424&lt;44.1,2,1)))</f>
        <v/>
      </c>
      <c r="I424" s="208" t="str">
        <f t="shared" ca="1" si="58"/>
        <v/>
      </c>
      <c r="J424" s="252" t="str">
        <f ca="1">IF(I424="","",IF(COUNTIF($D$12:D424,D424)=1,IF(H424=1,I424*H424,IF(H424="X","X",0)),0))</f>
        <v/>
      </c>
      <c r="K424" s="253" t="str">
        <f t="shared" ca="1" si="59"/>
        <v/>
      </c>
      <c r="L424" s="244"/>
      <c r="M424" s="217"/>
      <c r="N424" s="217"/>
      <c r="O424" s="218"/>
      <c r="P424" s="217"/>
      <c r="Q424" s="219"/>
      <c r="R424" s="217"/>
      <c r="S424" s="217"/>
      <c r="T424" s="217"/>
      <c r="U424" s="217"/>
      <c r="V424" s="219"/>
      <c r="W424" s="219"/>
      <c r="X424" s="219"/>
      <c r="Y424" s="219"/>
      <c r="Z424" s="219"/>
      <c r="AA424" s="217"/>
      <c r="AB424" s="217"/>
      <c r="AC424" s="217"/>
      <c r="AD424" s="219"/>
      <c r="AE424" s="219"/>
      <c r="AF424" s="219"/>
      <c r="AG424" s="219"/>
      <c r="AH424" s="217"/>
      <c r="AI424" s="217"/>
      <c r="AJ424" s="217"/>
      <c r="AK424" s="217"/>
      <c r="AL424" s="217"/>
      <c r="AM424" s="219"/>
      <c r="AN424" s="219"/>
      <c r="AO424" s="217"/>
      <c r="AP424" s="217"/>
      <c r="AQ424" s="219"/>
      <c r="AR424" s="219"/>
      <c r="AS424" s="217"/>
    </row>
    <row r="425" spans="1:45" x14ac:dyDescent="0.25">
      <c r="A425" s="250" t="str">
        <f t="shared" si="60"/>
        <v/>
      </c>
      <c r="B425" s="251" t="str">
        <f t="shared" si="53"/>
        <v/>
      </c>
      <c r="C425" s="251" t="str">
        <f>IF(B425="","",VLOOKUP(D425,'Species Data'!B:D,4,FALSE))</f>
        <v/>
      </c>
      <c r="D425" s="251" t="str">
        <f t="shared" ca="1" si="54"/>
        <v/>
      </c>
      <c r="E425" s="251" t="str">
        <f t="shared" ca="1" si="55"/>
        <v/>
      </c>
      <c r="F425" s="251" t="str">
        <f t="shared" ca="1" si="56"/>
        <v/>
      </c>
      <c r="G425" s="251" t="str">
        <f t="shared" ca="1" si="57"/>
        <v/>
      </c>
      <c r="H425" s="208" t="str">
        <f ca="1">IF(G425="","",IF(VLOOKUP(VOC!F425,'Species Data'!D:E,3,FALSE)=0,"X",IF(G425&lt;44.1,2,1)))</f>
        <v/>
      </c>
      <c r="I425" s="208" t="str">
        <f t="shared" ca="1" si="58"/>
        <v/>
      </c>
      <c r="J425" s="252" t="str">
        <f ca="1">IF(I425="","",IF(COUNTIF($D$12:D425,D425)=1,IF(H425=1,I425*H425,IF(H425="X","X",0)),0))</f>
        <v/>
      </c>
      <c r="K425" s="253" t="str">
        <f t="shared" ca="1" si="59"/>
        <v/>
      </c>
      <c r="L425" s="244"/>
      <c r="M425" s="217"/>
      <c r="N425" s="217"/>
      <c r="O425" s="218"/>
      <c r="P425" s="217"/>
      <c r="Q425" s="219"/>
      <c r="R425" s="217"/>
      <c r="S425" s="217"/>
      <c r="T425" s="217"/>
      <c r="U425" s="217"/>
      <c r="V425" s="219"/>
      <c r="W425" s="219"/>
      <c r="X425" s="219"/>
      <c r="Y425" s="219"/>
      <c r="Z425" s="219"/>
      <c r="AA425" s="217"/>
      <c r="AB425" s="217"/>
      <c r="AC425" s="217"/>
      <c r="AD425" s="219"/>
      <c r="AE425" s="219"/>
      <c r="AF425" s="219"/>
      <c r="AG425" s="219"/>
      <c r="AH425" s="217"/>
      <c r="AI425" s="217"/>
      <c r="AJ425" s="217"/>
      <c r="AK425" s="217"/>
      <c r="AL425" s="217"/>
      <c r="AM425" s="219"/>
      <c r="AN425" s="219"/>
      <c r="AO425" s="217"/>
      <c r="AP425" s="217"/>
      <c r="AQ425" s="219"/>
      <c r="AR425" s="219"/>
      <c r="AS425" s="217"/>
    </row>
    <row r="426" spans="1:45" x14ac:dyDescent="0.25">
      <c r="A426" s="250" t="str">
        <f t="shared" si="60"/>
        <v/>
      </c>
      <c r="B426" s="251" t="str">
        <f t="shared" si="53"/>
        <v/>
      </c>
      <c r="C426" s="251" t="str">
        <f>IF(B426="","",VLOOKUP(D426,'Species Data'!B:D,4,FALSE))</f>
        <v/>
      </c>
      <c r="D426" s="251" t="str">
        <f t="shared" ca="1" si="54"/>
        <v/>
      </c>
      <c r="E426" s="251" t="str">
        <f t="shared" ca="1" si="55"/>
        <v/>
      </c>
      <c r="F426" s="251" t="str">
        <f t="shared" ca="1" si="56"/>
        <v/>
      </c>
      <c r="G426" s="251" t="str">
        <f t="shared" ca="1" si="57"/>
        <v/>
      </c>
      <c r="H426" s="208" t="str">
        <f ca="1">IF(G426="","",IF(VLOOKUP(VOC!F426,'Species Data'!D:E,3,FALSE)=0,"X",IF(G426&lt;44.1,2,1)))</f>
        <v/>
      </c>
      <c r="I426" s="208" t="str">
        <f t="shared" ca="1" si="58"/>
        <v/>
      </c>
      <c r="J426" s="252" t="str">
        <f ca="1">IF(I426="","",IF(COUNTIF($D$12:D426,D426)=1,IF(H426=1,I426*H426,IF(H426="X","X",0)),0))</f>
        <v/>
      </c>
      <c r="K426" s="253" t="str">
        <f t="shared" ca="1" si="59"/>
        <v/>
      </c>
      <c r="L426" s="244"/>
      <c r="M426" s="217"/>
      <c r="N426" s="217"/>
      <c r="O426" s="218"/>
      <c r="P426" s="217"/>
      <c r="Q426" s="219"/>
      <c r="R426" s="217"/>
      <c r="S426" s="217"/>
      <c r="T426" s="217"/>
      <c r="U426" s="217"/>
      <c r="V426" s="219"/>
      <c r="W426" s="219"/>
      <c r="X426" s="219"/>
      <c r="Y426" s="219"/>
      <c r="Z426" s="219"/>
      <c r="AA426" s="217"/>
      <c r="AB426" s="217"/>
      <c r="AC426" s="217"/>
      <c r="AD426" s="219"/>
      <c r="AE426" s="219"/>
      <c r="AF426" s="219"/>
      <c r="AG426" s="219"/>
      <c r="AH426" s="217"/>
      <c r="AI426" s="217"/>
      <c r="AJ426" s="217"/>
      <c r="AK426" s="217"/>
      <c r="AL426" s="217"/>
      <c r="AM426" s="219"/>
      <c r="AN426" s="219"/>
      <c r="AO426" s="217"/>
      <c r="AP426" s="217"/>
      <c r="AQ426" s="219"/>
      <c r="AR426" s="219"/>
      <c r="AS426" s="217"/>
    </row>
    <row r="427" spans="1:45" x14ac:dyDescent="0.25">
      <c r="A427" s="250" t="str">
        <f t="shared" si="60"/>
        <v/>
      </c>
      <c r="B427" s="251" t="str">
        <f t="shared" si="53"/>
        <v/>
      </c>
      <c r="C427" s="251" t="str">
        <f>IF(B427="","",VLOOKUP(D427,'Species Data'!B:D,4,FALSE))</f>
        <v/>
      </c>
      <c r="D427" s="251" t="str">
        <f t="shared" ca="1" si="54"/>
        <v/>
      </c>
      <c r="E427" s="251" t="str">
        <f t="shared" ca="1" si="55"/>
        <v/>
      </c>
      <c r="F427" s="251" t="str">
        <f t="shared" ca="1" si="56"/>
        <v/>
      </c>
      <c r="G427" s="251" t="str">
        <f t="shared" ca="1" si="57"/>
        <v/>
      </c>
      <c r="H427" s="208" t="str">
        <f ca="1">IF(G427="","",IF(VLOOKUP(VOC!F427,'Species Data'!D:E,3,FALSE)=0,"X",IF(G427&lt;44.1,2,1)))</f>
        <v/>
      </c>
      <c r="I427" s="208" t="str">
        <f t="shared" ca="1" si="58"/>
        <v/>
      </c>
      <c r="J427" s="252" t="str">
        <f ca="1">IF(I427="","",IF(COUNTIF($D$12:D427,D427)=1,IF(H427=1,I427*H427,IF(H427="X","X",0)),0))</f>
        <v/>
      </c>
      <c r="K427" s="253" t="str">
        <f t="shared" ca="1" si="59"/>
        <v/>
      </c>
      <c r="L427" s="244"/>
      <c r="M427" s="217"/>
      <c r="N427" s="217"/>
      <c r="O427" s="218"/>
      <c r="P427" s="217"/>
      <c r="Q427" s="219"/>
      <c r="R427" s="217"/>
      <c r="S427" s="217"/>
      <c r="T427" s="217"/>
      <c r="U427" s="217"/>
      <c r="V427" s="219"/>
      <c r="W427" s="219"/>
      <c r="X427" s="219"/>
      <c r="Y427" s="219"/>
      <c r="Z427" s="219"/>
      <c r="AA427" s="217"/>
      <c r="AB427" s="217"/>
      <c r="AC427" s="217"/>
      <c r="AD427" s="219"/>
      <c r="AE427" s="219"/>
      <c r="AF427" s="219"/>
      <c r="AG427" s="219"/>
      <c r="AH427" s="217"/>
      <c r="AI427" s="217"/>
      <c r="AJ427" s="217"/>
      <c r="AK427" s="217"/>
      <c r="AL427" s="217"/>
      <c r="AM427" s="219"/>
      <c r="AN427" s="219"/>
      <c r="AO427" s="217"/>
      <c r="AP427" s="217"/>
      <c r="AQ427" s="219"/>
      <c r="AR427" s="219"/>
      <c r="AS427" s="217"/>
    </row>
    <row r="428" spans="1:45" x14ac:dyDescent="0.25">
      <c r="A428" s="250" t="str">
        <f t="shared" si="60"/>
        <v/>
      </c>
      <c r="B428" s="251" t="str">
        <f t="shared" si="53"/>
        <v/>
      </c>
      <c r="C428" s="251" t="str">
        <f>IF(B428="","",VLOOKUP(D428,'Species Data'!B:D,4,FALSE))</f>
        <v/>
      </c>
      <c r="D428" s="251" t="str">
        <f t="shared" ca="1" si="54"/>
        <v/>
      </c>
      <c r="E428" s="251" t="str">
        <f t="shared" ca="1" si="55"/>
        <v/>
      </c>
      <c r="F428" s="251" t="str">
        <f t="shared" ca="1" si="56"/>
        <v/>
      </c>
      <c r="G428" s="251" t="str">
        <f t="shared" ca="1" si="57"/>
        <v/>
      </c>
      <c r="H428" s="208" t="str">
        <f ca="1">IF(G428="","",IF(VLOOKUP(VOC!F428,'Species Data'!D:E,3,FALSE)=0,"X",IF(G428&lt;44.1,2,1)))</f>
        <v/>
      </c>
      <c r="I428" s="208" t="str">
        <f t="shared" ca="1" si="58"/>
        <v/>
      </c>
      <c r="J428" s="252" t="str">
        <f ca="1">IF(I428="","",IF(COUNTIF($D$12:D428,D428)=1,IF(H428=1,I428*H428,IF(H428="X","X",0)),0))</f>
        <v/>
      </c>
      <c r="K428" s="253" t="str">
        <f t="shared" ca="1" si="59"/>
        <v/>
      </c>
      <c r="L428" s="244"/>
      <c r="M428" s="217"/>
      <c r="N428" s="217"/>
      <c r="O428" s="218"/>
      <c r="P428" s="217"/>
      <c r="Q428" s="219"/>
      <c r="R428" s="217"/>
      <c r="S428" s="217"/>
      <c r="T428" s="217"/>
      <c r="U428" s="217"/>
      <c r="V428" s="219"/>
      <c r="W428" s="219"/>
      <c r="X428" s="219"/>
      <c r="Y428" s="219"/>
      <c r="Z428" s="219"/>
      <c r="AA428" s="217"/>
      <c r="AB428" s="217"/>
      <c r="AC428" s="217"/>
      <c r="AD428" s="219"/>
      <c r="AE428" s="219"/>
      <c r="AF428" s="219"/>
      <c r="AG428" s="219"/>
      <c r="AH428" s="217"/>
      <c r="AI428" s="217"/>
      <c r="AJ428" s="217"/>
      <c r="AK428" s="217"/>
      <c r="AL428" s="217"/>
      <c r="AM428" s="219"/>
      <c r="AN428" s="219"/>
      <c r="AO428" s="217"/>
      <c r="AP428" s="217"/>
      <c r="AQ428" s="219"/>
      <c r="AR428" s="219"/>
      <c r="AS428" s="217"/>
    </row>
    <row r="429" spans="1:45" x14ac:dyDescent="0.25">
      <c r="A429" s="250" t="str">
        <f t="shared" si="60"/>
        <v/>
      </c>
      <c r="B429" s="251" t="str">
        <f t="shared" si="53"/>
        <v/>
      </c>
      <c r="C429" s="251" t="str">
        <f>IF(B429="","",VLOOKUP(D429,'Species Data'!B:D,4,FALSE))</f>
        <v/>
      </c>
      <c r="D429" s="251" t="str">
        <f t="shared" ca="1" si="54"/>
        <v/>
      </c>
      <c r="E429" s="251" t="str">
        <f t="shared" ca="1" si="55"/>
        <v/>
      </c>
      <c r="F429" s="251" t="str">
        <f t="shared" ca="1" si="56"/>
        <v/>
      </c>
      <c r="G429" s="251" t="str">
        <f t="shared" ca="1" si="57"/>
        <v/>
      </c>
      <c r="H429" s="208" t="str">
        <f ca="1">IF(G429="","",IF(VLOOKUP(VOC!F429,'Species Data'!D:E,3,FALSE)=0,"X",IF(G429&lt;44.1,2,1)))</f>
        <v/>
      </c>
      <c r="I429" s="208" t="str">
        <f t="shared" ca="1" si="58"/>
        <v/>
      </c>
      <c r="J429" s="252" t="str">
        <f ca="1">IF(I429="","",IF(COUNTIF($D$12:D429,D429)=1,IF(H429=1,I429*H429,IF(H429="X","X",0)),0))</f>
        <v/>
      </c>
      <c r="K429" s="253" t="str">
        <f t="shared" ca="1" si="59"/>
        <v/>
      </c>
      <c r="L429" s="244"/>
      <c r="M429" s="217"/>
      <c r="N429" s="217"/>
      <c r="O429" s="218"/>
      <c r="P429" s="217"/>
      <c r="Q429" s="219"/>
      <c r="R429" s="217"/>
      <c r="S429" s="217"/>
      <c r="T429" s="217"/>
      <c r="U429" s="217"/>
      <c r="V429" s="219"/>
      <c r="W429" s="219"/>
      <c r="X429" s="219"/>
      <c r="Y429" s="219"/>
      <c r="Z429" s="219"/>
      <c r="AA429" s="217"/>
      <c r="AB429" s="217"/>
      <c r="AC429" s="217"/>
      <c r="AD429" s="219"/>
      <c r="AE429" s="219"/>
      <c r="AF429" s="219"/>
      <c r="AG429" s="219"/>
      <c r="AH429" s="217"/>
      <c r="AI429" s="217"/>
      <c r="AJ429" s="217"/>
      <c r="AK429" s="217"/>
      <c r="AL429" s="217"/>
      <c r="AM429" s="219"/>
      <c r="AN429" s="219"/>
      <c r="AO429" s="217"/>
      <c r="AP429" s="217"/>
      <c r="AQ429" s="219"/>
      <c r="AR429" s="219"/>
      <c r="AS429" s="217"/>
    </row>
    <row r="430" spans="1:45" x14ac:dyDescent="0.25">
      <c r="A430" s="250" t="str">
        <f t="shared" si="60"/>
        <v/>
      </c>
      <c r="B430" s="251" t="str">
        <f t="shared" si="53"/>
        <v/>
      </c>
      <c r="C430" s="251" t="str">
        <f>IF(B430="","",VLOOKUP(D430,'Species Data'!B:D,4,FALSE))</f>
        <v/>
      </c>
      <c r="D430" s="251" t="str">
        <f t="shared" ca="1" si="54"/>
        <v/>
      </c>
      <c r="E430" s="251" t="str">
        <f t="shared" ca="1" si="55"/>
        <v/>
      </c>
      <c r="F430" s="251" t="str">
        <f t="shared" ca="1" si="56"/>
        <v/>
      </c>
      <c r="G430" s="251" t="str">
        <f t="shared" ca="1" si="57"/>
        <v/>
      </c>
      <c r="H430" s="208" t="str">
        <f ca="1">IF(G430="","",IF(VLOOKUP(VOC!F430,'Species Data'!D:E,3,FALSE)=0,"X",IF(G430&lt;44.1,2,1)))</f>
        <v/>
      </c>
      <c r="I430" s="208" t="str">
        <f t="shared" ca="1" si="58"/>
        <v/>
      </c>
      <c r="J430" s="252" t="str">
        <f ca="1">IF(I430="","",IF(COUNTIF($D$12:D430,D430)=1,IF(H430=1,I430*H430,IF(H430="X","X",0)),0))</f>
        <v/>
      </c>
      <c r="K430" s="253" t="str">
        <f t="shared" ca="1" si="59"/>
        <v/>
      </c>
      <c r="L430" s="244"/>
      <c r="M430" s="217"/>
      <c r="N430" s="217"/>
      <c r="O430" s="218"/>
      <c r="P430" s="217"/>
      <c r="Q430" s="219"/>
      <c r="R430" s="217"/>
      <c r="S430" s="217"/>
      <c r="T430" s="217"/>
      <c r="U430" s="217"/>
      <c r="V430" s="219"/>
      <c r="W430" s="219"/>
      <c r="X430" s="219"/>
      <c r="Y430" s="219"/>
      <c r="Z430" s="219"/>
      <c r="AA430" s="217"/>
      <c r="AB430" s="217"/>
      <c r="AC430" s="217"/>
      <c r="AD430" s="219"/>
      <c r="AE430" s="219"/>
      <c r="AF430" s="219"/>
      <c r="AG430" s="219"/>
      <c r="AH430" s="217"/>
      <c r="AI430" s="217"/>
      <c r="AJ430" s="217"/>
      <c r="AK430" s="217"/>
      <c r="AL430" s="217"/>
      <c r="AM430" s="219"/>
      <c r="AN430" s="219"/>
      <c r="AO430" s="217"/>
      <c r="AP430" s="217"/>
      <c r="AQ430" s="219"/>
      <c r="AR430" s="219"/>
      <c r="AS430" s="217"/>
    </row>
    <row r="431" spans="1:45" x14ac:dyDescent="0.25">
      <c r="A431" s="250" t="str">
        <f t="shared" si="60"/>
        <v/>
      </c>
      <c r="B431" s="251" t="str">
        <f t="shared" si="53"/>
        <v/>
      </c>
      <c r="C431" s="251" t="str">
        <f>IF(B431="","",VLOOKUP(D431,'Species Data'!B:D,4,FALSE))</f>
        <v/>
      </c>
      <c r="D431" s="251" t="str">
        <f t="shared" ca="1" si="54"/>
        <v/>
      </c>
      <c r="E431" s="251" t="str">
        <f t="shared" ca="1" si="55"/>
        <v/>
      </c>
      <c r="F431" s="251" t="str">
        <f t="shared" ca="1" si="56"/>
        <v/>
      </c>
      <c r="G431" s="251" t="str">
        <f t="shared" ca="1" si="57"/>
        <v/>
      </c>
      <c r="H431" s="208" t="str">
        <f ca="1">IF(G431="","",IF(VLOOKUP(VOC!F431,'Species Data'!D:E,3,FALSE)=0,"X",IF(G431&lt;44.1,2,1)))</f>
        <v/>
      </c>
      <c r="I431" s="208" t="str">
        <f t="shared" ca="1" si="58"/>
        <v/>
      </c>
      <c r="J431" s="252" t="str">
        <f ca="1">IF(I431="","",IF(COUNTIF($D$12:D431,D431)=1,IF(H431=1,I431*H431,IF(H431="X","X",0)),0))</f>
        <v/>
      </c>
      <c r="K431" s="253" t="str">
        <f t="shared" ca="1" si="59"/>
        <v/>
      </c>
      <c r="L431" s="244"/>
      <c r="M431" s="217"/>
      <c r="N431" s="217"/>
      <c r="O431" s="218"/>
      <c r="P431" s="217"/>
      <c r="Q431" s="219"/>
      <c r="R431" s="217"/>
      <c r="S431" s="217"/>
      <c r="T431" s="217"/>
      <c r="U431" s="217"/>
      <c r="V431" s="219"/>
      <c r="W431" s="219"/>
      <c r="X431" s="219"/>
      <c r="Y431" s="219"/>
      <c r="Z431" s="219"/>
      <c r="AA431" s="217"/>
      <c r="AB431" s="217"/>
      <c r="AC431" s="217"/>
      <c r="AD431" s="219"/>
      <c r="AE431" s="219"/>
      <c r="AF431" s="219"/>
      <c r="AG431" s="219"/>
      <c r="AH431" s="217"/>
      <c r="AI431" s="217"/>
      <c r="AJ431" s="217"/>
      <c r="AK431" s="217"/>
      <c r="AL431" s="217"/>
      <c r="AM431" s="219"/>
      <c r="AN431" s="219"/>
      <c r="AO431" s="217"/>
      <c r="AP431" s="217"/>
      <c r="AQ431" s="219"/>
      <c r="AR431" s="219"/>
      <c r="AS431" s="217"/>
    </row>
    <row r="432" spans="1:45" x14ac:dyDescent="0.25">
      <c r="A432" s="250" t="str">
        <f t="shared" si="60"/>
        <v/>
      </c>
      <c r="B432" s="251" t="str">
        <f t="shared" si="53"/>
        <v/>
      </c>
      <c r="C432" s="251" t="str">
        <f>IF(B432="","",VLOOKUP(D432,'Species Data'!B:D,4,FALSE))</f>
        <v/>
      </c>
      <c r="D432" s="251" t="str">
        <f t="shared" ca="1" si="54"/>
        <v/>
      </c>
      <c r="E432" s="251" t="str">
        <f t="shared" ca="1" si="55"/>
        <v/>
      </c>
      <c r="F432" s="251" t="str">
        <f t="shared" ca="1" si="56"/>
        <v/>
      </c>
      <c r="G432" s="251" t="str">
        <f t="shared" ca="1" si="57"/>
        <v/>
      </c>
      <c r="H432" s="208" t="str">
        <f ca="1">IF(G432="","",IF(VLOOKUP(VOC!F432,'Species Data'!D:E,3,FALSE)=0,"X",IF(G432&lt;44.1,2,1)))</f>
        <v/>
      </c>
      <c r="I432" s="208" t="str">
        <f t="shared" ca="1" si="58"/>
        <v/>
      </c>
      <c r="J432" s="252" t="str">
        <f ca="1">IF(I432="","",IF(COUNTIF($D$12:D432,D432)=1,IF(H432=1,I432*H432,IF(H432="X","X",0)),0))</f>
        <v/>
      </c>
      <c r="K432" s="253" t="str">
        <f t="shared" ca="1" si="59"/>
        <v/>
      </c>
      <c r="L432" s="244"/>
      <c r="M432" s="217"/>
      <c r="N432" s="217"/>
      <c r="O432" s="218"/>
      <c r="P432" s="217"/>
      <c r="Q432" s="219"/>
      <c r="R432" s="217"/>
      <c r="S432" s="217"/>
      <c r="T432" s="217"/>
      <c r="U432" s="217"/>
      <c r="V432" s="219"/>
      <c r="W432" s="219"/>
      <c r="X432" s="219"/>
      <c r="Y432" s="219"/>
      <c r="Z432" s="219"/>
      <c r="AA432" s="217"/>
      <c r="AB432" s="217"/>
      <c r="AC432" s="217"/>
      <c r="AD432" s="219"/>
      <c r="AE432" s="219"/>
      <c r="AF432" s="219"/>
      <c r="AG432" s="219"/>
      <c r="AH432" s="217"/>
      <c r="AI432" s="217"/>
      <c r="AJ432" s="217"/>
      <c r="AK432" s="217"/>
      <c r="AL432" s="217"/>
      <c r="AM432" s="219"/>
      <c r="AN432" s="219"/>
      <c r="AO432" s="217"/>
      <c r="AP432" s="217"/>
      <c r="AQ432" s="219"/>
      <c r="AR432" s="219"/>
      <c r="AS432" s="217"/>
    </row>
    <row r="433" spans="1:45" x14ac:dyDescent="0.25">
      <c r="A433" s="250" t="str">
        <f t="shared" si="60"/>
        <v/>
      </c>
      <c r="B433" s="251" t="str">
        <f t="shared" si="53"/>
        <v/>
      </c>
      <c r="C433" s="251" t="str">
        <f>IF(B433="","",VLOOKUP(D433,'Species Data'!B:D,4,FALSE))</f>
        <v/>
      </c>
      <c r="D433" s="251" t="str">
        <f t="shared" ca="1" si="54"/>
        <v/>
      </c>
      <c r="E433" s="251" t="str">
        <f t="shared" ca="1" si="55"/>
        <v/>
      </c>
      <c r="F433" s="251" t="str">
        <f t="shared" ca="1" si="56"/>
        <v/>
      </c>
      <c r="G433" s="251" t="str">
        <f t="shared" ca="1" si="57"/>
        <v/>
      </c>
      <c r="H433" s="208" t="str">
        <f ca="1">IF(G433="","",IF(VLOOKUP(VOC!F433,'Species Data'!D:E,3,FALSE)=0,"X",IF(G433&lt;44.1,2,1)))</f>
        <v/>
      </c>
      <c r="I433" s="208" t="str">
        <f t="shared" ca="1" si="58"/>
        <v/>
      </c>
      <c r="J433" s="252" t="str">
        <f ca="1">IF(I433="","",IF(COUNTIF($D$12:D433,D433)=1,IF(H433=1,I433*H433,IF(H433="X","X",0)),0))</f>
        <v/>
      </c>
      <c r="K433" s="253" t="str">
        <f t="shared" ca="1" si="59"/>
        <v/>
      </c>
      <c r="L433" s="244"/>
      <c r="M433" s="217"/>
      <c r="N433" s="217"/>
      <c r="O433" s="218"/>
      <c r="P433" s="217"/>
      <c r="Q433" s="219"/>
      <c r="R433" s="217"/>
      <c r="S433" s="217"/>
      <c r="T433" s="217"/>
      <c r="U433" s="217"/>
      <c r="V433" s="219"/>
      <c r="W433" s="219"/>
      <c r="X433" s="219"/>
      <c r="Y433" s="219"/>
      <c r="Z433" s="219"/>
      <c r="AA433" s="217"/>
      <c r="AB433" s="217"/>
      <c r="AC433" s="217"/>
      <c r="AD433" s="219"/>
      <c r="AE433" s="219"/>
      <c r="AF433" s="219"/>
      <c r="AG433" s="219"/>
      <c r="AH433" s="217"/>
      <c r="AI433" s="217"/>
      <c r="AJ433" s="217"/>
      <c r="AK433" s="217"/>
      <c r="AL433" s="217"/>
      <c r="AM433" s="219"/>
      <c r="AN433" s="219"/>
      <c r="AO433" s="217"/>
      <c r="AP433" s="217"/>
      <c r="AQ433" s="219"/>
      <c r="AR433" s="219"/>
      <c r="AS433" s="217"/>
    </row>
    <row r="434" spans="1:45" x14ac:dyDescent="0.25">
      <c r="A434" s="250" t="str">
        <f t="shared" si="60"/>
        <v/>
      </c>
      <c r="B434" s="251" t="str">
        <f t="shared" si="53"/>
        <v/>
      </c>
      <c r="C434" s="251" t="str">
        <f>IF(B434="","",VLOOKUP(D434,'Species Data'!B:D,4,FALSE))</f>
        <v/>
      </c>
      <c r="D434" s="251" t="str">
        <f t="shared" ca="1" si="54"/>
        <v/>
      </c>
      <c r="E434" s="251" t="str">
        <f t="shared" ca="1" si="55"/>
        <v/>
      </c>
      <c r="F434" s="251" t="str">
        <f t="shared" ca="1" si="56"/>
        <v/>
      </c>
      <c r="G434" s="251" t="str">
        <f t="shared" ca="1" si="57"/>
        <v/>
      </c>
      <c r="H434" s="208" t="str">
        <f ca="1">IF(G434="","",IF(VLOOKUP(VOC!F434,'Species Data'!D:E,3,FALSE)=0,"X",IF(G434&lt;44.1,2,1)))</f>
        <v/>
      </c>
      <c r="I434" s="208" t="str">
        <f t="shared" ca="1" si="58"/>
        <v/>
      </c>
      <c r="J434" s="252" t="str">
        <f ca="1">IF(I434="","",IF(COUNTIF($D$12:D434,D434)=1,IF(H434=1,I434*H434,IF(H434="X","X",0)),0))</f>
        <v/>
      </c>
      <c r="K434" s="253" t="str">
        <f t="shared" ca="1" si="59"/>
        <v/>
      </c>
      <c r="L434" s="244"/>
      <c r="M434" s="217"/>
      <c r="N434" s="217"/>
      <c r="O434" s="218"/>
      <c r="P434" s="217"/>
      <c r="Q434" s="219"/>
      <c r="R434" s="217"/>
      <c r="S434" s="217"/>
      <c r="T434" s="217"/>
      <c r="U434" s="217"/>
      <c r="V434" s="219"/>
      <c r="W434" s="219"/>
      <c r="X434" s="219"/>
      <c r="Y434" s="219"/>
      <c r="Z434" s="219"/>
      <c r="AA434" s="217"/>
      <c r="AB434" s="217"/>
      <c r="AC434" s="217"/>
      <c r="AD434" s="219"/>
      <c r="AE434" s="219"/>
      <c r="AF434" s="219"/>
      <c r="AG434" s="219"/>
      <c r="AH434" s="217"/>
      <c r="AI434" s="217"/>
      <c r="AJ434" s="217"/>
      <c r="AK434" s="217"/>
      <c r="AL434" s="217"/>
      <c r="AM434" s="219"/>
      <c r="AN434" s="219"/>
      <c r="AO434" s="217"/>
      <c r="AP434" s="217"/>
      <c r="AQ434" s="219"/>
      <c r="AR434" s="219"/>
      <c r="AS434" s="217"/>
    </row>
    <row r="435" spans="1:45" x14ac:dyDescent="0.25">
      <c r="A435" s="250" t="str">
        <f t="shared" si="60"/>
        <v/>
      </c>
      <c r="B435" s="251" t="str">
        <f t="shared" si="53"/>
        <v/>
      </c>
      <c r="C435" s="251" t="str">
        <f>IF(B435="","",VLOOKUP(D435,'Species Data'!B:D,4,FALSE))</f>
        <v/>
      </c>
      <c r="D435" s="251" t="str">
        <f t="shared" ca="1" si="54"/>
        <v/>
      </c>
      <c r="E435" s="251" t="str">
        <f t="shared" ca="1" si="55"/>
        <v/>
      </c>
      <c r="F435" s="251" t="str">
        <f t="shared" ca="1" si="56"/>
        <v/>
      </c>
      <c r="G435" s="251" t="str">
        <f t="shared" ca="1" si="57"/>
        <v/>
      </c>
      <c r="H435" s="208" t="str">
        <f ca="1">IF(G435="","",IF(VLOOKUP(VOC!F435,'Species Data'!D:E,3,FALSE)=0,"X",IF(G435&lt;44.1,2,1)))</f>
        <v/>
      </c>
      <c r="I435" s="208" t="str">
        <f t="shared" ca="1" si="58"/>
        <v/>
      </c>
      <c r="J435" s="252" t="str">
        <f ca="1">IF(I435="","",IF(COUNTIF($D$12:D435,D435)=1,IF(H435=1,I435*H435,IF(H435="X","X",0)),0))</f>
        <v/>
      </c>
      <c r="K435" s="253" t="str">
        <f t="shared" ca="1" si="59"/>
        <v/>
      </c>
      <c r="L435" s="244"/>
      <c r="M435" s="217"/>
      <c r="N435" s="217"/>
      <c r="O435" s="218"/>
      <c r="P435" s="217"/>
      <c r="Q435" s="219"/>
      <c r="R435" s="217"/>
      <c r="S435" s="217"/>
      <c r="T435" s="217"/>
      <c r="U435" s="217"/>
      <c r="V435" s="219"/>
      <c r="W435" s="219"/>
      <c r="X435" s="219"/>
      <c r="Y435" s="219"/>
      <c r="Z435" s="219"/>
      <c r="AA435" s="217"/>
      <c r="AB435" s="217"/>
      <c r="AC435" s="217"/>
      <c r="AD435" s="219"/>
      <c r="AE435" s="219"/>
      <c r="AF435" s="219"/>
      <c r="AG435" s="219"/>
      <c r="AH435" s="217"/>
      <c r="AI435" s="217"/>
      <c r="AJ435" s="217"/>
      <c r="AK435" s="217"/>
      <c r="AL435" s="217"/>
      <c r="AM435" s="219"/>
      <c r="AN435" s="219"/>
      <c r="AO435" s="217"/>
      <c r="AP435" s="217"/>
      <c r="AQ435" s="219"/>
      <c r="AR435" s="219"/>
      <c r="AS435" s="217"/>
    </row>
    <row r="436" spans="1:45" x14ac:dyDescent="0.25">
      <c r="A436" s="250" t="str">
        <f t="shared" si="60"/>
        <v/>
      </c>
      <c r="B436" s="251" t="str">
        <f t="shared" si="53"/>
        <v/>
      </c>
      <c r="C436" s="251" t="str">
        <f>IF(B436="","",VLOOKUP(D436,'Species Data'!B:D,4,FALSE))</f>
        <v/>
      </c>
      <c r="D436" s="251" t="str">
        <f t="shared" ca="1" si="54"/>
        <v/>
      </c>
      <c r="E436" s="251" t="str">
        <f t="shared" ca="1" si="55"/>
        <v/>
      </c>
      <c r="F436" s="251" t="str">
        <f t="shared" ca="1" si="56"/>
        <v/>
      </c>
      <c r="G436" s="251" t="str">
        <f t="shared" ca="1" si="57"/>
        <v/>
      </c>
      <c r="H436" s="208" t="str">
        <f ca="1">IF(G436="","",IF(VLOOKUP(VOC!F436,'Species Data'!D:E,3,FALSE)=0,"X",IF(G436&lt;44.1,2,1)))</f>
        <v/>
      </c>
      <c r="I436" s="208" t="str">
        <f t="shared" ca="1" si="58"/>
        <v/>
      </c>
      <c r="J436" s="252" t="str">
        <f ca="1">IF(I436="","",IF(COUNTIF($D$12:D436,D436)=1,IF(H436=1,I436*H436,IF(H436="X","X",0)),0))</f>
        <v/>
      </c>
      <c r="K436" s="253" t="str">
        <f t="shared" ca="1" si="59"/>
        <v/>
      </c>
      <c r="L436" s="244"/>
      <c r="M436" s="217"/>
      <c r="N436" s="217"/>
      <c r="O436" s="218"/>
      <c r="P436" s="217"/>
      <c r="Q436" s="219"/>
      <c r="R436" s="217"/>
      <c r="S436" s="217"/>
      <c r="T436" s="217"/>
      <c r="U436" s="217"/>
      <c r="V436" s="219"/>
      <c r="W436" s="219"/>
      <c r="X436" s="219"/>
      <c r="Y436" s="219"/>
      <c r="Z436" s="219"/>
      <c r="AA436" s="217"/>
      <c r="AB436" s="217"/>
      <c r="AC436" s="217"/>
      <c r="AD436" s="219"/>
      <c r="AE436" s="219"/>
      <c r="AF436" s="219"/>
      <c r="AG436" s="219"/>
      <c r="AH436" s="217"/>
      <c r="AI436" s="217"/>
      <c r="AJ436" s="217"/>
      <c r="AK436" s="217"/>
      <c r="AL436" s="217"/>
      <c r="AM436" s="219"/>
      <c r="AN436" s="219"/>
      <c r="AO436" s="217"/>
      <c r="AP436" s="217"/>
      <c r="AQ436" s="219"/>
      <c r="AR436" s="219"/>
      <c r="AS436" s="217"/>
    </row>
    <row r="437" spans="1:45" x14ac:dyDescent="0.25">
      <c r="A437" s="250" t="str">
        <f t="shared" si="60"/>
        <v/>
      </c>
      <c r="B437" s="251" t="str">
        <f t="shared" si="53"/>
        <v/>
      </c>
      <c r="C437" s="251" t="str">
        <f>IF(B437="","",VLOOKUP(D437,'Species Data'!B:D,4,FALSE))</f>
        <v/>
      </c>
      <c r="D437" s="251" t="str">
        <f t="shared" ca="1" si="54"/>
        <v/>
      </c>
      <c r="E437" s="251" t="str">
        <f t="shared" ca="1" si="55"/>
        <v/>
      </c>
      <c r="F437" s="251" t="str">
        <f t="shared" ca="1" si="56"/>
        <v/>
      </c>
      <c r="G437" s="251" t="str">
        <f t="shared" ca="1" si="57"/>
        <v/>
      </c>
      <c r="H437" s="208" t="str">
        <f ca="1">IF(G437="","",IF(VLOOKUP(VOC!F437,'Species Data'!D:E,3,FALSE)=0,"X",IF(G437&lt;44.1,2,1)))</f>
        <v/>
      </c>
      <c r="I437" s="208" t="str">
        <f t="shared" ca="1" si="58"/>
        <v/>
      </c>
      <c r="J437" s="252" t="str">
        <f ca="1">IF(I437="","",IF(COUNTIF($D$12:D437,D437)=1,IF(H437=1,I437*H437,IF(H437="X","X",0)),0))</f>
        <v/>
      </c>
      <c r="K437" s="253" t="str">
        <f t="shared" ca="1" si="59"/>
        <v/>
      </c>
      <c r="L437" s="244"/>
      <c r="M437" s="217"/>
      <c r="N437" s="217"/>
      <c r="O437" s="218"/>
      <c r="P437" s="217"/>
      <c r="Q437" s="219"/>
      <c r="R437" s="217"/>
      <c r="S437" s="217"/>
      <c r="T437" s="217"/>
      <c r="U437" s="217"/>
      <c r="V437" s="219"/>
      <c r="W437" s="219"/>
      <c r="X437" s="219"/>
      <c r="Y437" s="219"/>
      <c r="Z437" s="219"/>
      <c r="AA437" s="217"/>
      <c r="AB437" s="217"/>
      <c r="AC437" s="217"/>
      <c r="AD437" s="219"/>
      <c r="AE437" s="219"/>
      <c r="AF437" s="219"/>
      <c r="AG437" s="219"/>
      <c r="AH437" s="217"/>
      <c r="AI437" s="217"/>
      <c r="AJ437" s="217"/>
      <c r="AK437" s="217"/>
      <c r="AL437" s="217"/>
      <c r="AM437" s="219"/>
      <c r="AN437" s="219"/>
      <c r="AO437" s="217"/>
      <c r="AP437" s="217"/>
      <c r="AQ437" s="219"/>
      <c r="AR437" s="219"/>
      <c r="AS437" s="217"/>
    </row>
    <row r="438" spans="1:45" x14ac:dyDescent="0.25">
      <c r="A438" s="250" t="str">
        <f t="shared" si="60"/>
        <v/>
      </c>
      <c r="B438" s="251" t="str">
        <f t="shared" si="53"/>
        <v/>
      </c>
      <c r="C438" s="251" t="str">
        <f>IF(B438="","",VLOOKUP(D438,'Species Data'!B:D,4,FALSE))</f>
        <v/>
      </c>
      <c r="D438" s="251" t="str">
        <f t="shared" ca="1" si="54"/>
        <v/>
      </c>
      <c r="E438" s="251" t="str">
        <f t="shared" ca="1" si="55"/>
        <v/>
      </c>
      <c r="F438" s="251" t="str">
        <f t="shared" ca="1" si="56"/>
        <v/>
      </c>
      <c r="G438" s="251" t="str">
        <f t="shared" ca="1" si="57"/>
        <v/>
      </c>
      <c r="H438" s="208" t="str">
        <f ca="1">IF(G438="","",IF(VLOOKUP(VOC!F438,'Species Data'!D:E,3,FALSE)=0,"X",IF(G438&lt;44.1,2,1)))</f>
        <v/>
      </c>
      <c r="I438" s="208" t="str">
        <f t="shared" ca="1" si="58"/>
        <v/>
      </c>
      <c r="J438" s="252" t="str">
        <f ca="1">IF(I438="","",IF(COUNTIF($D$12:D438,D438)=1,IF(H438=1,I438*H438,IF(H438="X","X",0)),0))</f>
        <v/>
      </c>
      <c r="K438" s="253" t="str">
        <f t="shared" ca="1" si="59"/>
        <v/>
      </c>
      <c r="L438" s="244"/>
      <c r="M438" s="217"/>
      <c r="N438" s="217"/>
      <c r="O438" s="218"/>
      <c r="P438" s="217"/>
      <c r="Q438" s="219"/>
      <c r="R438" s="217"/>
      <c r="S438" s="217"/>
      <c r="T438" s="217"/>
      <c r="U438" s="217"/>
      <c r="V438" s="219"/>
      <c r="W438" s="219"/>
      <c r="X438" s="219"/>
      <c r="Y438" s="219"/>
      <c r="Z438" s="219"/>
      <c r="AA438" s="217"/>
      <c r="AB438" s="217"/>
      <c r="AC438" s="217"/>
      <c r="AD438" s="219"/>
      <c r="AE438" s="219"/>
      <c r="AF438" s="219"/>
      <c r="AG438" s="219"/>
      <c r="AH438" s="217"/>
      <c r="AI438" s="217"/>
      <c r="AJ438" s="217"/>
      <c r="AK438" s="217"/>
      <c r="AL438" s="217"/>
      <c r="AM438" s="219"/>
      <c r="AN438" s="219"/>
      <c r="AO438" s="217"/>
      <c r="AP438" s="217"/>
      <c r="AQ438" s="219"/>
      <c r="AR438" s="219"/>
      <c r="AS438" s="217"/>
    </row>
    <row r="439" spans="1:45" x14ac:dyDescent="0.25">
      <c r="A439" s="250" t="str">
        <f t="shared" si="60"/>
        <v/>
      </c>
      <c r="B439" s="251" t="str">
        <f t="shared" si="53"/>
        <v/>
      </c>
      <c r="C439" s="251" t="str">
        <f>IF(B439="","",VLOOKUP(D439,'Species Data'!B:D,4,FALSE))</f>
        <v/>
      </c>
      <c r="D439" s="251" t="str">
        <f t="shared" ca="1" si="54"/>
        <v/>
      </c>
      <c r="E439" s="251" t="str">
        <f t="shared" ca="1" si="55"/>
        <v/>
      </c>
      <c r="F439" s="251" t="str">
        <f t="shared" ca="1" si="56"/>
        <v/>
      </c>
      <c r="G439" s="251" t="str">
        <f t="shared" ca="1" si="57"/>
        <v/>
      </c>
      <c r="H439" s="208" t="str">
        <f ca="1">IF(G439="","",IF(VLOOKUP(VOC!F439,'Species Data'!D:E,3,FALSE)=0,"X",IF(G439&lt;44.1,2,1)))</f>
        <v/>
      </c>
      <c r="I439" s="208" t="str">
        <f t="shared" ca="1" si="58"/>
        <v/>
      </c>
      <c r="J439" s="252" t="str">
        <f ca="1">IF(I439="","",IF(COUNTIF($D$12:D439,D439)=1,IF(H439=1,I439*H439,IF(H439="X","X",0)),0))</f>
        <v/>
      </c>
      <c r="K439" s="253" t="str">
        <f t="shared" ca="1" si="59"/>
        <v/>
      </c>
      <c r="L439" s="244"/>
      <c r="M439" s="217"/>
      <c r="N439" s="217"/>
      <c r="O439" s="218"/>
      <c r="P439" s="217"/>
      <c r="Q439" s="219"/>
      <c r="R439" s="217"/>
      <c r="S439" s="217"/>
      <c r="T439" s="217"/>
      <c r="U439" s="217"/>
      <c r="V439" s="219"/>
      <c r="W439" s="219"/>
      <c r="X439" s="219"/>
      <c r="Y439" s="219"/>
      <c r="Z439" s="219"/>
      <c r="AA439" s="217"/>
      <c r="AB439" s="217"/>
      <c r="AC439" s="217"/>
      <c r="AD439" s="219"/>
      <c r="AE439" s="219"/>
      <c r="AF439" s="219"/>
      <c r="AG439" s="219"/>
      <c r="AH439" s="217"/>
      <c r="AI439" s="217"/>
      <c r="AJ439" s="217"/>
      <c r="AK439" s="217"/>
      <c r="AL439" s="217"/>
      <c r="AM439" s="219"/>
      <c r="AN439" s="219"/>
      <c r="AO439" s="217"/>
      <c r="AP439" s="217"/>
      <c r="AQ439" s="219"/>
      <c r="AR439" s="219"/>
      <c r="AS439" s="217"/>
    </row>
    <row r="440" spans="1:45" x14ac:dyDescent="0.25">
      <c r="A440" s="250" t="str">
        <f t="shared" si="60"/>
        <v/>
      </c>
      <c r="B440" s="251" t="str">
        <f t="shared" si="53"/>
        <v/>
      </c>
      <c r="C440" s="251" t="str">
        <f>IF(B440="","",VLOOKUP(D440,'Species Data'!B:D,4,FALSE))</f>
        <v/>
      </c>
      <c r="D440" s="251" t="str">
        <f t="shared" ca="1" si="54"/>
        <v/>
      </c>
      <c r="E440" s="251" t="str">
        <f t="shared" ca="1" si="55"/>
        <v/>
      </c>
      <c r="F440" s="251" t="str">
        <f t="shared" ca="1" si="56"/>
        <v/>
      </c>
      <c r="G440" s="251" t="str">
        <f t="shared" ca="1" si="57"/>
        <v/>
      </c>
      <c r="H440" s="208" t="str">
        <f ca="1">IF(G440="","",IF(VLOOKUP(VOC!F440,'Species Data'!D:E,3,FALSE)=0,"X",IF(G440&lt;44.1,2,1)))</f>
        <v/>
      </c>
      <c r="I440" s="208" t="str">
        <f t="shared" ca="1" si="58"/>
        <v/>
      </c>
      <c r="J440" s="252" t="str">
        <f ca="1">IF(I440="","",IF(COUNTIF($D$12:D440,D440)=1,IF(H440=1,I440*H440,IF(H440="X","X",0)),0))</f>
        <v/>
      </c>
      <c r="K440" s="253" t="str">
        <f t="shared" ca="1" si="59"/>
        <v/>
      </c>
      <c r="L440" s="244"/>
      <c r="M440" s="217"/>
      <c r="N440" s="217"/>
      <c r="O440" s="218"/>
      <c r="P440" s="217"/>
      <c r="Q440" s="219"/>
      <c r="R440" s="217"/>
      <c r="S440" s="217"/>
      <c r="T440" s="217"/>
      <c r="U440" s="217"/>
      <c r="V440" s="219"/>
      <c r="W440" s="219"/>
      <c r="X440" s="219"/>
      <c r="Y440" s="219"/>
      <c r="Z440" s="219"/>
      <c r="AA440" s="217"/>
      <c r="AB440" s="217"/>
      <c r="AC440" s="217"/>
      <c r="AD440" s="219"/>
      <c r="AE440" s="219"/>
      <c r="AF440" s="219"/>
      <c r="AG440" s="219"/>
      <c r="AH440" s="217"/>
      <c r="AI440" s="217"/>
      <c r="AJ440" s="217"/>
      <c r="AK440" s="217"/>
      <c r="AL440" s="217"/>
      <c r="AM440" s="219"/>
      <c r="AN440" s="219"/>
      <c r="AO440" s="217"/>
      <c r="AP440" s="217"/>
      <c r="AQ440" s="219"/>
      <c r="AR440" s="219"/>
      <c r="AS440" s="217"/>
    </row>
    <row r="441" spans="1:45" x14ac:dyDescent="0.25">
      <c r="A441" s="250" t="str">
        <f t="shared" si="60"/>
        <v/>
      </c>
      <c r="B441" s="251" t="str">
        <f t="shared" si="53"/>
        <v/>
      </c>
      <c r="C441" s="251" t="str">
        <f>IF(B441="","",VLOOKUP(D441,'Species Data'!B:D,4,FALSE))</f>
        <v/>
      </c>
      <c r="D441" s="251" t="str">
        <f t="shared" ca="1" si="54"/>
        <v/>
      </c>
      <c r="E441" s="251" t="str">
        <f t="shared" ca="1" si="55"/>
        <v/>
      </c>
      <c r="F441" s="251" t="str">
        <f t="shared" ca="1" si="56"/>
        <v/>
      </c>
      <c r="G441" s="251" t="str">
        <f t="shared" ca="1" si="57"/>
        <v/>
      </c>
      <c r="H441" s="208" t="str">
        <f ca="1">IF(G441="","",IF(VLOOKUP(VOC!F441,'Species Data'!D:E,3,FALSE)=0,"X",IF(G441&lt;44.1,2,1)))</f>
        <v/>
      </c>
      <c r="I441" s="208" t="str">
        <f t="shared" ca="1" si="58"/>
        <v/>
      </c>
      <c r="J441" s="252" t="str">
        <f ca="1">IF(I441="","",IF(COUNTIF($D$12:D441,D441)=1,IF(H441=1,I441*H441,IF(H441="X","X",0)),0))</f>
        <v/>
      </c>
      <c r="K441" s="253" t="str">
        <f t="shared" ca="1" si="59"/>
        <v/>
      </c>
      <c r="L441" s="244"/>
      <c r="M441" s="217"/>
      <c r="N441" s="217"/>
      <c r="O441" s="218"/>
      <c r="P441" s="217"/>
      <c r="Q441" s="219"/>
      <c r="R441" s="217"/>
      <c r="S441" s="217"/>
      <c r="T441" s="217"/>
      <c r="U441" s="217"/>
      <c r="V441" s="219"/>
      <c r="W441" s="219"/>
      <c r="X441" s="219"/>
      <c r="Y441" s="219"/>
      <c r="Z441" s="219"/>
      <c r="AA441" s="217"/>
      <c r="AB441" s="217"/>
      <c r="AC441" s="217"/>
      <c r="AD441" s="219"/>
      <c r="AE441" s="219"/>
      <c r="AF441" s="219"/>
      <c r="AG441" s="219"/>
      <c r="AH441" s="217"/>
      <c r="AI441" s="217"/>
      <c r="AJ441" s="217"/>
      <c r="AK441" s="217"/>
      <c r="AL441" s="217"/>
      <c r="AM441" s="219"/>
      <c r="AN441" s="219"/>
      <c r="AO441" s="217"/>
      <c r="AP441" s="217"/>
      <c r="AQ441" s="219"/>
      <c r="AR441" s="219"/>
      <c r="AS441" s="217"/>
    </row>
    <row r="442" spans="1:45" x14ac:dyDescent="0.25">
      <c r="A442" s="250" t="str">
        <f t="shared" si="60"/>
        <v/>
      </c>
      <c r="B442" s="251" t="str">
        <f t="shared" si="53"/>
        <v/>
      </c>
      <c r="C442" s="251" t="str">
        <f>IF(B442="","",VLOOKUP(D442,'Species Data'!B:D,4,FALSE))</f>
        <v/>
      </c>
      <c r="D442" s="251" t="str">
        <f t="shared" ca="1" si="54"/>
        <v/>
      </c>
      <c r="E442" s="251" t="str">
        <f t="shared" ca="1" si="55"/>
        <v/>
      </c>
      <c r="F442" s="251" t="str">
        <f t="shared" ca="1" si="56"/>
        <v/>
      </c>
      <c r="G442" s="251" t="str">
        <f t="shared" ca="1" si="57"/>
        <v/>
      </c>
      <c r="H442" s="208" t="str">
        <f ca="1">IF(G442="","",IF(VLOOKUP(VOC!F442,'Species Data'!D:E,3,FALSE)=0,"X",IF(G442&lt;44.1,2,1)))</f>
        <v/>
      </c>
      <c r="I442" s="208" t="str">
        <f t="shared" ca="1" si="58"/>
        <v/>
      </c>
      <c r="J442" s="252" t="str">
        <f ca="1">IF(I442="","",IF(COUNTIF($D$12:D442,D442)=1,IF(H442=1,I442*H442,IF(H442="X","X",0)),0))</f>
        <v/>
      </c>
      <c r="K442" s="253" t="str">
        <f t="shared" ca="1" si="59"/>
        <v/>
      </c>
      <c r="L442" s="244"/>
      <c r="M442" s="217"/>
      <c r="N442" s="217"/>
      <c r="O442" s="218"/>
      <c r="P442" s="217"/>
      <c r="Q442" s="219"/>
      <c r="R442" s="217"/>
      <c r="S442" s="217"/>
      <c r="T442" s="217"/>
      <c r="U442" s="217"/>
      <c r="V442" s="219"/>
      <c r="W442" s="219"/>
      <c r="X442" s="219"/>
      <c r="Y442" s="219"/>
      <c r="Z442" s="219"/>
      <c r="AA442" s="217"/>
      <c r="AB442" s="217"/>
      <c r="AC442" s="217"/>
      <c r="AD442" s="219"/>
      <c r="AE442" s="219"/>
      <c r="AF442" s="219"/>
      <c r="AG442" s="219"/>
      <c r="AH442" s="217"/>
      <c r="AI442" s="217"/>
      <c r="AJ442" s="217"/>
      <c r="AK442" s="217"/>
      <c r="AL442" s="217"/>
      <c r="AM442" s="219"/>
      <c r="AN442" s="219"/>
      <c r="AO442" s="217"/>
      <c r="AP442" s="217"/>
      <c r="AQ442" s="219"/>
      <c r="AR442" s="219"/>
      <c r="AS442" s="217"/>
    </row>
    <row r="443" spans="1:45" x14ac:dyDescent="0.25">
      <c r="A443" s="250" t="str">
        <f t="shared" si="60"/>
        <v/>
      </c>
      <c r="B443" s="251" t="str">
        <f t="shared" si="53"/>
        <v/>
      </c>
      <c r="C443" s="251" t="str">
        <f>IF(B443="","",VLOOKUP(D443,'Species Data'!B:D,4,FALSE))</f>
        <v/>
      </c>
      <c r="D443" s="251" t="str">
        <f t="shared" ca="1" si="54"/>
        <v/>
      </c>
      <c r="E443" s="251" t="str">
        <f t="shared" ca="1" si="55"/>
        <v/>
      </c>
      <c r="F443" s="251" t="str">
        <f t="shared" ca="1" si="56"/>
        <v/>
      </c>
      <c r="G443" s="251" t="str">
        <f t="shared" ca="1" si="57"/>
        <v/>
      </c>
      <c r="H443" s="208" t="str">
        <f ca="1">IF(G443="","",IF(VLOOKUP(VOC!F443,'Species Data'!D:E,3,FALSE)=0,"X",IF(G443&lt;44.1,2,1)))</f>
        <v/>
      </c>
      <c r="I443" s="208" t="str">
        <f t="shared" ca="1" si="58"/>
        <v/>
      </c>
      <c r="J443" s="252" t="str">
        <f ca="1">IF(I443="","",IF(COUNTIF($D$12:D443,D443)=1,IF(H443=1,I443*H443,IF(H443="X","X",0)),0))</f>
        <v/>
      </c>
      <c r="K443" s="253" t="str">
        <f t="shared" ca="1" si="59"/>
        <v/>
      </c>
      <c r="L443" s="244"/>
      <c r="M443" s="217"/>
      <c r="N443" s="217"/>
      <c r="O443" s="218"/>
      <c r="P443" s="217"/>
      <c r="Q443" s="219"/>
      <c r="R443" s="217"/>
      <c r="S443" s="217"/>
      <c r="T443" s="217"/>
      <c r="U443" s="217"/>
      <c r="V443" s="219"/>
      <c r="W443" s="219"/>
      <c r="X443" s="219"/>
      <c r="Y443" s="219"/>
      <c r="Z443" s="219"/>
      <c r="AA443" s="217"/>
      <c r="AB443" s="217"/>
      <c r="AC443" s="217"/>
      <c r="AD443" s="219"/>
      <c r="AE443" s="219"/>
      <c r="AF443" s="219"/>
      <c r="AG443" s="219"/>
      <c r="AH443" s="217"/>
      <c r="AI443" s="217"/>
      <c r="AJ443" s="217"/>
      <c r="AK443" s="217"/>
      <c r="AL443" s="217"/>
      <c r="AM443" s="219"/>
      <c r="AN443" s="219"/>
      <c r="AO443" s="217"/>
      <c r="AP443" s="217"/>
      <c r="AQ443" s="219"/>
      <c r="AR443" s="219"/>
      <c r="AS443" s="217"/>
    </row>
    <row r="444" spans="1:45" x14ac:dyDescent="0.25">
      <c r="A444" s="250" t="str">
        <f t="shared" si="60"/>
        <v/>
      </c>
      <c r="B444" s="251" t="str">
        <f t="shared" si="53"/>
        <v/>
      </c>
      <c r="C444" s="251" t="str">
        <f>IF(B444="","",VLOOKUP(D444,'Species Data'!B:D,4,FALSE))</f>
        <v/>
      </c>
      <c r="D444" s="251" t="str">
        <f t="shared" ca="1" si="54"/>
        <v/>
      </c>
      <c r="E444" s="251" t="str">
        <f t="shared" ca="1" si="55"/>
        <v/>
      </c>
      <c r="F444" s="251" t="str">
        <f t="shared" ca="1" si="56"/>
        <v/>
      </c>
      <c r="G444" s="251" t="str">
        <f t="shared" ca="1" si="57"/>
        <v/>
      </c>
      <c r="H444" s="208" t="str">
        <f ca="1">IF(G444="","",IF(VLOOKUP(VOC!F444,'Species Data'!D:E,3,FALSE)=0,"X",IF(G444&lt;44.1,2,1)))</f>
        <v/>
      </c>
      <c r="I444" s="208" t="str">
        <f t="shared" ca="1" si="58"/>
        <v/>
      </c>
      <c r="J444" s="252" t="str">
        <f ca="1">IF(I444="","",IF(COUNTIF($D$12:D444,D444)=1,IF(H444=1,I444*H444,IF(H444="X","X",0)),0))</f>
        <v/>
      </c>
      <c r="K444" s="253" t="str">
        <f t="shared" ca="1" si="59"/>
        <v/>
      </c>
      <c r="L444" s="244"/>
      <c r="M444" s="217"/>
      <c r="N444" s="217"/>
      <c r="O444" s="218"/>
      <c r="P444" s="217"/>
      <c r="Q444" s="219"/>
      <c r="R444" s="217"/>
      <c r="S444" s="217"/>
      <c r="T444" s="217"/>
      <c r="U444" s="217"/>
      <c r="V444" s="219"/>
      <c r="W444" s="219"/>
      <c r="X444" s="219"/>
      <c r="Y444" s="219"/>
      <c r="Z444" s="219"/>
      <c r="AA444" s="217"/>
      <c r="AB444" s="217"/>
      <c r="AC444" s="217"/>
      <c r="AD444" s="219"/>
      <c r="AE444" s="219"/>
      <c r="AF444" s="219"/>
      <c r="AG444" s="219"/>
      <c r="AH444" s="217"/>
      <c r="AI444" s="217"/>
      <c r="AJ444" s="217"/>
      <c r="AK444" s="217"/>
      <c r="AL444" s="217"/>
      <c r="AM444" s="219"/>
      <c r="AN444" s="219"/>
      <c r="AO444" s="217"/>
      <c r="AP444" s="217"/>
      <c r="AQ444" s="219"/>
      <c r="AR444" s="219"/>
      <c r="AS444" s="217"/>
    </row>
    <row r="445" spans="1:45" x14ac:dyDescent="0.25">
      <c r="A445" s="250" t="str">
        <f t="shared" si="60"/>
        <v/>
      </c>
      <c r="B445" s="251" t="str">
        <f t="shared" si="53"/>
        <v/>
      </c>
      <c r="C445" s="251" t="str">
        <f>IF(B445="","",VLOOKUP(D445,'Species Data'!B:D,4,FALSE))</f>
        <v/>
      </c>
      <c r="D445" s="251" t="str">
        <f t="shared" ca="1" si="54"/>
        <v/>
      </c>
      <c r="E445" s="251" t="str">
        <f t="shared" ca="1" si="55"/>
        <v/>
      </c>
      <c r="F445" s="251" t="str">
        <f t="shared" ca="1" si="56"/>
        <v/>
      </c>
      <c r="G445" s="251" t="str">
        <f t="shared" ca="1" si="57"/>
        <v/>
      </c>
      <c r="H445" s="208" t="str">
        <f ca="1">IF(G445="","",IF(VLOOKUP(VOC!F445,'Species Data'!D:E,3,FALSE)=0,"X",IF(G445&lt;44.1,2,1)))</f>
        <v/>
      </c>
      <c r="I445" s="208" t="str">
        <f t="shared" ca="1" si="58"/>
        <v/>
      </c>
      <c r="J445" s="252" t="str">
        <f ca="1">IF(I445="","",IF(COUNTIF($D$12:D445,D445)=1,IF(H445=1,I445*H445,IF(H445="X","X",0)),0))</f>
        <v/>
      </c>
      <c r="K445" s="253" t="str">
        <f t="shared" ca="1" si="59"/>
        <v/>
      </c>
      <c r="L445" s="244"/>
      <c r="M445" s="217"/>
      <c r="N445" s="217"/>
      <c r="O445" s="218"/>
      <c r="P445" s="217"/>
      <c r="Q445" s="219"/>
      <c r="R445" s="217"/>
      <c r="S445" s="217"/>
      <c r="T445" s="217"/>
      <c r="U445" s="217"/>
      <c r="V445" s="219"/>
      <c r="W445" s="219"/>
      <c r="X445" s="219"/>
      <c r="Y445" s="219"/>
      <c r="Z445" s="219"/>
      <c r="AA445" s="217"/>
      <c r="AB445" s="217"/>
      <c r="AC445" s="217"/>
      <c r="AD445" s="219"/>
      <c r="AE445" s="219"/>
      <c r="AF445" s="219"/>
      <c r="AG445" s="219"/>
      <c r="AH445" s="217"/>
      <c r="AI445" s="217"/>
      <c r="AJ445" s="217"/>
      <c r="AK445" s="217"/>
      <c r="AL445" s="217"/>
      <c r="AM445" s="219"/>
      <c r="AN445" s="219"/>
      <c r="AO445" s="217"/>
      <c r="AP445" s="217"/>
      <c r="AQ445" s="219"/>
      <c r="AR445" s="219"/>
      <c r="AS445" s="217"/>
    </row>
    <row r="446" spans="1:45" x14ac:dyDescent="0.25">
      <c r="A446" s="250" t="str">
        <f t="shared" si="60"/>
        <v/>
      </c>
      <c r="B446" s="251" t="str">
        <f t="shared" si="53"/>
        <v/>
      </c>
      <c r="C446" s="251" t="str">
        <f>IF(B446="","",VLOOKUP(D446,'Species Data'!B:D,4,FALSE))</f>
        <v/>
      </c>
      <c r="D446" s="251" t="str">
        <f t="shared" ca="1" si="54"/>
        <v/>
      </c>
      <c r="E446" s="251" t="str">
        <f t="shared" ca="1" si="55"/>
        <v/>
      </c>
      <c r="F446" s="251" t="str">
        <f t="shared" ca="1" si="56"/>
        <v/>
      </c>
      <c r="G446" s="251" t="str">
        <f t="shared" ca="1" si="57"/>
        <v/>
      </c>
      <c r="H446" s="208" t="str">
        <f ca="1">IF(G446="","",IF(VLOOKUP(VOC!F446,'Species Data'!D:E,3,FALSE)=0,"X",IF(G446&lt;44.1,2,1)))</f>
        <v/>
      </c>
      <c r="I446" s="208" t="str">
        <f t="shared" ca="1" si="58"/>
        <v/>
      </c>
      <c r="J446" s="252" t="str">
        <f ca="1">IF(I446="","",IF(COUNTIF($D$12:D446,D446)=1,IF(H446=1,I446*H446,IF(H446="X","X",0)),0))</f>
        <v/>
      </c>
      <c r="K446" s="253" t="str">
        <f t="shared" ca="1" si="59"/>
        <v/>
      </c>
      <c r="L446" s="244"/>
      <c r="M446" s="217"/>
      <c r="N446" s="217"/>
      <c r="O446" s="218"/>
      <c r="P446" s="217"/>
      <c r="Q446" s="219"/>
      <c r="R446" s="217"/>
      <c r="S446" s="217"/>
      <c r="T446" s="217"/>
      <c r="U446" s="217"/>
      <c r="V446" s="219"/>
      <c r="W446" s="219"/>
      <c r="X446" s="219"/>
      <c r="Y446" s="219"/>
      <c r="Z446" s="219"/>
      <c r="AA446" s="217"/>
      <c r="AB446" s="217"/>
      <c r="AC446" s="217"/>
      <c r="AD446" s="219"/>
      <c r="AE446" s="219"/>
      <c r="AF446" s="219"/>
      <c r="AG446" s="219"/>
      <c r="AH446" s="217"/>
      <c r="AI446" s="217"/>
      <c r="AJ446" s="217"/>
      <c r="AK446" s="217"/>
      <c r="AL446" s="217"/>
      <c r="AM446" s="219"/>
      <c r="AN446" s="219"/>
      <c r="AO446" s="217"/>
      <c r="AP446" s="217"/>
      <c r="AQ446" s="219"/>
      <c r="AR446" s="219"/>
      <c r="AS446" s="217"/>
    </row>
    <row r="447" spans="1:45" x14ac:dyDescent="0.25">
      <c r="A447" s="250" t="str">
        <f t="shared" si="60"/>
        <v/>
      </c>
      <c r="B447" s="251" t="str">
        <f t="shared" si="53"/>
        <v/>
      </c>
      <c r="C447" s="251" t="str">
        <f>IF(B447="","",VLOOKUP(D447,'Species Data'!B:D,4,FALSE))</f>
        <v/>
      </c>
      <c r="D447" s="251" t="str">
        <f t="shared" ca="1" si="54"/>
        <v/>
      </c>
      <c r="E447" s="251" t="str">
        <f t="shared" ca="1" si="55"/>
        <v/>
      </c>
      <c r="F447" s="251" t="str">
        <f t="shared" ca="1" si="56"/>
        <v/>
      </c>
      <c r="G447" s="251" t="str">
        <f t="shared" ca="1" si="57"/>
        <v/>
      </c>
      <c r="H447" s="208" t="str">
        <f ca="1">IF(G447="","",IF(VLOOKUP(VOC!F447,'Species Data'!D:E,3,FALSE)=0,"X",IF(G447&lt;44.1,2,1)))</f>
        <v/>
      </c>
      <c r="I447" s="208" t="str">
        <f t="shared" ca="1" si="58"/>
        <v/>
      </c>
      <c r="J447" s="252" t="str">
        <f ca="1">IF(I447="","",IF(COUNTIF($D$12:D447,D447)=1,IF(H447=1,I447*H447,IF(H447="X","X",0)),0))</f>
        <v/>
      </c>
      <c r="K447" s="253" t="str">
        <f t="shared" ca="1" si="59"/>
        <v/>
      </c>
      <c r="L447" s="244"/>
      <c r="M447" s="217"/>
      <c r="N447" s="217"/>
      <c r="O447" s="218"/>
      <c r="P447" s="217"/>
      <c r="Q447" s="219"/>
      <c r="R447" s="217"/>
      <c r="S447" s="217"/>
      <c r="T447" s="217"/>
      <c r="U447" s="217"/>
      <c r="V447" s="219"/>
      <c r="W447" s="219"/>
      <c r="X447" s="219"/>
      <c r="Y447" s="219"/>
      <c r="Z447" s="219"/>
      <c r="AA447" s="217"/>
      <c r="AB447" s="217"/>
      <c r="AC447" s="217"/>
      <c r="AD447" s="219"/>
      <c r="AE447" s="219"/>
      <c r="AF447" s="219"/>
      <c r="AG447" s="219"/>
      <c r="AH447" s="217"/>
      <c r="AI447" s="217"/>
      <c r="AJ447" s="217"/>
      <c r="AK447" s="217"/>
      <c r="AL447" s="217"/>
      <c r="AM447" s="219"/>
      <c r="AN447" s="219"/>
      <c r="AO447" s="217"/>
      <c r="AP447" s="217"/>
      <c r="AQ447" s="219"/>
      <c r="AR447" s="219"/>
      <c r="AS447" s="217"/>
    </row>
    <row r="448" spans="1:45" x14ac:dyDescent="0.25">
      <c r="A448" s="250" t="str">
        <f t="shared" si="60"/>
        <v/>
      </c>
      <c r="B448" s="251" t="str">
        <f t="shared" si="53"/>
        <v/>
      </c>
      <c r="C448" s="251" t="str">
        <f>IF(B448="","",VLOOKUP(D448,'Species Data'!B:D,4,FALSE))</f>
        <v/>
      </c>
      <c r="D448" s="251" t="str">
        <f t="shared" ca="1" si="54"/>
        <v/>
      </c>
      <c r="E448" s="251" t="str">
        <f t="shared" ca="1" si="55"/>
        <v/>
      </c>
      <c r="F448" s="251" t="str">
        <f t="shared" ca="1" si="56"/>
        <v/>
      </c>
      <c r="G448" s="251" t="str">
        <f t="shared" ca="1" si="57"/>
        <v/>
      </c>
      <c r="H448" s="208" t="str">
        <f ca="1">IF(G448="","",IF(VLOOKUP(VOC!F448,'Species Data'!D:E,3,FALSE)=0,"X",IF(G448&lt;44.1,2,1)))</f>
        <v/>
      </c>
      <c r="I448" s="208" t="str">
        <f t="shared" ca="1" si="58"/>
        <v/>
      </c>
      <c r="J448" s="252" t="str">
        <f ca="1">IF(I448="","",IF(COUNTIF($D$12:D448,D448)=1,IF(H448=1,I448*H448,IF(H448="X","X",0)),0))</f>
        <v/>
      </c>
      <c r="K448" s="253" t="str">
        <f t="shared" ca="1" si="59"/>
        <v/>
      </c>
      <c r="L448" s="244"/>
      <c r="M448" s="217"/>
      <c r="N448" s="217"/>
      <c r="O448" s="218"/>
      <c r="P448" s="217"/>
      <c r="Q448" s="219"/>
      <c r="R448" s="217"/>
      <c r="S448" s="217"/>
      <c r="T448" s="217"/>
      <c r="U448" s="217"/>
      <c r="V448" s="219"/>
      <c r="W448" s="219"/>
      <c r="X448" s="219"/>
      <c r="Y448" s="219"/>
      <c r="Z448" s="219"/>
      <c r="AA448" s="217"/>
      <c r="AB448" s="217"/>
      <c r="AC448" s="217"/>
      <c r="AD448" s="219"/>
      <c r="AE448" s="219"/>
      <c r="AF448" s="219"/>
      <c r="AG448" s="219"/>
      <c r="AH448" s="217"/>
      <c r="AI448" s="217"/>
      <c r="AJ448" s="217"/>
      <c r="AK448" s="217"/>
      <c r="AL448" s="217"/>
      <c r="AM448" s="219"/>
      <c r="AN448" s="219"/>
      <c r="AO448" s="217"/>
      <c r="AP448" s="217"/>
      <c r="AQ448" s="219"/>
      <c r="AR448" s="219"/>
      <c r="AS448" s="217"/>
    </row>
    <row r="449" spans="1:45" x14ac:dyDescent="0.25">
      <c r="A449" s="250" t="str">
        <f t="shared" si="60"/>
        <v/>
      </c>
      <c r="B449" s="251" t="str">
        <f t="shared" si="53"/>
        <v/>
      </c>
      <c r="C449" s="251" t="str">
        <f>IF(B449="","",VLOOKUP(D449,'Species Data'!B:D,4,FALSE))</f>
        <v/>
      </c>
      <c r="D449" s="251" t="str">
        <f t="shared" ca="1" si="54"/>
        <v/>
      </c>
      <c r="E449" s="251" t="str">
        <f t="shared" ca="1" si="55"/>
        <v/>
      </c>
      <c r="F449" s="251" t="str">
        <f t="shared" ca="1" si="56"/>
        <v/>
      </c>
      <c r="G449" s="251" t="str">
        <f t="shared" ca="1" si="57"/>
        <v/>
      </c>
      <c r="H449" s="208" t="str">
        <f ca="1">IF(G449="","",IF(VLOOKUP(VOC!F449,'Species Data'!D:E,3,FALSE)=0,"X",IF(G449&lt;44.1,2,1)))</f>
        <v/>
      </c>
      <c r="I449" s="208" t="str">
        <f t="shared" ca="1" si="58"/>
        <v/>
      </c>
      <c r="J449" s="252" t="str">
        <f ca="1">IF(I449="","",IF(COUNTIF($D$12:D449,D449)=1,IF(H449=1,I449*H449,IF(H449="X","X",0)),0))</f>
        <v/>
      </c>
      <c r="K449" s="253" t="str">
        <f t="shared" ca="1" si="59"/>
        <v/>
      </c>
      <c r="L449" s="244"/>
      <c r="M449" s="217"/>
      <c r="N449" s="217"/>
      <c r="O449" s="218"/>
      <c r="P449" s="217"/>
      <c r="Q449" s="219"/>
      <c r="R449" s="217"/>
      <c r="S449" s="217"/>
      <c r="T449" s="217"/>
      <c r="U449" s="217"/>
      <c r="V449" s="219"/>
      <c r="W449" s="219"/>
      <c r="X449" s="219"/>
      <c r="Y449" s="219"/>
      <c r="Z449" s="219"/>
      <c r="AA449" s="217"/>
      <c r="AB449" s="217"/>
      <c r="AC449" s="217"/>
      <c r="AD449" s="219"/>
      <c r="AE449" s="219"/>
      <c r="AF449" s="219"/>
      <c r="AG449" s="219"/>
      <c r="AH449" s="217"/>
      <c r="AI449" s="217"/>
      <c r="AJ449" s="217"/>
      <c r="AK449" s="217"/>
      <c r="AL449" s="217"/>
      <c r="AM449" s="219"/>
      <c r="AN449" s="219"/>
      <c r="AO449" s="217"/>
      <c r="AP449" s="217"/>
      <c r="AQ449" s="219"/>
      <c r="AR449" s="219"/>
      <c r="AS449" s="217"/>
    </row>
    <row r="450" spans="1:45" ht="15.75" thickBot="1" x14ac:dyDescent="0.3">
      <c r="A450" s="254" t="str">
        <f t="shared" si="60"/>
        <v/>
      </c>
      <c r="B450" s="255" t="str">
        <f t="shared" si="53"/>
        <v/>
      </c>
      <c r="C450" s="255" t="str">
        <f>IF(B450="","",VLOOKUP(D450,'Species Data'!B:D,4,FALSE))</f>
        <v/>
      </c>
      <c r="D450" s="255" t="str">
        <f t="shared" ca="1" si="54"/>
        <v/>
      </c>
      <c r="E450" s="255" t="str">
        <f t="shared" ca="1" si="55"/>
        <v/>
      </c>
      <c r="F450" s="255" t="str">
        <f t="shared" ca="1" si="56"/>
        <v/>
      </c>
      <c r="G450" s="255" t="str">
        <f t="shared" ca="1" si="57"/>
        <v/>
      </c>
      <c r="H450" s="256" t="str">
        <f ca="1">IF(G450="","",IF(VLOOKUP(VOC!F450,'Species Data'!D:E,3,FALSE)=0,"X",IF(G450&lt;44.1,2,1)))</f>
        <v/>
      </c>
      <c r="I450" s="256" t="str">
        <f t="shared" ca="1" si="58"/>
        <v/>
      </c>
      <c r="J450" s="257" t="str">
        <f ca="1">IF(I450="","",IF(COUNTIF($D$12:D450,D450)=1,IF(H450=1,I450*H450,IF(H450="X","X",0)),0))</f>
        <v/>
      </c>
      <c r="K450" s="258" t="str">
        <f t="shared" ca="1" si="59"/>
        <v/>
      </c>
      <c r="L450" s="217"/>
      <c r="M450" s="217"/>
      <c r="N450" s="217"/>
      <c r="O450" s="218"/>
      <c r="P450" s="217"/>
      <c r="Q450" s="219"/>
      <c r="R450" s="217"/>
      <c r="S450" s="217"/>
      <c r="T450" s="217"/>
      <c r="U450" s="217"/>
      <c r="V450" s="219"/>
      <c r="W450" s="219"/>
      <c r="X450" s="219"/>
      <c r="Y450" s="219"/>
      <c r="Z450" s="219"/>
      <c r="AA450" s="217"/>
      <c r="AB450" s="217"/>
      <c r="AC450" s="217"/>
      <c r="AD450" s="219"/>
      <c r="AE450" s="219"/>
      <c r="AF450" s="219"/>
      <c r="AG450" s="219"/>
      <c r="AH450" s="217"/>
      <c r="AI450" s="217"/>
      <c r="AJ450" s="217"/>
      <c r="AK450" s="217"/>
      <c r="AL450" s="217"/>
      <c r="AM450" s="219"/>
      <c r="AN450" s="219"/>
      <c r="AO450" s="217"/>
      <c r="AP450" s="217"/>
      <c r="AQ450" s="219"/>
      <c r="AR450" s="219"/>
      <c r="AS450" s="217"/>
    </row>
    <row r="451" spans="1:45" x14ac:dyDescent="0.25">
      <c r="A451" s="225"/>
      <c r="B451" s="224"/>
      <c r="C451" s="224"/>
      <c r="D451" s="224"/>
      <c r="E451" s="224"/>
      <c r="F451" s="224"/>
      <c r="G451" s="224"/>
      <c r="H451" s="224"/>
      <c r="I451" s="224"/>
      <c r="J451" s="230" t="str">
        <f>IF(I451="","",IF(COUNTIF($D$5:D451,D451)=1,IF(H451=2,0,I451*H451),0))</f>
        <v/>
      </c>
      <c r="K451" s="227"/>
      <c r="L451" s="217"/>
      <c r="M451" s="217"/>
      <c r="N451" s="217"/>
      <c r="O451" s="218"/>
      <c r="P451" s="217"/>
      <c r="Q451" s="219"/>
      <c r="R451" s="217"/>
      <c r="S451" s="217"/>
      <c r="T451" s="217"/>
      <c r="U451" s="217"/>
      <c r="V451" s="219"/>
      <c r="W451" s="219"/>
      <c r="X451" s="219"/>
      <c r="Y451" s="219"/>
      <c r="Z451" s="219"/>
      <c r="AA451" s="217"/>
      <c r="AB451" s="217"/>
      <c r="AC451" s="217"/>
      <c r="AD451" s="219"/>
      <c r="AE451" s="219"/>
      <c r="AF451" s="219"/>
      <c r="AG451" s="219"/>
      <c r="AH451" s="217"/>
      <c r="AI451" s="217"/>
      <c r="AJ451" s="217"/>
      <c r="AK451" s="217"/>
      <c r="AL451" s="217"/>
      <c r="AM451" s="219"/>
      <c r="AN451" s="219"/>
      <c r="AO451" s="217"/>
      <c r="AP451" s="217"/>
      <c r="AQ451" s="219"/>
      <c r="AR451" s="219"/>
      <c r="AS451" s="217"/>
    </row>
    <row r="452" spans="1:45" x14ac:dyDescent="0.25">
      <c r="A452" s="225"/>
      <c r="B452" s="224"/>
      <c r="C452" s="224"/>
      <c r="D452" s="224"/>
      <c r="E452" s="224"/>
      <c r="F452" s="224"/>
      <c r="G452" s="224"/>
      <c r="H452" s="224"/>
      <c r="I452" s="224"/>
      <c r="J452" s="224"/>
      <c r="K452" s="227"/>
      <c r="L452" s="217"/>
      <c r="M452" s="217"/>
      <c r="N452" s="217"/>
      <c r="O452" s="218"/>
      <c r="P452" s="217"/>
      <c r="Q452" s="219"/>
      <c r="R452" s="217"/>
      <c r="S452" s="217"/>
      <c r="T452" s="217"/>
      <c r="U452" s="217"/>
      <c r="V452" s="219"/>
      <c r="W452" s="219"/>
      <c r="X452" s="219"/>
      <c r="Y452" s="219"/>
      <c r="Z452" s="219"/>
      <c r="AA452" s="217"/>
      <c r="AB452" s="217"/>
      <c r="AC452" s="217"/>
      <c r="AD452" s="219"/>
      <c r="AE452" s="219"/>
      <c r="AF452" s="219"/>
      <c r="AG452" s="219"/>
      <c r="AH452" s="217"/>
      <c r="AI452" s="217"/>
      <c r="AJ452" s="217"/>
      <c r="AK452" s="217"/>
      <c r="AL452" s="217"/>
      <c r="AM452" s="219"/>
      <c r="AN452" s="219"/>
      <c r="AO452" s="217"/>
      <c r="AP452" s="217"/>
      <c r="AQ452" s="219"/>
      <c r="AR452" s="219"/>
      <c r="AS452" s="217"/>
    </row>
    <row r="453" spans="1:45" x14ac:dyDescent="0.25">
      <c r="A453" s="225"/>
      <c r="B453" s="224"/>
      <c r="C453" s="224"/>
      <c r="D453" s="224"/>
      <c r="E453" s="224"/>
      <c r="F453" s="224"/>
      <c r="G453" s="224"/>
      <c r="H453" s="224"/>
      <c r="I453" s="224"/>
      <c r="J453" s="224"/>
      <c r="K453" s="227"/>
      <c r="L453" s="217"/>
      <c r="M453" s="217"/>
      <c r="N453" s="217"/>
      <c r="O453" s="218"/>
      <c r="P453" s="217"/>
      <c r="Q453" s="219"/>
      <c r="R453" s="217"/>
      <c r="S453" s="217"/>
      <c r="T453" s="217"/>
      <c r="U453" s="217"/>
      <c r="V453" s="219"/>
      <c r="W453" s="219"/>
      <c r="X453" s="219"/>
      <c r="Y453" s="219"/>
      <c r="Z453" s="219"/>
      <c r="AA453" s="217"/>
      <c r="AB453" s="217"/>
      <c r="AC453" s="217"/>
      <c r="AD453" s="219"/>
      <c r="AE453" s="219"/>
      <c r="AF453" s="219"/>
      <c r="AG453" s="219"/>
      <c r="AH453" s="217"/>
      <c r="AI453" s="217"/>
      <c r="AJ453" s="217"/>
      <c r="AK453" s="217"/>
      <c r="AL453" s="217"/>
      <c r="AM453" s="219"/>
      <c r="AN453" s="219"/>
      <c r="AO453" s="217"/>
      <c r="AP453" s="217"/>
      <c r="AQ453" s="219"/>
      <c r="AR453" s="219"/>
      <c r="AS453" s="217"/>
    </row>
    <row r="454" spans="1:45" x14ac:dyDescent="0.25">
      <c r="A454" s="225"/>
      <c r="B454" s="224"/>
      <c r="C454" s="224"/>
      <c r="D454" s="224"/>
      <c r="E454" s="224"/>
      <c r="F454" s="224"/>
      <c r="G454" s="224"/>
      <c r="H454" s="224"/>
      <c r="I454" s="224"/>
      <c r="J454" s="224"/>
      <c r="K454" s="227"/>
      <c r="L454" s="217"/>
      <c r="M454" s="217"/>
      <c r="N454" s="217"/>
      <c r="O454" s="218"/>
      <c r="P454" s="217"/>
      <c r="Q454" s="219"/>
      <c r="R454" s="217"/>
      <c r="S454" s="217"/>
      <c r="T454" s="217"/>
      <c r="U454" s="217"/>
      <c r="V454" s="219"/>
      <c r="W454" s="219"/>
      <c r="X454" s="219"/>
      <c r="Y454" s="219"/>
      <c r="Z454" s="219"/>
      <c r="AA454" s="217"/>
      <c r="AB454" s="217"/>
      <c r="AC454" s="217"/>
      <c r="AD454" s="219"/>
      <c r="AE454" s="219"/>
      <c r="AF454" s="219"/>
      <c r="AG454" s="219"/>
      <c r="AH454" s="217"/>
      <c r="AI454" s="217"/>
      <c r="AJ454" s="217"/>
      <c r="AK454" s="217"/>
      <c r="AL454" s="217"/>
      <c r="AM454" s="219"/>
      <c r="AN454" s="219"/>
      <c r="AO454" s="217"/>
      <c r="AP454" s="217"/>
      <c r="AQ454" s="219"/>
      <c r="AR454" s="219"/>
      <c r="AS454" s="217"/>
    </row>
    <row r="455" spans="1:45" x14ac:dyDescent="0.25">
      <c r="A455" s="225"/>
      <c r="B455" s="224"/>
      <c r="C455" s="224"/>
      <c r="D455" s="224"/>
      <c r="E455" s="224"/>
      <c r="F455" s="224"/>
      <c r="G455" s="224"/>
      <c r="H455" s="224"/>
      <c r="I455" s="224"/>
      <c r="J455" s="224"/>
      <c r="K455" s="227"/>
      <c r="L455" s="217"/>
      <c r="M455" s="217"/>
      <c r="N455" s="217"/>
      <c r="O455" s="218"/>
      <c r="P455" s="217"/>
      <c r="Q455" s="219"/>
      <c r="R455" s="217"/>
      <c r="S455" s="217"/>
      <c r="T455" s="217"/>
      <c r="U455" s="217"/>
      <c r="V455" s="219"/>
      <c r="W455" s="219"/>
      <c r="X455" s="219"/>
      <c r="Y455" s="219"/>
      <c r="Z455" s="219"/>
      <c r="AA455" s="217"/>
      <c r="AB455" s="217"/>
      <c r="AC455" s="217"/>
      <c r="AD455" s="219"/>
      <c r="AE455" s="219"/>
      <c r="AF455" s="219"/>
      <c r="AG455" s="219"/>
      <c r="AH455" s="217"/>
      <c r="AI455" s="217"/>
      <c r="AJ455" s="217"/>
      <c r="AK455" s="217"/>
      <c r="AL455" s="217"/>
      <c r="AM455" s="219"/>
      <c r="AN455" s="219"/>
      <c r="AO455" s="217"/>
      <c r="AP455" s="217"/>
      <c r="AQ455" s="219"/>
      <c r="AR455" s="219"/>
      <c r="AS455" s="217"/>
    </row>
    <row r="456" spans="1:45" x14ac:dyDescent="0.25">
      <c r="A456" s="225"/>
      <c r="B456" s="224"/>
      <c r="C456" s="224"/>
      <c r="D456" s="224"/>
      <c r="E456" s="224"/>
      <c r="F456" s="224"/>
      <c r="G456" s="224"/>
      <c r="H456" s="224"/>
      <c r="I456" s="224"/>
      <c r="J456" s="224"/>
      <c r="K456" s="227"/>
      <c r="L456" s="217"/>
      <c r="M456" s="217"/>
      <c r="N456" s="217"/>
      <c r="O456" s="218"/>
      <c r="P456" s="217"/>
      <c r="Q456" s="219"/>
      <c r="R456" s="217"/>
      <c r="S456" s="217"/>
      <c r="T456" s="217"/>
      <c r="U456" s="217"/>
      <c r="V456" s="219"/>
      <c r="W456" s="219"/>
      <c r="X456" s="219"/>
      <c r="Y456" s="219"/>
      <c r="Z456" s="219"/>
      <c r="AA456" s="217"/>
      <c r="AB456" s="217"/>
      <c r="AC456" s="217"/>
      <c r="AD456" s="219"/>
      <c r="AE456" s="219"/>
      <c r="AF456" s="219"/>
      <c r="AG456" s="219"/>
      <c r="AH456" s="217"/>
      <c r="AI456" s="217"/>
      <c r="AJ456" s="217"/>
      <c r="AK456" s="217"/>
      <c r="AL456" s="217"/>
      <c r="AM456" s="219"/>
      <c r="AN456" s="219"/>
      <c r="AO456" s="217"/>
      <c r="AP456" s="217"/>
      <c r="AQ456" s="219"/>
      <c r="AR456" s="219"/>
      <c r="AS456" s="217"/>
    </row>
    <row r="457" spans="1:45" x14ac:dyDescent="0.25">
      <c r="A457" s="225"/>
      <c r="B457" s="224"/>
      <c r="C457" s="224"/>
      <c r="D457" s="224"/>
      <c r="E457" s="224"/>
      <c r="F457" s="224"/>
      <c r="G457" s="224"/>
      <c r="H457" s="224"/>
      <c r="I457" s="224"/>
      <c r="J457" s="224"/>
      <c r="K457" s="227"/>
      <c r="L457" s="217"/>
      <c r="M457" s="217"/>
      <c r="N457" s="217"/>
      <c r="O457" s="218"/>
      <c r="P457" s="217"/>
      <c r="Q457" s="219"/>
      <c r="R457" s="217"/>
      <c r="S457" s="217"/>
      <c r="T457" s="217"/>
      <c r="U457" s="217"/>
      <c r="V457" s="219"/>
      <c r="W457" s="219"/>
      <c r="X457" s="219"/>
      <c r="Y457" s="219"/>
      <c r="Z457" s="219"/>
      <c r="AA457" s="217"/>
      <c r="AB457" s="217"/>
      <c r="AC457" s="217"/>
      <c r="AD457" s="219"/>
      <c r="AE457" s="219"/>
      <c r="AF457" s="219"/>
      <c r="AG457" s="219"/>
      <c r="AH457" s="217"/>
      <c r="AI457" s="217"/>
      <c r="AJ457" s="217"/>
      <c r="AK457" s="217"/>
      <c r="AL457" s="217"/>
      <c r="AM457" s="219"/>
      <c r="AN457" s="219"/>
      <c r="AO457" s="217"/>
      <c r="AP457" s="217"/>
      <c r="AQ457" s="219"/>
      <c r="AR457" s="219"/>
      <c r="AS457" s="217"/>
    </row>
    <row r="458" spans="1:45" x14ac:dyDescent="0.25">
      <c r="A458" s="225"/>
      <c r="B458" s="224"/>
      <c r="C458" s="224"/>
      <c r="D458" s="224"/>
      <c r="E458" s="224"/>
      <c r="F458" s="224"/>
      <c r="G458" s="224"/>
      <c r="H458" s="224"/>
      <c r="I458" s="224"/>
      <c r="J458" s="224"/>
      <c r="K458" s="227"/>
      <c r="L458" s="217"/>
      <c r="M458" s="217"/>
      <c r="N458" s="217"/>
      <c r="O458" s="218"/>
      <c r="P458" s="217"/>
      <c r="Q458" s="219"/>
      <c r="R458" s="217"/>
      <c r="S458" s="217"/>
      <c r="T458" s="217"/>
      <c r="U458" s="217"/>
      <c r="V458" s="219"/>
      <c r="W458" s="219"/>
      <c r="X458" s="219"/>
      <c r="Y458" s="219"/>
      <c r="Z458" s="219"/>
      <c r="AA458" s="217"/>
      <c r="AB458" s="217"/>
      <c r="AC458" s="217"/>
      <c r="AD458" s="219"/>
      <c r="AE458" s="219"/>
      <c r="AF458" s="219"/>
      <c r="AG458" s="219"/>
      <c r="AH458" s="217"/>
      <c r="AI458" s="217"/>
      <c r="AJ458" s="217"/>
      <c r="AK458" s="217"/>
      <c r="AL458" s="217"/>
      <c r="AM458" s="219"/>
      <c r="AN458" s="219"/>
      <c r="AO458" s="217"/>
      <c r="AP458" s="217"/>
      <c r="AQ458" s="219"/>
      <c r="AR458" s="219"/>
      <c r="AS458" s="217"/>
    </row>
    <row r="459" spans="1:45" x14ac:dyDescent="0.25">
      <c r="A459" s="225"/>
      <c r="B459" s="224"/>
      <c r="C459" s="224"/>
      <c r="D459" s="224"/>
      <c r="E459" s="224"/>
      <c r="F459" s="224"/>
      <c r="G459" s="224"/>
      <c r="H459" s="224"/>
      <c r="I459" s="224"/>
      <c r="J459" s="224"/>
      <c r="K459" s="227"/>
      <c r="L459" s="217"/>
      <c r="M459" s="217"/>
      <c r="N459" s="217"/>
      <c r="O459" s="218"/>
      <c r="P459" s="217"/>
      <c r="Q459" s="219"/>
      <c r="R459" s="217"/>
      <c r="S459" s="217"/>
      <c r="T459" s="217"/>
      <c r="U459" s="217"/>
      <c r="V459" s="219"/>
      <c r="W459" s="219"/>
      <c r="X459" s="219"/>
      <c r="Y459" s="219"/>
      <c r="Z459" s="219"/>
      <c r="AA459" s="217"/>
      <c r="AB459" s="217"/>
      <c r="AC459" s="217"/>
      <c r="AD459" s="219"/>
      <c r="AE459" s="219"/>
      <c r="AF459" s="219"/>
      <c r="AG459" s="219"/>
      <c r="AH459" s="217"/>
      <c r="AI459" s="217"/>
      <c r="AJ459" s="217"/>
      <c r="AK459" s="217"/>
      <c r="AL459" s="217"/>
      <c r="AM459" s="219"/>
      <c r="AN459" s="219"/>
      <c r="AO459" s="217"/>
      <c r="AP459" s="217"/>
      <c r="AQ459" s="219"/>
      <c r="AR459" s="219"/>
      <c r="AS459" s="217"/>
    </row>
    <row r="460" spans="1:45" x14ac:dyDescent="0.25">
      <c r="A460" s="225"/>
      <c r="B460" s="224"/>
      <c r="C460" s="224"/>
      <c r="D460" s="224"/>
      <c r="E460" s="224"/>
      <c r="F460" s="224"/>
      <c r="G460" s="224"/>
      <c r="H460" s="224"/>
      <c r="I460" s="224"/>
      <c r="J460" s="224"/>
      <c r="K460" s="227"/>
      <c r="L460" s="217"/>
      <c r="M460" s="217"/>
      <c r="N460" s="217"/>
      <c r="O460" s="218"/>
      <c r="P460" s="217"/>
      <c r="Q460" s="219"/>
      <c r="R460" s="217"/>
      <c r="S460" s="217"/>
      <c r="T460" s="217"/>
      <c r="U460" s="217"/>
      <c r="V460" s="219"/>
      <c r="W460" s="219"/>
      <c r="X460" s="219"/>
      <c r="Y460" s="219"/>
      <c r="Z460" s="219"/>
      <c r="AA460" s="217"/>
      <c r="AB460" s="217"/>
      <c r="AC460" s="217"/>
      <c r="AD460" s="219"/>
      <c r="AE460" s="219"/>
      <c r="AF460" s="219"/>
      <c r="AG460" s="219"/>
      <c r="AH460" s="217"/>
      <c r="AI460" s="217"/>
      <c r="AJ460" s="217"/>
      <c r="AK460" s="217"/>
      <c r="AL460" s="217"/>
      <c r="AM460" s="219"/>
      <c r="AN460" s="219"/>
      <c r="AO460" s="217"/>
      <c r="AP460" s="217"/>
      <c r="AQ460" s="219"/>
      <c r="AR460" s="219"/>
      <c r="AS460" s="217"/>
    </row>
    <row r="461" spans="1:45" x14ac:dyDescent="0.25">
      <c r="A461" s="225"/>
      <c r="B461" s="224"/>
      <c r="C461" s="224"/>
      <c r="D461" s="224"/>
      <c r="E461" s="224"/>
      <c r="F461" s="224"/>
      <c r="G461" s="224"/>
      <c r="H461" s="224"/>
      <c r="I461" s="224"/>
      <c r="J461" s="224"/>
      <c r="K461" s="227"/>
      <c r="L461" s="217"/>
      <c r="M461" s="217"/>
      <c r="N461" s="217"/>
      <c r="O461" s="218"/>
      <c r="P461" s="217"/>
      <c r="Q461" s="219"/>
      <c r="R461" s="217"/>
      <c r="S461" s="217"/>
      <c r="T461" s="217"/>
      <c r="U461" s="217"/>
      <c r="V461" s="219"/>
      <c r="W461" s="219"/>
      <c r="X461" s="219"/>
      <c r="Y461" s="219"/>
      <c r="Z461" s="219"/>
      <c r="AA461" s="217"/>
      <c r="AB461" s="217"/>
      <c r="AC461" s="217"/>
      <c r="AD461" s="219"/>
      <c r="AE461" s="219"/>
      <c r="AF461" s="219"/>
      <c r="AG461" s="219"/>
      <c r="AH461" s="217"/>
      <c r="AI461" s="217"/>
      <c r="AJ461" s="217"/>
      <c r="AK461" s="217"/>
      <c r="AL461" s="217"/>
      <c r="AM461" s="219"/>
      <c r="AN461" s="219"/>
      <c r="AO461" s="217"/>
      <c r="AP461" s="217"/>
      <c r="AQ461" s="219"/>
      <c r="AR461" s="219"/>
      <c r="AS461" s="217"/>
    </row>
    <row r="462" spans="1:45" x14ac:dyDescent="0.25">
      <c r="A462" s="225"/>
      <c r="B462" s="224"/>
      <c r="C462" s="224"/>
      <c r="D462" s="224"/>
      <c r="E462" s="224"/>
      <c r="F462" s="224"/>
      <c r="G462" s="224"/>
      <c r="H462" s="224"/>
      <c r="I462" s="224"/>
      <c r="J462" s="224"/>
      <c r="K462" s="227"/>
      <c r="L462" s="217"/>
      <c r="M462" s="217"/>
      <c r="N462" s="217"/>
      <c r="O462" s="218"/>
      <c r="P462" s="217"/>
      <c r="Q462" s="219"/>
      <c r="R462" s="217"/>
      <c r="S462" s="217"/>
      <c r="T462" s="217"/>
      <c r="U462" s="217"/>
      <c r="V462" s="219"/>
      <c r="W462" s="219"/>
      <c r="X462" s="219"/>
      <c r="Y462" s="219"/>
      <c r="Z462" s="219"/>
      <c r="AA462" s="217"/>
      <c r="AB462" s="217"/>
      <c r="AC462" s="217"/>
      <c r="AD462" s="219"/>
      <c r="AE462" s="219"/>
      <c r="AF462" s="219"/>
      <c r="AG462" s="219"/>
      <c r="AH462" s="217"/>
      <c r="AI462" s="217"/>
      <c r="AJ462" s="217"/>
      <c r="AK462" s="217"/>
      <c r="AL462" s="217"/>
      <c r="AM462" s="219"/>
      <c r="AN462" s="219"/>
      <c r="AO462" s="217"/>
      <c r="AP462" s="217"/>
      <c r="AQ462" s="219"/>
      <c r="AR462" s="219"/>
      <c r="AS462" s="217"/>
    </row>
    <row r="463" spans="1:45" x14ac:dyDescent="0.25">
      <c r="A463" s="225"/>
      <c r="B463" s="224"/>
      <c r="C463" s="224"/>
      <c r="D463" s="224"/>
      <c r="E463" s="224"/>
      <c r="F463" s="224"/>
      <c r="G463" s="224"/>
      <c r="H463" s="224"/>
      <c r="I463" s="224"/>
      <c r="J463" s="224"/>
      <c r="K463" s="227"/>
      <c r="L463" s="217"/>
      <c r="M463" s="217"/>
      <c r="N463" s="217"/>
      <c r="O463" s="218"/>
      <c r="P463" s="217"/>
      <c r="Q463" s="219"/>
      <c r="R463" s="217"/>
      <c r="S463" s="217"/>
      <c r="T463" s="217"/>
      <c r="U463" s="217"/>
      <c r="V463" s="219"/>
      <c r="W463" s="219"/>
      <c r="X463" s="219"/>
      <c r="Y463" s="219"/>
      <c r="Z463" s="219"/>
      <c r="AA463" s="217"/>
      <c r="AB463" s="217"/>
      <c r="AC463" s="217"/>
      <c r="AD463" s="219"/>
      <c r="AE463" s="219"/>
      <c r="AF463" s="219"/>
      <c r="AG463" s="219"/>
      <c r="AH463" s="217"/>
      <c r="AI463" s="217"/>
      <c r="AJ463" s="217"/>
      <c r="AK463" s="217"/>
      <c r="AL463" s="217"/>
      <c r="AM463" s="219"/>
      <c r="AN463" s="219"/>
      <c r="AO463" s="217"/>
      <c r="AP463" s="217"/>
      <c r="AQ463" s="219"/>
      <c r="AR463" s="219"/>
      <c r="AS463" s="217"/>
    </row>
    <row r="464" spans="1:45" x14ac:dyDescent="0.25">
      <c r="A464" s="225"/>
      <c r="B464" s="224"/>
      <c r="C464" s="224"/>
      <c r="D464" s="224"/>
      <c r="E464" s="224"/>
      <c r="F464" s="224"/>
      <c r="G464" s="224"/>
      <c r="H464" s="224"/>
      <c r="I464" s="224"/>
      <c r="J464" s="224"/>
      <c r="K464" s="227"/>
      <c r="L464" s="217"/>
      <c r="M464" s="217"/>
      <c r="N464" s="217"/>
      <c r="O464" s="218"/>
      <c r="P464" s="217"/>
      <c r="Q464" s="219"/>
      <c r="R464" s="217"/>
      <c r="S464" s="217"/>
      <c r="T464" s="217"/>
      <c r="U464" s="217"/>
      <c r="V464" s="219"/>
      <c r="W464" s="219"/>
      <c r="X464" s="219"/>
      <c r="Y464" s="219"/>
      <c r="Z464" s="219"/>
      <c r="AA464" s="217"/>
      <c r="AB464" s="217"/>
      <c r="AC464" s="217"/>
      <c r="AD464" s="219"/>
      <c r="AE464" s="219"/>
      <c r="AF464" s="219"/>
      <c r="AG464" s="219"/>
      <c r="AH464" s="217"/>
      <c r="AI464" s="217"/>
      <c r="AJ464" s="217"/>
      <c r="AK464" s="217"/>
      <c r="AL464" s="217"/>
      <c r="AM464" s="219"/>
      <c r="AN464" s="219"/>
      <c r="AO464" s="217"/>
      <c r="AP464" s="217"/>
      <c r="AQ464" s="219"/>
      <c r="AR464" s="219"/>
      <c r="AS464" s="217"/>
    </row>
    <row r="465" spans="1:45" x14ac:dyDescent="0.25">
      <c r="A465" s="225"/>
      <c r="B465" s="224"/>
      <c r="C465" s="224"/>
      <c r="D465" s="224"/>
      <c r="E465" s="224"/>
      <c r="F465" s="224"/>
      <c r="G465" s="224"/>
      <c r="H465" s="224"/>
      <c r="I465" s="224"/>
      <c r="J465" s="224"/>
      <c r="K465" s="227"/>
      <c r="L465" s="217"/>
      <c r="M465" s="217"/>
      <c r="N465" s="217"/>
      <c r="O465" s="218"/>
      <c r="P465" s="217"/>
      <c r="Q465" s="219"/>
      <c r="R465" s="217"/>
      <c r="S465" s="217"/>
      <c r="T465" s="217"/>
      <c r="U465" s="217"/>
      <c r="V465" s="219"/>
      <c r="W465" s="219"/>
      <c r="X465" s="219"/>
      <c r="Y465" s="219"/>
      <c r="Z465" s="219"/>
      <c r="AA465" s="217"/>
      <c r="AB465" s="217"/>
      <c r="AC465" s="217"/>
      <c r="AD465" s="219"/>
      <c r="AE465" s="219"/>
      <c r="AF465" s="219"/>
      <c r="AG465" s="219"/>
      <c r="AH465" s="217"/>
      <c r="AI465" s="217"/>
      <c r="AJ465" s="217"/>
      <c r="AK465" s="217"/>
      <c r="AL465" s="217"/>
      <c r="AM465" s="219"/>
      <c r="AN465" s="219"/>
      <c r="AO465" s="217"/>
      <c r="AP465" s="217"/>
      <c r="AQ465" s="219"/>
      <c r="AR465" s="219"/>
      <c r="AS465" s="217"/>
    </row>
    <row r="466" spans="1:45" x14ac:dyDescent="0.25">
      <c r="A466" s="225"/>
      <c r="B466" s="224"/>
      <c r="C466" s="224"/>
      <c r="D466" s="224"/>
      <c r="E466" s="224"/>
      <c r="F466" s="224"/>
      <c r="G466" s="224"/>
      <c r="H466" s="224"/>
      <c r="I466" s="224"/>
      <c r="J466" s="224"/>
      <c r="K466" s="227"/>
      <c r="L466" s="217"/>
      <c r="M466" s="217"/>
      <c r="N466" s="217"/>
      <c r="O466" s="218"/>
      <c r="P466" s="217"/>
      <c r="Q466" s="219"/>
      <c r="R466" s="217"/>
      <c r="S466" s="217"/>
      <c r="T466" s="217"/>
      <c r="U466" s="217"/>
      <c r="V466" s="219"/>
      <c r="W466" s="219"/>
      <c r="X466" s="219"/>
      <c r="Y466" s="219"/>
      <c r="Z466" s="219"/>
      <c r="AA466" s="217"/>
      <c r="AB466" s="217"/>
      <c r="AC466" s="217"/>
      <c r="AD466" s="219"/>
      <c r="AE466" s="219"/>
      <c r="AF466" s="219"/>
      <c r="AG466" s="219"/>
      <c r="AH466" s="217"/>
      <c r="AI466" s="217"/>
      <c r="AJ466" s="217"/>
      <c r="AK466" s="217"/>
      <c r="AL466" s="217"/>
      <c r="AM466" s="219"/>
      <c r="AN466" s="219"/>
      <c r="AO466" s="217"/>
      <c r="AP466" s="217"/>
      <c r="AQ466" s="219"/>
      <c r="AR466" s="219"/>
      <c r="AS466" s="217"/>
    </row>
    <row r="467" spans="1:45" x14ac:dyDescent="0.25">
      <c r="A467" s="225"/>
      <c r="B467" s="224"/>
      <c r="C467" s="224"/>
      <c r="D467" s="224"/>
      <c r="E467" s="224"/>
      <c r="F467" s="224"/>
      <c r="G467" s="224"/>
      <c r="H467" s="224"/>
      <c r="I467" s="224"/>
      <c r="J467" s="224"/>
      <c r="K467" s="227"/>
      <c r="L467" s="217"/>
      <c r="M467" s="217"/>
      <c r="N467" s="217"/>
      <c r="O467" s="218"/>
      <c r="P467" s="217"/>
      <c r="Q467" s="219"/>
      <c r="R467" s="217"/>
      <c r="S467" s="217"/>
      <c r="T467" s="217"/>
      <c r="U467" s="217"/>
      <c r="V467" s="219"/>
      <c r="W467" s="219"/>
      <c r="X467" s="219"/>
      <c r="Y467" s="219"/>
      <c r="Z467" s="219"/>
      <c r="AA467" s="217"/>
      <c r="AB467" s="217"/>
      <c r="AC467" s="217"/>
      <c r="AD467" s="219"/>
      <c r="AE467" s="219"/>
      <c r="AF467" s="219"/>
      <c r="AG467" s="219"/>
      <c r="AH467" s="217"/>
      <c r="AI467" s="217"/>
      <c r="AJ467" s="217"/>
      <c r="AK467" s="217"/>
      <c r="AL467" s="217"/>
      <c r="AM467" s="219"/>
      <c r="AN467" s="219"/>
      <c r="AO467" s="217"/>
      <c r="AP467" s="217"/>
      <c r="AQ467" s="219"/>
      <c r="AR467" s="219"/>
      <c r="AS467" s="217"/>
    </row>
    <row r="468" spans="1:45" x14ac:dyDescent="0.25">
      <c r="A468" s="225"/>
      <c r="B468" s="224"/>
      <c r="C468" s="224"/>
      <c r="D468" s="224"/>
      <c r="E468" s="224"/>
      <c r="F468" s="224"/>
      <c r="G468" s="224"/>
      <c r="H468" s="224"/>
      <c r="I468" s="224"/>
      <c r="J468" s="224"/>
      <c r="K468" s="227"/>
      <c r="L468" s="217"/>
      <c r="M468" s="217"/>
      <c r="N468" s="217"/>
      <c r="O468" s="218"/>
      <c r="P468" s="217"/>
      <c r="Q468" s="219"/>
      <c r="R468" s="217"/>
      <c r="S468" s="217"/>
      <c r="T468" s="217"/>
      <c r="U468" s="217"/>
      <c r="V468" s="219"/>
      <c r="W468" s="219"/>
      <c r="X468" s="219"/>
      <c r="Y468" s="219"/>
      <c r="Z468" s="219"/>
      <c r="AA468" s="217"/>
      <c r="AB468" s="217"/>
      <c r="AC468" s="217"/>
      <c r="AD468" s="219"/>
      <c r="AE468" s="219"/>
      <c r="AF468" s="219"/>
      <c r="AG468" s="219"/>
      <c r="AH468" s="217"/>
      <c r="AI468" s="217"/>
      <c r="AJ468" s="217"/>
      <c r="AK468" s="217"/>
      <c r="AL468" s="217"/>
      <c r="AM468" s="219"/>
      <c r="AN468" s="219"/>
      <c r="AO468" s="217"/>
      <c r="AP468" s="217"/>
      <c r="AQ468" s="219"/>
      <c r="AR468" s="219"/>
      <c r="AS468" s="217"/>
    </row>
    <row r="469" spans="1:45" x14ac:dyDescent="0.25">
      <c r="A469" s="225"/>
      <c r="B469" s="224"/>
      <c r="C469" s="224"/>
      <c r="D469" s="224"/>
      <c r="E469" s="224"/>
      <c r="F469" s="224"/>
      <c r="G469" s="224"/>
      <c r="H469" s="224"/>
      <c r="I469" s="224"/>
      <c r="J469" s="224"/>
      <c r="K469" s="227"/>
      <c r="L469" s="217"/>
      <c r="M469" s="217"/>
      <c r="N469" s="217"/>
      <c r="O469" s="218"/>
      <c r="P469" s="217"/>
      <c r="Q469" s="219"/>
      <c r="R469" s="217"/>
      <c r="S469" s="217"/>
      <c r="T469" s="217"/>
      <c r="U469" s="217"/>
      <c r="V469" s="219"/>
      <c r="W469" s="219"/>
      <c r="X469" s="219"/>
      <c r="Y469" s="219"/>
      <c r="Z469" s="219"/>
      <c r="AA469" s="217"/>
      <c r="AB469" s="217"/>
      <c r="AC469" s="217"/>
      <c r="AD469" s="219"/>
      <c r="AE469" s="219"/>
      <c r="AF469" s="219"/>
      <c r="AG469" s="219"/>
      <c r="AH469" s="217"/>
      <c r="AI469" s="217"/>
      <c r="AJ469" s="217"/>
      <c r="AK469" s="217"/>
      <c r="AL469" s="217"/>
      <c r="AM469" s="219"/>
      <c r="AN469" s="219"/>
      <c r="AO469" s="217"/>
      <c r="AP469" s="217"/>
      <c r="AQ469" s="219"/>
      <c r="AR469" s="219"/>
      <c r="AS469" s="217"/>
    </row>
    <row r="470" spans="1:45" s="222" customFormat="1" x14ac:dyDescent="0.25">
      <c r="A470" s="225"/>
      <c r="B470" s="225"/>
      <c r="C470" s="225"/>
      <c r="D470" s="225"/>
      <c r="E470" s="225"/>
      <c r="F470" s="225"/>
      <c r="G470" s="225"/>
      <c r="H470" s="225"/>
      <c r="I470" s="225"/>
      <c r="J470" s="230"/>
      <c r="K470" s="228"/>
      <c r="L470" s="217"/>
      <c r="M470" s="217"/>
      <c r="N470" s="217"/>
      <c r="O470" s="218"/>
      <c r="P470" s="217"/>
      <c r="Q470" s="219"/>
      <c r="R470" s="217"/>
      <c r="S470" s="217"/>
      <c r="T470" s="217"/>
      <c r="U470" s="217"/>
      <c r="V470" s="219"/>
      <c r="W470" s="219"/>
      <c r="X470" s="219"/>
      <c r="Y470" s="219"/>
      <c r="Z470" s="219"/>
      <c r="AA470" s="217"/>
      <c r="AB470" s="217"/>
      <c r="AC470" s="217"/>
      <c r="AD470" s="219"/>
      <c r="AE470" s="219"/>
      <c r="AF470" s="219"/>
      <c r="AG470" s="219"/>
      <c r="AH470" s="217"/>
      <c r="AI470" s="217"/>
      <c r="AJ470" s="217"/>
      <c r="AK470" s="217"/>
      <c r="AL470" s="217"/>
      <c r="AM470" s="219"/>
      <c r="AN470" s="219"/>
      <c r="AO470" s="217"/>
      <c r="AP470" s="217"/>
      <c r="AQ470" s="219"/>
      <c r="AR470" s="219"/>
      <c r="AS470" s="217"/>
    </row>
    <row r="471" spans="1:45" s="222" customFormat="1" x14ac:dyDescent="0.25">
      <c r="A471" s="225"/>
      <c r="B471" s="225"/>
      <c r="C471" s="225"/>
      <c r="D471" s="225"/>
      <c r="E471" s="225"/>
      <c r="F471" s="225"/>
      <c r="G471" s="225"/>
      <c r="H471" s="225"/>
      <c r="I471" s="225"/>
      <c r="J471" s="230"/>
      <c r="K471" s="228"/>
      <c r="L471" s="217"/>
      <c r="M471" s="217"/>
      <c r="N471" s="217"/>
      <c r="O471" s="218"/>
      <c r="P471" s="217"/>
      <c r="Q471" s="219"/>
      <c r="R471" s="217"/>
      <c r="S471" s="217"/>
      <c r="T471" s="217"/>
      <c r="U471" s="217"/>
      <c r="V471" s="219"/>
      <c r="W471" s="219"/>
      <c r="X471" s="219"/>
      <c r="Y471" s="219"/>
      <c r="Z471" s="219"/>
      <c r="AA471" s="217"/>
      <c r="AB471" s="217"/>
      <c r="AC471" s="217"/>
      <c r="AD471" s="219"/>
      <c r="AE471" s="219"/>
      <c r="AF471" s="219"/>
      <c r="AG471" s="219"/>
      <c r="AH471" s="217"/>
      <c r="AI471" s="217"/>
      <c r="AJ471" s="217"/>
      <c r="AK471" s="217"/>
      <c r="AL471" s="217"/>
      <c r="AM471" s="219"/>
      <c r="AN471" s="219"/>
      <c r="AO471" s="217"/>
      <c r="AP471" s="217"/>
      <c r="AQ471" s="219"/>
      <c r="AR471" s="219"/>
      <c r="AS471" s="217"/>
    </row>
    <row r="472" spans="1:45" s="222" customFormat="1" x14ac:dyDescent="0.25">
      <c r="A472" s="225"/>
      <c r="B472" s="225"/>
      <c r="C472" s="225"/>
      <c r="D472" s="225"/>
      <c r="E472" s="225"/>
      <c r="F472" s="225"/>
      <c r="G472" s="225"/>
      <c r="H472" s="225"/>
      <c r="I472" s="225"/>
      <c r="J472" s="230"/>
      <c r="K472" s="228"/>
      <c r="L472" s="217"/>
      <c r="M472" s="217"/>
      <c r="N472" s="217"/>
      <c r="O472" s="218"/>
      <c r="P472" s="217"/>
      <c r="Q472" s="219"/>
      <c r="R472" s="217"/>
      <c r="S472" s="217"/>
      <c r="T472" s="217"/>
      <c r="U472" s="217"/>
      <c r="V472" s="219"/>
      <c r="W472" s="219"/>
      <c r="X472" s="219"/>
      <c r="Y472" s="219"/>
      <c r="Z472" s="219"/>
      <c r="AA472" s="217"/>
      <c r="AB472" s="217"/>
      <c r="AC472" s="217"/>
      <c r="AD472" s="219"/>
      <c r="AE472" s="219"/>
      <c r="AF472" s="219"/>
      <c r="AG472" s="219"/>
      <c r="AH472" s="217"/>
      <c r="AI472" s="217"/>
      <c r="AJ472" s="217"/>
      <c r="AK472" s="217"/>
      <c r="AL472" s="217"/>
      <c r="AM472" s="219"/>
      <c r="AN472" s="219"/>
      <c r="AO472" s="217"/>
      <c r="AP472" s="217"/>
      <c r="AQ472" s="219"/>
      <c r="AR472" s="219"/>
      <c r="AS472" s="217"/>
    </row>
    <row r="473" spans="1:45" s="222" customFormat="1" x14ac:dyDescent="0.25">
      <c r="A473" s="225"/>
      <c r="B473" s="225"/>
      <c r="C473" s="225"/>
      <c r="D473" s="225"/>
      <c r="E473" s="225"/>
      <c r="F473" s="225"/>
      <c r="G473" s="225"/>
      <c r="H473" s="225"/>
      <c r="I473" s="225"/>
      <c r="J473" s="230"/>
      <c r="K473" s="228"/>
      <c r="L473" s="217"/>
      <c r="M473" s="217"/>
      <c r="N473" s="217"/>
      <c r="O473" s="218"/>
      <c r="P473" s="217"/>
      <c r="Q473" s="219"/>
      <c r="R473" s="217"/>
      <c r="S473" s="217"/>
      <c r="T473" s="217"/>
      <c r="U473" s="217"/>
      <c r="V473" s="219"/>
      <c r="W473" s="219"/>
      <c r="X473" s="219"/>
      <c r="Y473" s="219"/>
      <c r="Z473" s="219"/>
      <c r="AA473" s="217"/>
      <c r="AB473" s="217"/>
      <c r="AC473" s="217"/>
      <c r="AD473" s="219"/>
      <c r="AE473" s="219"/>
      <c r="AF473" s="219"/>
      <c r="AG473" s="219"/>
      <c r="AH473" s="217"/>
      <c r="AI473" s="217"/>
      <c r="AJ473" s="217"/>
      <c r="AK473" s="217"/>
      <c r="AL473" s="217"/>
      <c r="AM473" s="219"/>
      <c r="AN473" s="219"/>
      <c r="AO473" s="217"/>
      <c r="AP473" s="217"/>
      <c r="AQ473" s="219"/>
      <c r="AR473" s="219"/>
      <c r="AS473" s="217"/>
    </row>
    <row r="474" spans="1:45" s="222" customFormat="1" x14ac:dyDescent="0.25">
      <c r="A474" s="225"/>
      <c r="B474" s="225"/>
      <c r="C474" s="225"/>
      <c r="D474" s="225"/>
      <c r="E474" s="225"/>
      <c r="F474" s="225"/>
      <c r="G474" s="225"/>
      <c r="H474" s="225"/>
      <c r="I474" s="225"/>
      <c r="J474" s="230"/>
      <c r="K474" s="228"/>
      <c r="L474" s="217"/>
      <c r="M474" s="217"/>
      <c r="N474" s="217"/>
      <c r="O474" s="218"/>
      <c r="P474" s="217"/>
      <c r="Q474" s="219"/>
      <c r="R474" s="217"/>
      <c r="S474" s="217"/>
      <c r="T474" s="217"/>
      <c r="U474" s="217"/>
      <c r="V474" s="219"/>
      <c r="W474" s="219"/>
      <c r="X474" s="219"/>
      <c r="Y474" s="219"/>
      <c r="Z474" s="219"/>
      <c r="AA474" s="217"/>
      <c r="AB474" s="217"/>
      <c r="AC474" s="217"/>
      <c r="AD474" s="219"/>
      <c r="AE474" s="219"/>
      <c r="AF474" s="219"/>
      <c r="AG474" s="219"/>
      <c r="AH474" s="217"/>
      <c r="AI474" s="217"/>
      <c r="AJ474" s="217"/>
      <c r="AK474" s="217"/>
      <c r="AL474" s="217"/>
      <c r="AM474" s="219"/>
      <c r="AN474" s="219"/>
      <c r="AO474" s="217"/>
      <c r="AP474" s="217"/>
      <c r="AQ474" s="219"/>
      <c r="AR474" s="219"/>
      <c r="AS474" s="217"/>
    </row>
    <row r="475" spans="1:45" s="222" customFormat="1" x14ac:dyDescent="0.25">
      <c r="A475" s="225"/>
      <c r="B475" s="225"/>
      <c r="C475" s="225"/>
      <c r="D475" s="225"/>
      <c r="E475" s="225"/>
      <c r="F475" s="225"/>
      <c r="G475" s="225"/>
      <c r="H475" s="225"/>
      <c r="I475" s="225"/>
      <c r="J475" s="230"/>
      <c r="K475" s="228"/>
      <c r="L475" s="217"/>
      <c r="M475" s="217"/>
      <c r="N475" s="217"/>
      <c r="O475" s="218"/>
      <c r="P475" s="217"/>
      <c r="Q475" s="219"/>
      <c r="R475" s="217"/>
      <c r="S475" s="217"/>
      <c r="T475" s="217"/>
      <c r="U475" s="217"/>
      <c r="V475" s="219"/>
      <c r="W475" s="219"/>
      <c r="X475" s="219"/>
      <c r="Y475" s="219"/>
      <c r="Z475" s="219"/>
      <c r="AA475" s="217"/>
      <c r="AB475" s="217"/>
      <c r="AC475" s="217"/>
      <c r="AD475" s="219"/>
      <c r="AE475" s="219"/>
      <c r="AF475" s="219"/>
      <c r="AG475" s="219"/>
      <c r="AH475" s="217"/>
      <c r="AI475" s="217"/>
      <c r="AJ475" s="217"/>
      <c r="AK475" s="217"/>
      <c r="AL475" s="217"/>
      <c r="AM475" s="219"/>
      <c r="AN475" s="219"/>
      <c r="AO475" s="217"/>
      <c r="AP475" s="217"/>
      <c r="AQ475" s="219"/>
      <c r="AR475" s="219"/>
      <c r="AS475" s="217"/>
    </row>
    <row r="476" spans="1:45" s="222" customFormat="1" x14ac:dyDescent="0.25">
      <c r="A476" s="225"/>
      <c r="B476" s="225"/>
      <c r="C476" s="225"/>
      <c r="D476" s="225"/>
      <c r="E476" s="225"/>
      <c r="F476" s="225"/>
      <c r="G476" s="225"/>
      <c r="H476" s="225"/>
      <c r="I476" s="225"/>
      <c r="J476" s="230"/>
      <c r="K476" s="228"/>
      <c r="L476" s="217"/>
      <c r="M476" s="217"/>
      <c r="N476" s="217"/>
      <c r="O476" s="218"/>
      <c r="P476" s="217"/>
      <c r="Q476" s="219"/>
      <c r="R476" s="217"/>
      <c r="S476" s="217"/>
      <c r="T476" s="217"/>
      <c r="U476" s="217"/>
      <c r="V476" s="219"/>
      <c r="W476" s="219"/>
      <c r="X476" s="219"/>
      <c r="Y476" s="219"/>
      <c r="Z476" s="219"/>
      <c r="AA476" s="217"/>
      <c r="AB476" s="217"/>
      <c r="AC476" s="217"/>
      <c r="AD476" s="219"/>
      <c r="AE476" s="219"/>
      <c r="AF476" s="219"/>
      <c r="AG476" s="219"/>
      <c r="AH476" s="217"/>
      <c r="AI476" s="217"/>
      <c r="AJ476" s="217"/>
      <c r="AK476" s="217"/>
      <c r="AL476" s="217"/>
      <c r="AM476" s="219"/>
      <c r="AN476" s="219"/>
      <c r="AO476" s="217"/>
      <c r="AP476" s="217"/>
      <c r="AQ476" s="219"/>
      <c r="AR476" s="219"/>
      <c r="AS476" s="217"/>
    </row>
    <row r="477" spans="1:45" s="222" customFormat="1" x14ac:dyDescent="0.25">
      <c r="A477" s="225"/>
      <c r="B477" s="225"/>
      <c r="C477" s="225"/>
      <c r="D477" s="225"/>
      <c r="E477" s="225"/>
      <c r="F477" s="225"/>
      <c r="G477" s="225"/>
      <c r="H477" s="225"/>
      <c r="I477" s="225"/>
      <c r="J477" s="230"/>
      <c r="K477" s="228"/>
      <c r="L477" s="217"/>
      <c r="M477" s="217"/>
      <c r="N477" s="217"/>
      <c r="O477" s="218"/>
      <c r="P477" s="217"/>
      <c r="Q477" s="219"/>
      <c r="R477" s="217"/>
      <c r="S477" s="217"/>
      <c r="T477" s="217"/>
      <c r="U477" s="217"/>
      <c r="V477" s="219"/>
      <c r="W477" s="219"/>
      <c r="X477" s="219"/>
      <c r="Y477" s="219"/>
      <c r="Z477" s="219"/>
      <c r="AA477" s="217"/>
      <c r="AB477" s="217"/>
      <c r="AC477" s="217"/>
      <c r="AD477" s="219"/>
      <c r="AE477" s="219"/>
      <c r="AF477" s="219"/>
      <c r="AG477" s="219"/>
      <c r="AH477" s="217"/>
      <c r="AI477" s="217"/>
      <c r="AJ477" s="217"/>
      <c r="AK477" s="217"/>
      <c r="AL477" s="217"/>
      <c r="AM477" s="219"/>
      <c r="AN477" s="219"/>
      <c r="AO477" s="217"/>
      <c r="AP477" s="217"/>
      <c r="AQ477" s="219"/>
      <c r="AR477" s="219"/>
      <c r="AS477" s="217"/>
    </row>
    <row r="478" spans="1:45" s="222" customFormat="1" x14ac:dyDescent="0.25">
      <c r="A478" s="225"/>
      <c r="B478" s="225"/>
      <c r="C478" s="225"/>
      <c r="D478" s="225"/>
      <c r="E478" s="225"/>
      <c r="F478" s="225"/>
      <c r="G478" s="225"/>
      <c r="H478" s="225"/>
      <c r="I478" s="225"/>
      <c r="J478" s="230"/>
      <c r="K478" s="228"/>
      <c r="L478" s="217"/>
      <c r="M478" s="217"/>
      <c r="N478" s="217"/>
      <c r="O478" s="218"/>
      <c r="P478" s="217"/>
      <c r="Q478" s="219"/>
      <c r="R478" s="217"/>
      <c r="S478" s="217"/>
      <c r="T478" s="217"/>
      <c r="U478" s="217"/>
      <c r="V478" s="219"/>
      <c r="W478" s="219"/>
      <c r="X478" s="219"/>
      <c r="Y478" s="219"/>
      <c r="Z478" s="219"/>
      <c r="AA478" s="217"/>
      <c r="AB478" s="217"/>
      <c r="AC478" s="217"/>
      <c r="AD478" s="219"/>
      <c r="AE478" s="219"/>
      <c r="AF478" s="219"/>
      <c r="AG478" s="219"/>
      <c r="AH478" s="217"/>
      <c r="AI478" s="217"/>
      <c r="AJ478" s="217"/>
      <c r="AK478" s="217"/>
      <c r="AL478" s="217"/>
      <c r="AM478" s="219"/>
      <c r="AN478" s="219"/>
      <c r="AO478" s="217"/>
      <c r="AP478" s="217"/>
      <c r="AQ478" s="219"/>
      <c r="AR478" s="219"/>
      <c r="AS478" s="217"/>
    </row>
    <row r="479" spans="1:45" s="222" customFormat="1" x14ac:dyDescent="0.25">
      <c r="A479" s="225"/>
      <c r="B479" s="225"/>
      <c r="C479" s="225"/>
      <c r="D479" s="225"/>
      <c r="E479" s="225"/>
      <c r="F479" s="225"/>
      <c r="G479" s="225"/>
      <c r="H479" s="225"/>
      <c r="I479" s="225"/>
      <c r="J479" s="230"/>
      <c r="K479" s="228"/>
      <c r="L479" s="217"/>
      <c r="M479" s="217"/>
      <c r="N479" s="217"/>
      <c r="O479" s="218"/>
      <c r="P479" s="217"/>
      <c r="Q479" s="219"/>
      <c r="R479" s="217"/>
      <c r="S479" s="217"/>
      <c r="T479" s="217"/>
      <c r="U479" s="217"/>
      <c r="V479" s="219"/>
      <c r="W479" s="219"/>
      <c r="X479" s="219"/>
      <c r="Y479" s="219"/>
      <c r="Z479" s="219"/>
      <c r="AA479" s="217"/>
      <c r="AB479" s="217"/>
      <c r="AC479" s="217"/>
      <c r="AD479" s="219"/>
      <c r="AE479" s="219"/>
      <c r="AF479" s="219"/>
      <c r="AG479" s="219"/>
      <c r="AH479" s="217"/>
      <c r="AI479" s="217"/>
      <c r="AJ479" s="217"/>
      <c r="AK479" s="217"/>
      <c r="AL479" s="217"/>
      <c r="AM479" s="219"/>
      <c r="AN479" s="219"/>
      <c r="AO479" s="217"/>
      <c r="AP479" s="217"/>
      <c r="AQ479" s="219"/>
      <c r="AR479" s="219"/>
      <c r="AS479" s="217"/>
    </row>
    <row r="480" spans="1:45" s="222" customFormat="1" x14ac:dyDescent="0.25">
      <c r="A480" s="225"/>
      <c r="B480" s="225"/>
      <c r="C480" s="225"/>
      <c r="D480" s="225"/>
      <c r="E480" s="225"/>
      <c r="F480" s="225"/>
      <c r="G480" s="225"/>
      <c r="H480" s="225"/>
      <c r="I480" s="225"/>
      <c r="J480" s="230"/>
      <c r="K480" s="228"/>
      <c r="L480" s="217"/>
      <c r="M480" s="217"/>
      <c r="N480" s="217"/>
      <c r="O480" s="218"/>
      <c r="P480" s="217"/>
      <c r="Q480" s="219"/>
      <c r="R480" s="217"/>
      <c r="S480" s="217"/>
      <c r="T480" s="217"/>
      <c r="U480" s="217"/>
      <c r="V480" s="219"/>
      <c r="W480" s="219"/>
      <c r="X480" s="219"/>
      <c r="Y480" s="219"/>
      <c r="Z480" s="219"/>
      <c r="AA480" s="217"/>
      <c r="AB480" s="217"/>
      <c r="AC480" s="217"/>
      <c r="AD480" s="219"/>
      <c r="AE480" s="219"/>
      <c r="AF480" s="219"/>
      <c r="AG480" s="219"/>
      <c r="AH480" s="217"/>
      <c r="AI480" s="217"/>
      <c r="AJ480" s="217"/>
      <c r="AK480" s="217"/>
      <c r="AL480" s="217"/>
      <c r="AM480" s="219"/>
      <c r="AN480" s="219"/>
      <c r="AO480" s="217"/>
      <c r="AP480" s="217"/>
      <c r="AQ480" s="219"/>
      <c r="AR480" s="219"/>
      <c r="AS480" s="217"/>
    </row>
    <row r="481" spans="1:45" s="222" customFormat="1" x14ac:dyDescent="0.25">
      <c r="A481" s="225"/>
      <c r="B481" s="225"/>
      <c r="C481" s="225"/>
      <c r="D481" s="225"/>
      <c r="E481" s="225"/>
      <c r="F481" s="225"/>
      <c r="G481" s="225"/>
      <c r="H481" s="225"/>
      <c r="I481" s="225"/>
      <c r="J481" s="230"/>
      <c r="K481" s="228"/>
      <c r="L481" s="217"/>
      <c r="M481" s="217"/>
      <c r="N481" s="217"/>
      <c r="O481" s="218"/>
      <c r="P481" s="217"/>
      <c r="Q481" s="219"/>
      <c r="R481" s="217"/>
      <c r="S481" s="217"/>
      <c r="T481" s="217"/>
      <c r="U481" s="217"/>
      <c r="V481" s="219"/>
      <c r="W481" s="219"/>
      <c r="X481" s="219"/>
      <c r="Y481" s="219"/>
      <c r="Z481" s="219"/>
      <c r="AA481" s="217"/>
      <c r="AB481" s="217"/>
      <c r="AC481" s="217"/>
      <c r="AD481" s="219"/>
      <c r="AE481" s="219"/>
      <c r="AF481" s="219"/>
      <c r="AG481" s="219"/>
      <c r="AH481" s="217"/>
      <c r="AI481" s="217"/>
      <c r="AJ481" s="217"/>
      <c r="AK481" s="217"/>
      <c r="AL481" s="217"/>
      <c r="AM481" s="219"/>
      <c r="AN481" s="219"/>
      <c r="AO481" s="217"/>
      <c r="AP481" s="217"/>
      <c r="AQ481" s="219"/>
      <c r="AR481" s="219"/>
      <c r="AS481" s="217"/>
    </row>
    <row r="482" spans="1:45" s="222" customFormat="1" x14ac:dyDescent="0.25">
      <c r="A482" s="225"/>
      <c r="B482" s="225"/>
      <c r="C482" s="225"/>
      <c r="D482" s="225"/>
      <c r="E482" s="225"/>
      <c r="F482" s="225"/>
      <c r="G482" s="225"/>
      <c r="H482" s="225"/>
      <c r="I482" s="225"/>
      <c r="J482" s="230"/>
      <c r="K482" s="228"/>
      <c r="L482" s="217"/>
      <c r="M482" s="217"/>
      <c r="N482" s="217"/>
      <c r="O482" s="218"/>
      <c r="P482" s="217"/>
      <c r="Q482" s="219"/>
      <c r="R482" s="217"/>
      <c r="S482" s="217"/>
      <c r="T482" s="217"/>
      <c r="U482" s="217"/>
      <c r="V482" s="219"/>
      <c r="W482" s="219"/>
      <c r="X482" s="219"/>
      <c r="Y482" s="219"/>
      <c r="Z482" s="219"/>
      <c r="AA482" s="217"/>
      <c r="AB482" s="217"/>
      <c r="AC482" s="217"/>
      <c r="AD482" s="219"/>
      <c r="AE482" s="219"/>
      <c r="AF482" s="219"/>
      <c r="AG482" s="219"/>
      <c r="AH482" s="217"/>
      <c r="AI482" s="217"/>
      <c r="AJ482" s="217"/>
      <c r="AK482" s="217"/>
      <c r="AL482" s="217"/>
      <c r="AM482" s="219"/>
      <c r="AN482" s="219"/>
      <c r="AO482" s="217"/>
      <c r="AP482" s="217"/>
      <c r="AQ482" s="219"/>
      <c r="AR482" s="219"/>
      <c r="AS482" s="217"/>
    </row>
    <row r="483" spans="1:45" s="222" customFormat="1" x14ac:dyDescent="0.25">
      <c r="A483" s="225"/>
      <c r="B483" s="225"/>
      <c r="C483" s="225"/>
      <c r="D483" s="225"/>
      <c r="E483" s="225"/>
      <c r="F483" s="225"/>
      <c r="G483" s="225"/>
      <c r="H483" s="225"/>
      <c r="I483" s="225"/>
      <c r="J483" s="230"/>
      <c r="K483" s="228"/>
      <c r="L483" s="217"/>
      <c r="M483" s="217"/>
      <c r="N483" s="217"/>
      <c r="O483" s="218"/>
      <c r="P483" s="217"/>
      <c r="Q483" s="219"/>
      <c r="R483" s="217"/>
      <c r="S483" s="217"/>
      <c r="T483" s="217"/>
      <c r="U483" s="217"/>
      <c r="V483" s="219"/>
      <c r="W483" s="219"/>
      <c r="X483" s="219"/>
      <c r="Y483" s="219"/>
      <c r="Z483" s="219"/>
      <c r="AA483" s="217"/>
      <c r="AB483" s="217"/>
      <c r="AC483" s="217"/>
      <c r="AD483" s="219"/>
      <c r="AE483" s="219"/>
      <c r="AF483" s="219"/>
      <c r="AG483" s="219"/>
      <c r="AH483" s="217"/>
      <c r="AI483" s="217"/>
      <c r="AJ483" s="217"/>
      <c r="AK483" s="217"/>
      <c r="AL483" s="217"/>
      <c r="AM483" s="219"/>
      <c r="AN483" s="219"/>
      <c r="AO483" s="217"/>
      <c r="AP483" s="217"/>
      <c r="AQ483" s="219"/>
      <c r="AR483" s="219"/>
      <c r="AS483" s="217"/>
    </row>
    <row r="484" spans="1:45" s="222" customFormat="1" x14ac:dyDescent="0.25">
      <c r="A484" s="225"/>
      <c r="B484" s="225"/>
      <c r="C484" s="225"/>
      <c r="D484" s="225"/>
      <c r="E484" s="225"/>
      <c r="F484" s="225"/>
      <c r="G484" s="225"/>
      <c r="H484" s="225"/>
      <c r="I484" s="225"/>
      <c r="J484" s="230"/>
      <c r="K484" s="228"/>
      <c r="L484" s="217"/>
      <c r="M484" s="217"/>
      <c r="N484" s="217"/>
      <c r="O484" s="218"/>
      <c r="P484" s="217"/>
      <c r="Q484" s="219"/>
      <c r="R484" s="217"/>
      <c r="S484" s="217"/>
      <c r="T484" s="217"/>
      <c r="U484" s="217"/>
      <c r="V484" s="219"/>
      <c r="W484" s="219"/>
      <c r="X484" s="219"/>
      <c r="Y484" s="219"/>
      <c r="Z484" s="219"/>
      <c r="AA484" s="217"/>
      <c r="AB484" s="217"/>
      <c r="AC484" s="217"/>
      <c r="AD484" s="219"/>
      <c r="AE484" s="219"/>
      <c r="AF484" s="219"/>
      <c r="AG484" s="219"/>
      <c r="AH484" s="217"/>
      <c r="AI484" s="217"/>
      <c r="AJ484" s="217"/>
      <c r="AK484" s="217"/>
      <c r="AL484" s="217"/>
      <c r="AM484" s="219"/>
      <c r="AN484" s="219"/>
      <c r="AO484" s="217"/>
      <c r="AP484" s="217"/>
      <c r="AQ484" s="219"/>
      <c r="AR484" s="219"/>
      <c r="AS484" s="217"/>
    </row>
    <row r="485" spans="1:45" s="222" customFormat="1" x14ac:dyDescent="0.25">
      <c r="A485" s="225"/>
      <c r="B485" s="225"/>
      <c r="C485" s="225"/>
      <c r="D485" s="225"/>
      <c r="E485" s="225"/>
      <c r="F485" s="225"/>
      <c r="G485" s="225"/>
      <c r="H485" s="225"/>
      <c r="I485" s="225"/>
      <c r="J485" s="230"/>
      <c r="K485" s="228"/>
      <c r="L485" s="217"/>
      <c r="M485" s="217"/>
      <c r="N485" s="217"/>
      <c r="O485" s="218"/>
      <c r="P485" s="217"/>
      <c r="Q485" s="219"/>
      <c r="R485" s="217"/>
      <c r="S485" s="217"/>
      <c r="T485" s="217"/>
      <c r="U485" s="217"/>
      <c r="V485" s="219"/>
      <c r="W485" s="219"/>
      <c r="X485" s="219"/>
      <c r="Y485" s="219"/>
      <c r="Z485" s="219"/>
      <c r="AA485" s="217"/>
      <c r="AB485" s="217"/>
      <c r="AC485" s="217"/>
      <c r="AD485" s="219"/>
      <c r="AE485" s="219"/>
      <c r="AF485" s="219"/>
      <c r="AG485" s="219"/>
      <c r="AH485" s="217"/>
      <c r="AI485" s="217"/>
      <c r="AJ485" s="217"/>
      <c r="AK485" s="217"/>
      <c r="AL485" s="217"/>
      <c r="AM485" s="219"/>
      <c r="AN485" s="219"/>
      <c r="AO485" s="217"/>
      <c r="AP485" s="217"/>
      <c r="AQ485" s="219"/>
      <c r="AR485" s="219"/>
      <c r="AS485" s="217"/>
    </row>
    <row r="486" spans="1:45" s="222" customFormat="1" x14ac:dyDescent="0.25">
      <c r="A486" s="225"/>
      <c r="B486" s="225"/>
      <c r="C486" s="225"/>
      <c r="D486" s="225"/>
      <c r="E486" s="225"/>
      <c r="F486" s="225"/>
      <c r="G486" s="225"/>
      <c r="H486" s="225"/>
      <c r="I486" s="225"/>
      <c r="J486" s="230"/>
      <c r="K486" s="228"/>
      <c r="L486" s="217"/>
      <c r="M486" s="217"/>
      <c r="N486" s="217"/>
      <c r="O486" s="218"/>
      <c r="P486" s="217"/>
      <c r="Q486" s="219"/>
      <c r="R486" s="217"/>
      <c r="S486" s="217"/>
      <c r="T486" s="217"/>
      <c r="U486" s="217"/>
      <c r="V486" s="219"/>
      <c r="W486" s="219"/>
      <c r="X486" s="219"/>
      <c r="Y486" s="219"/>
      <c r="Z486" s="219"/>
      <c r="AA486" s="217"/>
      <c r="AB486" s="217"/>
      <c r="AC486" s="217"/>
      <c r="AD486" s="219"/>
      <c r="AE486" s="219"/>
      <c r="AF486" s="219"/>
      <c r="AG486" s="219"/>
      <c r="AH486" s="217"/>
      <c r="AI486" s="217"/>
      <c r="AJ486" s="217"/>
      <c r="AK486" s="217"/>
      <c r="AL486" s="217"/>
      <c r="AM486" s="219"/>
      <c r="AN486" s="219"/>
      <c r="AO486" s="217"/>
      <c r="AP486" s="217"/>
      <c r="AQ486" s="219"/>
      <c r="AR486" s="219"/>
      <c r="AS486" s="217"/>
    </row>
    <row r="487" spans="1:45" s="222" customFormat="1" x14ac:dyDescent="0.25">
      <c r="A487" s="225"/>
      <c r="B487" s="225"/>
      <c r="C487" s="225"/>
      <c r="D487" s="225"/>
      <c r="E487" s="225"/>
      <c r="F487" s="225"/>
      <c r="G487" s="225"/>
      <c r="H487" s="225"/>
      <c r="I487" s="225"/>
      <c r="J487" s="230"/>
      <c r="K487" s="228"/>
      <c r="L487" s="217"/>
      <c r="M487" s="217"/>
      <c r="N487" s="217"/>
      <c r="O487" s="218"/>
      <c r="P487" s="217"/>
      <c r="Q487" s="219"/>
      <c r="R487" s="217"/>
      <c r="S487" s="217"/>
      <c r="T487" s="217"/>
      <c r="U487" s="217"/>
      <c r="V487" s="219"/>
      <c r="W487" s="219"/>
      <c r="X487" s="219"/>
      <c r="Y487" s="219"/>
      <c r="Z487" s="219"/>
      <c r="AA487" s="217"/>
      <c r="AB487" s="217"/>
      <c r="AC487" s="217"/>
      <c r="AD487" s="219"/>
      <c r="AE487" s="219"/>
      <c r="AF487" s="219"/>
      <c r="AG487" s="219"/>
      <c r="AH487" s="217"/>
      <c r="AI487" s="217"/>
      <c r="AJ487" s="217"/>
      <c r="AK487" s="217"/>
      <c r="AL487" s="217"/>
      <c r="AM487" s="219"/>
      <c r="AN487" s="219"/>
      <c r="AO487" s="217"/>
      <c r="AP487" s="217"/>
      <c r="AQ487" s="219"/>
      <c r="AR487" s="219"/>
      <c r="AS487" s="217"/>
    </row>
    <row r="488" spans="1:45" s="222" customFormat="1" x14ac:dyDescent="0.25">
      <c r="A488" s="225"/>
      <c r="B488" s="225"/>
      <c r="C488" s="225"/>
      <c r="D488" s="225"/>
      <c r="E488" s="225"/>
      <c r="F488" s="225"/>
      <c r="G488" s="225"/>
      <c r="H488" s="225"/>
      <c r="I488" s="225"/>
      <c r="J488" s="230"/>
      <c r="K488" s="228"/>
      <c r="L488" s="217"/>
      <c r="M488" s="217"/>
      <c r="N488" s="217"/>
      <c r="O488" s="218"/>
      <c r="P488" s="217"/>
      <c r="Q488" s="219"/>
      <c r="R488" s="217"/>
      <c r="S488" s="217"/>
      <c r="T488" s="217"/>
      <c r="U488" s="217"/>
      <c r="V488" s="219"/>
      <c r="W488" s="219"/>
      <c r="X488" s="219"/>
      <c r="Y488" s="219"/>
      <c r="Z488" s="219"/>
      <c r="AA488" s="217"/>
      <c r="AB488" s="217"/>
      <c r="AC488" s="217"/>
      <c r="AD488" s="219"/>
      <c r="AE488" s="219"/>
      <c r="AF488" s="219"/>
      <c r="AG488" s="219"/>
      <c r="AH488" s="217"/>
      <c r="AI488" s="217"/>
      <c r="AJ488" s="217"/>
      <c r="AK488" s="217"/>
      <c r="AL488" s="217"/>
      <c r="AM488" s="219"/>
      <c r="AN488" s="219"/>
      <c r="AO488" s="217"/>
      <c r="AP488" s="217"/>
      <c r="AQ488" s="219"/>
      <c r="AR488" s="219"/>
      <c r="AS488" s="217"/>
    </row>
    <row r="489" spans="1:45" s="222" customFormat="1" x14ac:dyDescent="0.25">
      <c r="A489" s="225"/>
      <c r="B489" s="225"/>
      <c r="C489" s="225"/>
      <c r="D489" s="225"/>
      <c r="E489" s="225"/>
      <c r="F489" s="225"/>
      <c r="G489" s="225"/>
      <c r="H489" s="225"/>
      <c r="I489" s="225"/>
      <c r="J489" s="230"/>
      <c r="K489" s="228"/>
      <c r="L489" s="217"/>
      <c r="M489" s="217"/>
      <c r="N489" s="217"/>
      <c r="O489" s="218"/>
      <c r="P489" s="217"/>
      <c r="Q489" s="219"/>
      <c r="R489" s="217"/>
      <c r="S489" s="217"/>
      <c r="T489" s="217"/>
      <c r="U489" s="217"/>
      <c r="V489" s="219"/>
      <c r="W489" s="219"/>
      <c r="X489" s="219"/>
      <c r="Y489" s="219"/>
      <c r="Z489" s="219"/>
      <c r="AA489" s="217"/>
      <c r="AB489" s="217"/>
      <c r="AC489" s="217"/>
      <c r="AD489" s="219"/>
      <c r="AE489" s="219"/>
      <c r="AF489" s="219"/>
      <c r="AG489" s="219"/>
      <c r="AH489" s="217"/>
      <c r="AI489" s="217"/>
      <c r="AJ489" s="217"/>
      <c r="AK489" s="217"/>
      <c r="AL489" s="217"/>
      <c r="AM489" s="219"/>
      <c r="AN489" s="219"/>
      <c r="AO489" s="217"/>
      <c r="AP489" s="217"/>
      <c r="AQ489" s="219"/>
      <c r="AR489" s="219"/>
      <c r="AS489" s="217"/>
    </row>
    <row r="490" spans="1:45" s="222" customFormat="1" x14ac:dyDescent="0.25">
      <c r="A490" s="225"/>
      <c r="B490" s="225"/>
      <c r="C490" s="225"/>
      <c r="D490" s="225"/>
      <c r="E490" s="225"/>
      <c r="F490" s="225"/>
      <c r="G490" s="225"/>
      <c r="H490" s="225"/>
      <c r="I490" s="225"/>
      <c r="J490" s="230"/>
      <c r="K490" s="228"/>
      <c r="L490" s="217"/>
      <c r="M490" s="217"/>
      <c r="N490" s="217"/>
      <c r="O490" s="218"/>
      <c r="P490" s="217"/>
      <c r="Q490" s="219"/>
      <c r="R490" s="217"/>
      <c r="S490" s="217"/>
      <c r="T490" s="217"/>
      <c r="U490" s="217"/>
      <c r="V490" s="219"/>
      <c r="W490" s="219"/>
      <c r="X490" s="219"/>
      <c r="Y490" s="219"/>
      <c r="Z490" s="219"/>
      <c r="AA490" s="217"/>
      <c r="AB490" s="217"/>
      <c r="AC490" s="217"/>
      <c r="AD490" s="219"/>
      <c r="AE490" s="219"/>
      <c r="AF490" s="219"/>
      <c r="AG490" s="219"/>
      <c r="AH490" s="217"/>
      <c r="AI490" s="217"/>
      <c r="AJ490" s="217"/>
      <c r="AK490" s="217"/>
      <c r="AL490" s="217"/>
      <c r="AM490" s="219"/>
      <c r="AN490" s="219"/>
      <c r="AO490" s="217"/>
      <c r="AP490" s="217"/>
      <c r="AQ490" s="219"/>
      <c r="AR490" s="219"/>
      <c r="AS490" s="217"/>
    </row>
    <row r="491" spans="1:45" s="222" customFormat="1" x14ac:dyDescent="0.25">
      <c r="A491" s="225"/>
      <c r="B491" s="225"/>
      <c r="C491" s="225"/>
      <c r="D491" s="225"/>
      <c r="E491" s="225"/>
      <c r="F491" s="225"/>
      <c r="G491" s="225"/>
      <c r="H491" s="225"/>
      <c r="I491" s="225"/>
      <c r="J491" s="230"/>
      <c r="K491" s="228"/>
      <c r="L491" s="217"/>
      <c r="M491" s="217"/>
      <c r="N491" s="217"/>
      <c r="O491" s="218"/>
      <c r="P491" s="217"/>
      <c r="Q491" s="219"/>
      <c r="R491" s="217"/>
      <c r="S491" s="217"/>
      <c r="T491" s="217"/>
      <c r="U491" s="217"/>
      <c r="V491" s="219"/>
      <c r="W491" s="219"/>
      <c r="X491" s="219"/>
      <c r="Y491" s="219"/>
      <c r="Z491" s="219"/>
      <c r="AA491" s="217"/>
      <c r="AB491" s="217"/>
      <c r="AC491" s="217"/>
      <c r="AD491" s="219"/>
      <c r="AE491" s="219"/>
      <c r="AF491" s="219"/>
      <c r="AG491" s="219"/>
      <c r="AH491" s="217"/>
      <c r="AI491" s="217"/>
      <c r="AJ491" s="217"/>
      <c r="AK491" s="217"/>
      <c r="AL491" s="217"/>
      <c r="AM491" s="219"/>
      <c r="AN491" s="219"/>
      <c r="AO491" s="217"/>
      <c r="AP491" s="217"/>
      <c r="AQ491" s="219"/>
      <c r="AR491" s="219"/>
      <c r="AS491" s="217"/>
    </row>
    <row r="492" spans="1:45" s="222" customFormat="1" x14ac:dyDescent="0.25">
      <c r="A492" s="225"/>
      <c r="B492" s="225"/>
      <c r="C492" s="225"/>
      <c r="D492" s="225"/>
      <c r="E492" s="225"/>
      <c r="F492" s="225"/>
      <c r="G492" s="225"/>
      <c r="H492" s="225"/>
      <c r="I492" s="225"/>
      <c r="J492" s="230"/>
      <c r="K492" s="228"/>
      <c r="L492" s="217"/>
      <c r="M492" s="217"/>
      <c r="N492" s="217"/>
      <c r="O492" s="218"/>
      <c r="P492" s="217"/>
      <c r="Q492" s="219"/>
      <c r="R492" s="217"/>
      <c r="S492" s="217"/>
      <c r="T492" s="217"/>
      <c r="U492" s="217"/>
      <c r="V492" s="219"/>
      <c r="W492" s="219"/>
      <c r="X492" s="219"/>
      <c r="Y492" s="219"/>
      <c r="Z492" s="219"/>
      <c r="AA492" s="217"/>
      <c r="AB492" s="217"/>
      <c r="AC492" s="217"/>
      <c r="AD492" s="219"/>
      <c r="AE492" s="219"/>
      <c r="AF492" s="219"/>
      <c r="AG492" s="219"/>
      <c r="AH492" s="217"/>
      <c r="AI492" s="217"/>
      <c r="AJ492" s="217"/>
      <c r="AK492" s="217"/>
      <c r="AL492" s="217"/>
      <c r="AM492" s="219"/>
      <c r="AN492" s="219"/>
      <c r="AO492" s="217"/>
      <c r="AP492" s="217"/>
      <c r="AQ492" s="219"/>
      <c r="AR492" s="219"/>
      <c r="AS492" s="217"/>
    </row>
    <row r="493" spans="1:45" s="222" customFormat="1" x14ac:dyDescent="0.25">
      <c r="A493" s="225"/>
      <c r="B493" s="225"/>
      <c r="C493" s="225"/>
      <c r="D493" s="225"/>
      <c r="E493" s="225"/>
      <c r="F493" s="225"/>
      <c r="G493" s="225"/>
      <c r="H493" s="225"/>
      <c r="I493" s="225"/>
      <c r="J493" s="230"/>
      <c r="K493" s="228"/>
      <c r="L493" s="217"/>
      <c r="M493" s="217"/>
      <c r="N493" s="217"/>
      <c r="O493" s="218"/>
      <c r="P493" s="217"/>
      <c r="Q493" s="219"/>
      <c r="R493" s="217"/>
      <c r="S493" s="217"/>
      <c r="T493" s="217"/>
      <c r="U493" s="217"/>
      <c r="V493" s="219"/>
      <c r="W493" s="219"/>
      <c r="X493" s="219"/>
      <c r="Y493" s="219"/>
      <c r="Z493" s="219"/>
      <c r="AA493" s="217"/>
      <c r="AB493" s="217"/>
      <c r="AC493" s="217"/>
      <c r="AD493" s="219"/>
      <c r="AE493" s="219"/>
      <c r="AF493" s="219"/>
      <c r="AG493" s="219"/>
      <c r="AH493" s="217"/>
      <c r="AI493" s="217"/>
      <c r="AJ493" s="217"/>
      <c r="AK493" s="217"/>
      <c r="AL493" s="217"/>
      <c r="AM493" s="219"/>
      <c r="AN493" s="219"/>
      <c r="AO493" s="217"/>
      <c r="AP493" s="217"/>
      <c r="AQ493" s="219"/>
      <c r="AR493" s="219"/>
      <c r="AS493" s="217"/>
    </row>
    <row r="494" spans="1:45" s="222" customFormat="1" x14ac:dyDescent="0.25">
      <c r="A494" s="225"/>
      <c r="B494" s="225"/>
      <c r="C494" s="225"/>
      <c r="D494" s="225"/>
      <c r="E494" s="225"/>
      <c r="F494" s="225"/>
      <c r="G494" s="225"/>
      <c r="H494" s="225"/>
      <c r="I494" s="225"/>
      <c r="J494" s="230"/>
      <c r="K494" s="228"/>
      <c r="L494" s="217"/>
      <c r="M494" s="217"/>
      <c r="N494" s="217"/>
      <c r="O494" s="218"/>
      <c r="P494" s="217"/>
      <c r="Q494" s="219"/>
      <c r="R494" s="217"/>
      <c r="S494" s="217"/>
      <c r="T494" s="217"/>
      <c r="U494" s="217"/>
      <c r="V494" s="219"/>
      <c r="W494" s="219"/>
      <c r="X494" s="219"/>
      <c r="Y494" s="219"/>
      <c r="Z494" s="219"/>
      <c r="AA494" s="217"/>
      <c r="AB494" s="217"/>
      <c r="AC494" s="217"/>
      <c r="AD494" s="219"/>
      <c r="AE494" s="219"/>
      <c r="AF494" s="219"/>
      <c r="AG494" s="219"/>
      <c r="AH494" s="217"/>
      <c r="AI494" s="217"/>
      <c r="AJ494" s="217"/>
      <c r="AK494" s="217"/>
      <c r="AL494" s="217"/>
      <c r="AM494" s="219"/>
      <c r="AN494" s="219"/>
      <c r="AO494" s="217"/>
      <c r="AP494" s="217"/>
      <c r="AQ494" s="219"/>
      <c r="AR494" s="219"/>
      <c r="AS494" s="217"/>
    </row>
    <row r="495" spans="1:45" s="222" customFormat="1" x14ac:dyDescent="0.25">
      <c r="A495" s="225"/>
      <c r="B495" s="225"/>
      <c r="C495" s="225"/>
      <c r="D495" s="225"/>
      <c r="E495" s="225"/>
      <c r="F495" s="225"/>
      <c r="G495" s="225"/>
      <c r="H495" s="225"/>
      <c r="I495" s="225"/>
      <c r="J495" s="230"/>
      <c r="K495" s="228"/>
      <c r="L495" s="217"/>
      <c r="M495" s="217"/>
      <c r="N495" s="217"/>
      <c r="O495" s="218"/>
      <c r="P495" s="217"/>
      <c r="Q495" s="219"/>
      <c r="R495" s="217"/>
      <c r="S495" s="217"/>
      <c r="T495" s="217"/>
      <c r="U495" s="217"/>
      <c r="V495" s="219"/>
      <c r="W495" s="219"/>
      <c r="X495" s="219"/>
      <c r="Y495" s="219"/>
      <c r="Z495" s="219"/>
      <c r="AA495" s="217"/>
      <c r="AB495" s="217"/>
      <c r="AC495" s="217"/>
      <c r="AD495" s="219"/>
      <c r="AE495" s="219"/>
      <c r="AF495" s="219"/>
      <c r="AG495" s="219"/>
      <c r="AH495" s="217"/>
      <c r="AI495" s="217"/>
      <c r="AJ495" s="217"/>
      <c r="AK495" s="217"/>
      <c r="AL495" s="217"/>
      <c r="AM495" s="219"/>
      <c r="AN495" s="219"/>
      <c r="AO495" s="217"/>
      <c r="AP495" s="217"/>
      <c r="AQ495" s="219"/>
      <c r="AR495" s="219"/>
      <c r="AS495" s="217"/>
    </row>
    <row r="496" spans="1:45" s="222" customFormat="1" x14ac:dyDescent="0.25">
      <c r="A496" s="225"/>
      <c r="B496" s="225"/>
      <c r="C496" s="225"/>
      <c r="D496" s="225"/>
      <c r="E496" s="225"/>
      <c r="F496" s="225"/>
      <c r="G496" s="225"/>
      <c r="H496" s="225"/>
      <c r="I496" s="225"/>
      <c r="J496" s="230"/>
      <c r="K496" s="228"/>
      <c r="L496" s="217"/>
      <c r="M496" s="217"/>
      <c r="N496" s="217"/>
      <c r="O496" s="218"/>
      <c r="P496" s="217"/>
      <c r="Q496" s="219"/>
      <c r="R496" s="217"/>
      <c r="S496" s="217"/>
      <c r="T496" s="217"/>
      <c r="U496" s="217"/>
      <c r="V496" s="219"/>
      <c r="W496" s="219"/>
      <c r="X496" s="219"/>
      <c r="Y496" s="219"/>
      <c r="Z496" s="219"/>
      <c r="AA496" s="217"/>
      <c r="AB496" s="217"/>
      <c r="AC496" s="217"/>
      <c r="AD496" s="219"/>
      <c r="AE496" s="219"/>
      <c r="AF496" s="219"/>
      <c r="AG496" s="219"/>
      <c r="AH496" s="217"/>
      <c r="AI496" s="217"/>
      <c r="AJ496" s="217"/>
      <c r="AK496" s="217"/>
      <c r="AL496" s="217"/>
      <c r="AM496" s="219"/>
      <c r="AN496" s="219"/>
      <c r="AO496" s="217"/>
      <c r="AP496" s="217"/>
      <c r="AQ496" s="219"/>
      <c r="AR496" s="219"/>
      <c r="AS496" s="217"/>
    </row>
    <row r="497" spans="1:45" s="222" customFormat="1" x14ac:dyDescent="0.25">
      <c r="A497" s="225"/>
      <c r="B497" s="225"/>
      <c r="C497" s="225"/>
      <c r="D497" s="225"/>
      <c r="E497" s="225"/>
      <c r="F497" s="225"/>
      <c r="G497" s="225"/>
      <c r="H497" s="225"/>
      <c r="I497" s="225"/>
      <c r="J497" s="230"/>
      <c r="K497" s="228"/>
      <c r="L497" s="217"/>
      <c r="M497" s="217"/>
      <c r="N497" s="217"/>
      <c r="O497" s="218"/>
      <c r="P497" s="217"/>
      <c r="Q497" s="219"/>
      <c r="R497" s="217"/>
      <c r="S497" s="217"/>
      <c r="T497" s="217"/>
      <c r="U497" s="217"/>
      <c r="V497" s="219"/>
      <c r="W497" s="219"/>
      <c r="X497" s="219"/>
      <c r="Y497" s="219"/>
      <c r="Z497" s="219"/>
      <c r="AA497" s="217"/>
      <c r="AB497" s="217"/>
      <c r="AC497" s="217"/>
      <c r="AD497" s="219"/>
      <c r="AE497" s="219"/>
      <c r="AF497" s="219"/>
      <c r="AG497" s="219"/>
      <c r="AH497" s="217"/>
      <c r="AI497" s="217"/>
      <c r="AJ497" s="217"/>
      <c r="AK497" s="217"/>
      <c r="AL497" s="217"/>
      <c r="AM497" s="219"/>
      <c r="AN497" s="219"/>
      <c r="AO497" s="217"/>
      <c r="AP497" s="217"/>
      <c r="AQ497" s="219"/>
      <c r="AR497" s="219"/>
      <c r="AS497" s="217"/>
    </row>
    <row r="498" spans="1:45" s="222" customFormat="1" x14ac:dyDescent="0.25">
      <c r="A498" s="225"/>
      <c r="B498" s="225"/>
      <c r="C498" s="225"/>
      <c r="D498" s="225"/>
      <c r="E498" s="225"/>
      <c r="F498" s="225"/>
      <c r="G498" s="225"/>
      <c r="H498" s="225"/>
      <c r="I498" s="225"/>
      <c r="J498" s="230"/>
      <c r="K498" s="228"/>
      <c r="L498" s="217"/>
      <c r="M498" s="217"/>
      <c r="N498" s="217"/>
      <c r="O498" s="218"/>
      <c r="P498" s="217"/>
      <c r="Q498" s="219"/>
      <c r="R498" s="217"/>
      <c r="S498" s="217"/>
      <c r="T498" s="217"/>
      <c r="U498" s="217"/>
      <c r="V498" s="219"/>
      <c r="W498" s="219"/>
      <c r="X498" s="219"/>
      <c r="Y498" s="219"/>
      <c r="Z498" s="219"/>
      <c r="AA498" s="217"/>
      <c r="AB498" s="217"/>
      <c r="AC498" s="217"/>
      <c r="AD498" s="219"/>
      <c r="AE498" s="219"/>
      <c r="AF498" s="219"/>
      <c r="AG498" s="219"/>
      <c r="AH498" s="217"/>
      <c r="AI498" s="217"/>
      <c r="AJ498" s="217"/>
      <c r="AK498" s="217"/>
      <c r="AL498" s="217"/>
      <c r="AM498" s="219"/>
      <c r="AN498" s="219"/>
      <c r="AO498" s="217"/>
      <c r="AP498" s="217"/>
      <c r="AQ498" s="219"/>
      <c r="AR498" s="219"/>
      <c r="AS498" s="217"/>
    </row>
    <row r="499" spans="1:45" s="222" customFormat="1" x14ac:dyDescent="0.25">
      <c r="A499" s="225"/>
      <c r="B499" s="225"/>
      <c r="C499" s="225"/>
      <c r="D499" s="225"/>
      <c r="E499" s="225"/>
      <c r="F499" s="225"/>
      <c r="G499" s="225"/>
      <c r="H499" s="225"/>
      <c r="I499" s="225"/>
      <c r="J499" s="230"/>
      <c r="K499" s="228"/>
      <c r="L499" s="217"/>
      <c r="M499" s="217"/>
      <c r="N499" s="217"/>
      <c r="O499" s="218"/>
      <c r="P499" s="217"/>
      <c r="Q499" s="219"/>
      <c r="R499" s="217"/>
      <c r="S499" s="217"/>
      <c r="T499" s="217"/>
      <c r="U499" s="217"/>
      <c r="V499" s="219"/>
      <c r="W499" s="219"/>
      <c r="X499" s="219"/>
      <c r="Y499" s="219"/>
      <c r="Z499" s="219"/>
      <c r="AA499" s="217"/>
      <c r="AB499" s="217"/>
      <c r="AC499" s="217"/>
      <c r="AD499" s="219"/>
      <c r="AE499" s="219"/>
      <c r="AF499" s="219"/>
      <c r="AG499" s="219"/>
      <c r="AH499" s="217"/>
      <c r="AI499" s="217"/>
      <c r="AJ499" s="217"/>
      <c r="AK499" s="217"/>
      <c r="AL499" s="217"/>
      <c r="AM499" s="219"/>
      <c r="AN499" s="219"/>
      <c r="AO499" s="217"/>
      <c r="AP499" s="217"/>
      <c r="AQ499" s="219"/>
      <c r="AR499" s="219"/>
      <c r="AS499" s="217"/>
    </row>
    <row r="500" spans="1:45" s="222" customFormat="1" x14ac:dyDescent="0.25">
      <c r="A500" s="225"/>
      <c r="B500" s="225"/>
      <c r="C500" s="225"/>
      <c r="D500" s="225"/>
      <c r="E500" s="225"/>
      <c r="F500" s="225"/>
      <c r="G500" s="225"/>
      <c r="H500" s="225"/>
      <c r="I500" s="225"/>
      <c r="J500" s="230"/>
      <c r="K500" s="228"/>
      <c r="L500" s="217"/>
      <c r="M500" s="217"/>
      <c r="N500" s="217"/>
      <c r="O500" s="218"/>
      <c r="P500" s="217"/>
      <c r="Q500" s="219"/>
      <c r="R500" s="217"/>
      <c r="S500" s="217"/>
      <c r="T500" s="217"/>
      <c r="U500" s="217"/>
      <c r="V500" s="219"/>
      <c r="W500" s="219"/>
      <c r="X500" s="219"/>
      <c r="Y500" s="219"/>
      <c r="Z500" s="219"/>
      <c r="AA500" s="217"/>
      <c r="AB500" s="217"/>
      <c r="AC500" s="217"/>
      <c r="AD500" s="219"/>
      <c r="AE500" s="219"/>
      <c r="AF500" s="219"/>
      <c r="AG500" s="219"/>
      <c r="AH500" s="217"/>
      <c r="AI500" s="217"/>
      <c r="AJ500" s="217"/>
      <c r="AK500" s="217"/>
      <c r="AL500" s="217"/>
      <c r="AM500" s="219"/>
      <c r="AN500" s="219"/>
      <c r="AO500" s="217"/>
      <c r="AP500" s="217"/>
      <c r="AQ500" s="219"/>
      <c r="AR500" s="219"/>
      <c r="AS500" s="217"/>
    </row>
    <row r="501" spans="1:45" s="222" customFormat="1" x14ac:dyDescent="0.25">
      <c r="A501" s="225"/>
      <c r="B501" s="225"/>
      <c r="C501" s="225"/>
      <c r="D501" s="225"/>
      <c r="E501" s="225"/>
      <c r="F501" s="225"/>
      <c r="G501" s="225"/>
      <c r="H501" s="225"/>
      <c r="I501" s="225"/>
      <c r="J501" s="230"/>
      <c r="K501" s="228"/>
      <c r="L501" s="217"/>
      <c r="M501" s="217"/>
      <c r="N501" s="217"/>
      <c r="O501" s="218"/>
      <c r="P501" s="217"/>
      <c r="Q501" s="219"/>
      <c r="R501" s="217"/>
      <c r="S501" s="217"/>
      <c r="T501" s="217"/>
      <c r="U501" s="217"/>
      <c r="V501" s="219"/>
      <c r="W501" s="219"/>
      <c r="X501" s="219"/>
      <c r="Y501" s="219"/>
      <c r="Z501" s="219"/>
      <c r="AA501" s="217"/>
      <c r="AB501" s="217"/>
      <c r="AC501" s="217"/>
      <c r="AD501" s="219"/>
      <c r="AE501" s="219"/>
      <c r="AF501" s="219"/>
      <c r="AG501" s="219"/>
      <c r="AH501" s="217"/>
      <c r="AI501" s="217"/>
      <c r="AJ501" s="217"/>
      <c r="AK501" s="217"/>
      <c r="AL501" s="217"/>
      <c r="AM501" s="219"/>
      <c r="AN501" s="219"/>
      <c r="AO501" s="217"/>
      <c r="AP501" s="217"/>
      <c r="AQ501" s="219"/>
      <c r="AR501" s="219"/>
      <c r="AS501" s="217"/>
    </row>
    <row r="502" spans="1:45" s="222" customFormat="1" x14ac:dyDescent="0.25">
      <c r="A502" s="225"/>
      <c r="B502" s="225"/>
      <c r="C502" s="225"/>
      <c r="D502" s="225"/>
      <c r="E502" s="225"/>
      <c r="F502" s="225"/>
      <c r="G502" s="225"/>
      <c r="H502" s="225"/>
      <c r="I502" s="225"/>
      <c r="J502" s="230"/>
      <c r="K502" s="228"/>
      <c r="L502" s="217"/>
      <c r="M502" s="217"/>
      <c r="N502" s="217"/>
      <c r="O502" s="218"/>
      <c r="P502" s="217"/>
      <c r="Q502" s="219"/>
      <c r="R502" s="217"/>
      <c r="S502" s="217"/>
      <c r="T502" s="217"/>
      <c r="U502" s="217"/>
      <c r="V502" s="219"/>
      <c r="W502" s="219"/>
      <c r="X502" s="219"/>
      <c r="Y502" s="219"/>
      <c r="Z502" s="219"/>
      <c r="AA502" s="217"/>
      <c r="AB502" s="217"/>
      <c r="AC502" s="217"/>
      <c r="AD502" s="219"/>
      <c r="AE502" s="219"/>
      <c r="AF502" s="219"/>
      <c r="AG502" s="219"/>
      <c r="AH502" s="217"/>
      <c r="AI502" s="217"/>
      <c r="AJ502" s="217"/>
      <c r="AK502" s="217"/>
      <c r="AL502" s="217"/>
      <c r="AM502" s="219"/>
      <c r="AN502" s="219"/>
      <c r="AO502" s="217"/>
      <c r="AP502" s="217"/>
      <c r="AQ502" s="219"/>
      <c r="AR502" s="219"/>
      <c r="AS502" s="217"/>
    </row>
    <row r="503" spans="1:45" s="222" customFormat="1" x14ac:dyDescent="0.25">
      <c r="A503" s="225"/>
      <c r="B503" s="225"/>
      <c r="C503" s="225"/>
      <c r="D503" s="225"/>
      <c r="E503" s="225"/>
      <c r="F503" s="225"/>
      <c r="G503" s="225"/>
      <c r="H503" s="225"/>
      <c r="I503" s="225"/>
      <c r="J503" s="230"/>
      <c r="K503" s="228"/>
      <c r="L503" s="217"/>
      <c r="M503" s="217"/>
      <c r="N503" s="217"/>
      <c r="O503" s="218"/>
      <c r="P503" s="217"/>
      <c r="Q503" s="219"/>
      <c r="R503" s="217"/>
      <c r="S503" s="217"/>
      <c r="T503" s="217"/>
      <c r="U503" s="217"/>
      <c r="V503" s="219"/>
      <c r="W503" s="219"/>
      <c r="X503" s="219"/>
      <c r="Y503" s="219"/>
      <c r="Z503" s="219"/>
      <c r="AA503" s="217"/>
      <c r="AB503" s="217"/>
      <c r="AC503" s="217"/>
      <c r="AD503" s="219"/>
      <c r="AE503" s="219"/>
      <c r="AF503" s="219"/>
      <c r="AG503" s="219"/>
      <c r="AH503" s="217"/>
      <c r="AI503" s="217"/>
      <c r="AJ503" s="217"/>
      <c r="AK503" s="217"/>
      <c r="AL503" s="217"/>
      <c r="AM503" s="219"/>
      <c r="AN503" s="219"/>
      <c r="AO503" s="217"/>
      <c r="AP503" s="217"/>
      <c r="AQ503" s="219"/>
      <c r="AR503" s="219"/>
      <c r="AS503" s="217"/>
    </row>
    <row r="504" spans="1:45" s="222" customFormat="1" x14ac:dyDescent="0.25">
      <c r="A504" s="225"/>
      <c r="B504" s="225"/>
      <c r="C504" s="225"/>
      <c r="D504" s="225"/>
      <c r="E504" s="225"/>
      <c r="F504" s="225"/>
      <c r="G504" s="225"/>
      <c r="H504" s="225"/>
      <c r="I504" s="225"/>
      <c r="J504" s="230"/>
      <c r="K504" s="228"/>
      <c r="L504" s="217"/>
      <c r="M504" s="217"/>
      <c r="N504" s="217"/>
      <c r="O504" s="218"/>
      <c r="P504" s="217"/>
      <c r="Q504" s="219"/>
      <c r="R504" s="217"/>
      <c r="S504" s="217"/>
      <c r="T504" s="217"/>
      <c r="U504" s="217"/>
      <c r="V504" s="219"/>
      <c r="W504" s="219"/>
      <c r="X504" s="219"/>
      <c r="Y504" s="219"/>
      <c r="Z504" s="219"/>
      <c r="AA504" s="217"/>
      <c r="AB504" s="217"/>
      <c r="AC504" s="217"/>
      <c r="AD504" s="219"/>
      <c r="AE504" s="219"/>
      <c r="AF504" s="219"/>
      <c r="AG504" s="219"/>
      <c r="AH504" s="217"/>
      <c r="AI504" s="217"/>
      <c r="AJ504" s="217"/>
      <c r="AK504" s="217"/>
      <c r="AL504" s="217"/>
      <c r="AM504" s="219"/>
      <c r="AN504" s="219"/>
      <c r="AO504" s="217"/>
      <c r="AP504" s="217"/>
      <c r="AQ504" s="219"/>
      <c r="AR504" s="219"/>
      <c r="AS504" s="217"/>
    </row>
    <row r="505" spans="1:45" s="222" customFormat="1" x14ac:dyDescent="0.25">
      <c r="A505" s="225"/>
      <c r="B505" s="225"/>
      <c r="C505" s="225"/>
      <c r="D505" s="225"/>
      <c r="E505" s="225"/>
      <c r="F505" s="225"/>
      <c r="G505" s="225"/>
      <c r="H505" s="225"/>
      <c r="I505" s="225"/>
      <c r="J505" s="230"/>
      <c r="K505" s="228"/>
      <c r="L505" s="217"/>
      <c r="M505" s="217"/>
      <c r="N505" s="217"/>
      <c r="O505" s="218"/>
      <c r="P505" s="217"/>
      <c r="Q505" s="219"/>
      <c r="R505" s="217"/>
      <c r="S505" s="217"/>
      <c r="T505" s="217"/>
      <c r="U505" s="217"/>
      <c r="V505" s="219"/>
      <c r="W505" s="219"/>
      <c r="X505" s="219"/>
      <c r="Y505" s="219"/>
      <c r="Z505" s="219"/>
      <c r="AA505" s="217"/>
      <c r="AB505" s="217"/>
      <c r="AC505" s="217"/>
      <c r="AD505" s="219"/>
      <c r="AE505" s="219"/>
      <c r="AF505" s="219"/>
      <c r="AG505" s="219"/>
      <c r="AH505" s="217"/>
      <c r="AI505" s="217"/>
      <c r="AJ505" s="217"/>
      <c r="AK505" s="217"/>
      <c r="AL505" s="217"/>
      <c r="AM505" s="219"/>
      <c r="AN505" s="219"/>
      <c r="AO505" s="217"/>
      <c r="AP505" s="217"/>
      <c r="AQ505" s="219"/>
      <c r="AR505" s="219"/>
      <c r="AS505" s="217"/>
    </row>
    <row r="506" spans="1:45" s="222" customFormat="1" x14ac:dyDescent="0.25">
      <c r="A506" s="225"/>
      <c r="B506" s="225"/>
      <c r="C506" s="225"/>
      <c r="D506" s="225"/>
      <c r="E506" s="225"/>
      <c r="F506" s="225"/>
      <c r="G506" s="225"/>
      <c r="H506" s="225"/>
      <c r="I506" s="225"/>
      <c r="J506" s="230"/>
      <c r="K506" s="228"/>
      <c r="L506" s="217"/>
      <c r="M506" s="217"/>
      <c r="N506" s="217"/>
      <c r="O506" s="218"/>
      <c r="P506" s="217"/>
      <c r="Q506" s="219"/>
      <c r="R506" s="217"/>
      <c r="S506" s="217"/>
      <c r="T506" s="217"/>
      <c r="U506" s="217"/>
      <c r="V506" s="219"/>
      <c r="W506" s="219"/>
      <c r="X506" s="219"/>
      <c r="Y506" s="219"/>
      <c r="Z506" s="219"/>
      <c r="AA506" s="217"/>
      <c r="AB506" s="217"/>
      <c r="AC506" s="217"/>
      <c r="AD506" s="219"/>
      <c r="AE506" s="219"/>
      <c r="AF506" s="219"/>
      <c r="AG506" s="219"/>
      <c r="AH506" s="217"/>
      <c r="AI506" s="217"/>
      <c r="AJ506" s="217"/>
      <c r="AK506" s="217"/>
      <c r="AL506" s="217"/>
      <c r="AM506" s="219"/>
      <c r="AN506" s="219"/>
      <c r="AO506" s="217"/>
      <c r="AP506" s="217"/>
      <c r="AQ506" s="219"/>
      <c r="AR506" s="219"/>
      <c r="AS506" s="217"/>
    </row>
    <row r="507" spans="1:45" s="222" customFormat="1" x14ac:dyDescent="0.25">
      <c r="A507" s="225"/>
      <c r="B507" s="225"/>
      <c r="C507" s="225"/>
      <c r="D507" s="225"/>
      <c r="E507" s="225"/>
      <c r="F507" s="225"/>
      <c r="G507" s="225"/>
      <c r="H507" s="225"/>
      <c r="I507" s="225"/>
      <c r="J507" s="230"/>
      <c r="K507" s="228"/>
      <c r="L507" s="217"/>
      <c r="M507" s="217"/>
      <c r="N507" s="217"/>
      <c r="O507" s="218"/>
      <c r="P507" s="217"/>
      <c r="Q507" s="219"/>
      <c r="R507" s="217"/>
      <c r="S507" s="217"/>
      <c r="T507" s="217"/>
      <c r="U507" s="217"/>
      <c r="V507" s="219"/>
      <c r="W507" s="219"/>
      <c r="X507" s="219"/>
      <c r="Y507" s="219"/>
      <c r="Z507" s="219"/>
      <c r="AA507" s="217"/>
      <c r="AB507" s="217"/>
      <c r="AC507" s="217"/>
      <c r="AD507" s="219"/>
      <c r="AE507" s="219"/>
      <c r="AF507" s="219"/>
      <c r="AG507" s="219"/>
      <c r="AH507" s="217"/>
      <c r="AI507" s="217"/>
      <c r="AJ507" s="217"/>
      <c r="AK507" s="217"/>
      <c r="AL507" s="217"/>
      <c r="AM507" s="219"/>
      <c r="AN507" s="219"/>
      <c r="AO507" s="217"/>
      <c r="AP507" s="217"/>
      <c r="AQ507" s="219"/>
      <c r="AR507" s="219"/>
      <c r="AS507" s="217"/>
    </row>
    <row r="508" spans="1:45" s="222" customFormat="1" x14ac:dyDescent="0.25">
      <c r="A508" s="225"/>
      <c r="B508" s="225"/>
      <c r="C508" s="225"/>
      <c r="D508" s="225"/>
      <c r="E508" s="225"/>
      <c r="F508" s="225"/>
      <c r="G508" s="225"/>
      <c r="H508" s="225"/>
      <c r="I508" s="225"/>
      <c r="J508" s="230"/>
      <c r="K508" s="228"/>
      <c r="L508" s="217"/>
      <c r="M508" s="217"/>
      <c r="N508" s="217"/>
      <c r="O508" s="218"/>
      <c r="P508" s="217"/>
      <c r="Q508" s="219"/>
      <c r="R508" s="217"/>
      <c r="S508" s="217"/>
      <c r="T508" s="217"/>
      <c r="U508" s="217"/>
      <c r="V508" s="219"/>
      <c r="W508" s="219"/>
      <c r="X508" s="219"/>
      <c r="Y508" s="219"/>
      <c r="Z508" s="219"/>
      <c r="AA508" s="217"/>
      <c r="AB508" s="217"/>
      <c r="AC508" s="217"/>
      <c r="AD508" s="219"/>
      <c r="AE508" s="219"/>
      <c r="AF508" s="219"/>
      <c r="AG508" s="219"/>
      <c r="AH508" s="217"/>
      <c r="AI508" s="217"/>
      <c r="AJ508" s="217"/>
      <c r="AK508" s="217"/>
      <c r="AL508" s="217"/>
      <c r="AM508" s="219"/>
      <c r="AN508" s="219"/>
      <c r="AO508" s="217"/>
      <c r="AP508" s="217"/>
      <c r="AQ508" s="219"/>
      <c r="AR508" s="219"/>
      <c r="AS508" s="217"/>
    </row>
    <row r="509" spans="1:45" s="222" customFormat="1" x14ac:dyDescent="0.25">
      <c r="A509" s="225"/>
      <c r="B509" s="225"/>
      <c r="C509" s="225"/>
      <c r="D509" s="225"/>
      <c r="E509" s="225"/>
      <c r="F509" s="225"/>
      <c r="G509" s="225"/>
      <c r="H509" s="225"/>
      <c r="I509" s="225"/>
      <c r="J509" s="230"/>
      <c r="K509" s="228"/>
      <c r="L509" s="217"/>
      <c r="M509" s="217"/>
      <c r="N509" s="217"/>
      <c r="O509" s="218"/>
      <c r="P509" s="217"/>
      <c r="Q509" s="219"/>
      <c r="R509" s="217"/>
      <c r="S509" s="217"/>
      <c r="T509" s="217"/>
      <c r="U509" s="217"/>
      <c r="V509" s="219"/>
      <c r="W509" s="219"/>
      <c r="X509" s="219"/>
      <c r="Y509" s="219"/>
      <c r="Z509" s="219"/>
      <c r="AA509" s="217"/>
      <c r="AB509" s="217"/>
      <c r="AC509" s="217"/>
      <c r="AD509" s="219"/>
      <c r="AE509" s="219"/>
      <c r="AF509" s="219"/>
      <c r="AG509" s="219"/>
      <c r="AH509" s="217"/>
      <c r="AI509" s="217"/>
      <c r="AJ509" s="217"/>
      <c r="AK509" s="217"/>
      <c r="AL509" s="217"/>
      <c r="AM509" s="219"/>
      <c r="AN509" s="219"/>
      <c r="AO509" s="217"/>
      <c r="AP509" s="217"/>
      <c r="AQ509" s="219"/>
      <c r="AR509" s="219"/>
      <c r="AS509" s="217"/>
    </row>
    <row r="510" spans="1:45" s="222" customFormat="1" x14ac:dyDescent="0.25">
      <c r="A510" s="225"/>
      <c r="B510" s="225"/>
      <c r="C510" s="225"/>
      <c r="D510" s="225"/>
      <c r="E510" s="225"/>
      <c r="F510" s="225"/>
      <c r="G510" s="225"/>
      <c r="H510" s="225"/>
      <c r="I510" s="225"/>
      <c r="J510" s="230"/>
      <c r="K510" s="228"/>
      <c r="L510" s="217"/>
      <c r="M510" s="217"/>
      <c r="N510" s="217"/>
      <c r="O510" s="218"/>
      <c r="P510" s="217"/>
      <c r="Q510" s="219"/>
      <c r="R510" s="217"/>
      <c r="S510" s="217"/>
      <c r="T510" s="217"/>
      <c r="U510" s="217"/>
      <c r="V510" s="219"/>
      <c r="W510" s="219"/>
      <c r="X510" s="219"/>
      <c r="Y510" s="219"/>
      <c r="Z510" s="219"/>
      <c r="AA510" s="217"/>
      <c r="AB510" s="217"/>
      <c r="AC510" s="217"/>
      <c r="AD510" s="219"/>
      <c r="AE510" s="219"/>
      <c r="AF510" s="219"/>
      <c r="AG510" s="219"/>
      <c r="AH510" s="217"/>
      <c r="AI510" s="217"/>
      <c r="AJ510" s="217"/>
      <c r="AK510" s="217"/>
      <c r="AL510" s="217"/>
      <c r="AM510" s="219"/>
      <c r="AN510" s="219"/>
      <c r="AO510" s="217"/>
      <c r="AP510" s="217"/>
      <c r="AQ510" s="219"/>
      <c r="AR510" s="219"/>
      <c r="AS510" s="217"/>
    </row>
    <row r="511" spans="1:45" s="222" customFormat="1" x14ac:dyDescent="0.25">
      <c r="A511" s="225"/>
      <c r="B511" s="225"/>
      <c r="C511" s="225"/>
      <c r="D511" s="225"/>
      <c r="E511" s="225"/>
      <c r="F511" s="225"/>
      <c r="G511" s="225"/>
      <c r="H511" s="225"/>
      <c r="I511" s="225"/>
      <c r="J511" s="230"/>
      <c r="K511" s="228"/>
      <c r="L511" s="217"/>
      <c r="M511" s="217"/>
      <c r="N511" s="217"/>
      <c r="O511" s="218"/>
      <c r="P511" s="217"/>
      <c r="Q511" s="219"/>
      <c r="R511" s="217"/>
      <c r="S511" s="217"/>
      <c r="T511" s="217"/>
      <c r="U511" s="217"/>
      <c r="V511" s="219"/>
      <c r="W511" s="219"/>
      <c r="X511" s="219"/>
      <c r="Y511" s="219"/>
      <c r="Z511" s="219"/>
      <c r="AA511" s="217"/>
      <c r="AB511" s="217"/>
      <c r="AC511" s="217"/>
      <c r="AD511" s="219"/>
      <c r="AE511" s="219"/>
      <c r="AF511" s="219"/>
      <c r="AG511" s="219"/>
      <c r="AH511" s="217"/>
      <c r="AI511" s="217"/>
      <c r="AJ511" s="217"/>
      <c r="AK511" s="217"/>
      <c r="AL511" s="217"/>
      <c r="AM511" s="219"/>
      <c r="AN511" s="219"/>
      <c r="AO511" s="217"/>
      <c r="AP511" s="217"/>
      <c r="AQ511" s="219"/>
      <c r="AR511" s="219"/>
      <c r="AS511" s="217"/>
    </row>
    <row r="512" spans="1:45" s="222" customFormat="1" x14ac:dyDescent="0.25">
      <c r="A512" s="225"/>
      <c r="B512" s="225"/>
      <c r="C512" s="225"/>
      <c r="D512" s="225"/>
      <c r="E512" s="225"/>
      <c r="F512" s="225"/>
      <c r="G512" s="225"/>
      <c r="H512" s="225"/>
      <c r="I512" s="225"/>
      <c r="J512" s="230"/>
      <c r="K512" s="228"/>
      <c r="L512" s="217"/>
      <c r="M512" s="217"/>
      <c r="N512" s="217"/>
      <c r="O512" s="218"/>
      <c r="P512" s="217"/>
      <c r="Q512" s="219"/>
      <c r="R512" s="217"/>
      <c r="S512" s="217"/>
      <c r="T512" s="217"/>
      <c r="U512" s="217"/>
      <c r="V512" s="219"/>
      <c r="W512" s="219"/>
      <c r="X512" s="219"/>
      <c r="Y512" s="219"/>
      <c r="Z512" s="219"/>
      <c r="AA512" s="217"/>
      <c r="AB512" s="217"/>
      <c r="AC512" s="217"/>
      <c r="AD512" s="219"/>
      <c r="AE512" s="219"/>
      <c r="AF512" s="219"/>
      <c r="AG512" s="219"/>
      <c r="AH512" s="217"/>
      <c r="AI512" s="217"/>
      <c r="AJ512" s="217"/>
      <c r="AK512" s="217"/>
      <c r="AL512" s="217"/>
      <c r="AM512" s="219"/>
      <c r="AN512" s="219"/>
      <c r="AO512" s="217"/>
      <c r="AP512" s="217"/>
      <c r="AQ512" s="219"/>
      <c r="AR512" s="219"/>
      <c r="AS512" s="217"/>
    </row>
    <row r="513" spans="1:45" s="222" customFormat="1" x14ac:dyDescent="0.25">
      <c r="A513" s="225"/>
      <c r="B513" s="225"/>
      <c r="C513" s="225"/>
      <c r="D513" s="225"/>
      <c r="E513" s="225"/>
      <c r="F513" s="225"/>
      <c r="G513" s="225"/>
      <c r="H513" s="225"/>
      <c r="I513" s="225"/>
      <c r="J513" s="230"/>
      <c r="K513" s="228"/>
      <c r="L513" s="217"/>
      <c r="M513" s="217"/>
      <c r="N513" s="217"/>
      <c r="O513" s="218"/>
      <c r="P513" s="217"/>
      <c r="Q513" s="219"/>
      <c r="R513" s="217"/>
      <c r="S513" s="217"/>
      <c r="T513" s="217"/>
      <c r="U513" s="217"/>
      <c r="V513" s="219"/>
      <c r="W513" s="219"/>
      <c r="X513" s="219"/>
      <c r="Y513" s="219"/>
      <c r="Z513" s="219"/>
      <c r="AA513" s="217"/>
      <c r="AB513" s="217"/>
      <c r="AC513" s="217"/>
      <c r="AD513" s="219"/>
      <c r="AE513" s="219"/>
      <c r="AF513" s="219"/>
      <c r="AG513" s="219"/>
      <c r="AH513" s="217"/>
      <c r="AI513" s="217"/>
      <c r="AJ513" s="217"/>
      <c r="AK513" s="217"/>
      <c r="AL513" s="217"/>
      <c r="AM513" s="219"/>
      <c r="AN513" s="219"/>
      <c r="AO513" s="217"/>
      <c r="AP513" s="217"/>
      <c r="AQ513" s="219"/>
      <c r="AR513" s="219"/>
      <c r="AS513" s="217"/>
    </row>
    <row r="514" spans="1:45" s="222" customFormat="1" x14ac:dyDescent="0.25">
      <c r="A514" s="225"/>
      <c r="B514" s="225"/>
      <c r="C514" s="225"/>
      <c r="D514" s="225"/>
      <c r="E514" s="225"/>
      <c r="F514" s="225"/>
      <c r="G514" s="225"/>
      <c r="H514" s="225"/>
      <c r="I514" s="225"/>
      <c r="J514" s="230"/>
      <c r="K514" s="228"/>
      <c r="L514" s="217"/>
      <c r="M514" s="217"/>
      <c r="N514" s="217"/>
      <c r="O514" s="218"/>
      <c r="P514" s="217"/>
      <c r="Q514" s="219"/>
      <c r="R514" s="217"/>
      <c r="S514" s="217"/>
      <c r="T514" s="217"/>
      <c r="U514" s="217"/>
      <c r="V514" s="219"/>
      <c r="W514" s="219"/>
      <c r="X514" s="219"/>
      <c r="Y514" s="219"/>
      <c r="Z514" s="219"/>
      <c r="AA514" s="217"/>
      <c r="AB514" s="217"/>
      <c r="AC514" s="217"/>
      <c r="AD514" s="219"/>
      <c r="AE514" s="219"/>
      <c r="AF514" s="219"/>
      <c r="AG514" s="219"/>
      <c r="AH514" s="217"/>
      <c r="AI514" s="217"/>
      <c r="AJ514" s="217"/>
      <c r="AK514" s="217"/>
      <c r="AL514" s="217"/>
      <c r="AM514" s="219"/>
      <c r="AN514" s="219"/>
      <c r="AO514" s="217"/>
      <c r="AP514" s="217"/>
      <c r="AQ514" s="219"/>
      <c r="AR514" s="219"/>
      <c r="AS514" s="217"/>
    </row>
    <row r="515" spans="1:45" s="222" customFormat="1" x14ac:dyDescent="0.25">
      <c r="A515" s="225"/>
      <c r="B515" s="225"/>
      <c r="C515" s="225"/>
      <c r="D515" s="225"/>
      <c r="E515" s="225"/>
      <c r="F515" s="225"/>
      <c r="G515" s="225"/>
      <c r="H515" s="225"/>
      <c r="I515" s="225"/>
      <c r="J515" s="230"/>
      <c r="K515" s="228"/>
      <c r="L515" s="217"/>
      <c r="M515" s="217"/>
      <c r="N515" s="217"/>
      <c r="O515" s="218"/>
      <c r="P515" s="217"/>
      <c r="Q515" s="219"/>
      <c r="R515" s="217"/>
      <c r="S515" s="217"/>
      <c r="T515" s="217"/>
      <c r="U515" s="217"/>
      <c r="V515" s="219"/>
      <c r="W515" s="219"/>
      <c r="X515" s="219"/>
      <c r="Y515" s="219"/>
      <c r="Z515" s="219"/>
      <c r="AA515" s="217"/>
      <c r="AB515" s="217"/>
      <c r="AC515" s="217"/>
      <c r="AD515" s="219"/>
      <c r="AE515" s="219"/>
      <c r="AF515" s="219"/>
      <c r="AG515" s="219"/>
      <c r="AH515" s="217"/>
      <c r="AI515" s="217"/>
      <c r="AJ515" s="217"/>
      <c r="AK515" s="217"/>
      <c r="AL515" s="217"/>
      <c r="AM515" s="219"/>
      <c r="AN515" s="219"/>
      <c r="AO515" s="217"/>
      <c r="AP515" s="217"/>
      <c r="AQ515" s="219"/>
      <c r="AR515" s="219"/>
      <c r="AS515" s="217"/>
    </row>
    <row r="516" spans="1:45" s="222" customFormat="1" x14ac:dyDescent="0.25">
      <c r="A516" s="225"/>
      <c r="B516" s="225"/>
      <c r="C516" s="225"/>
      <c r="D516" s="225"/>
      <c r="E516" s="225"/>
      <c r="F516" s="225"/>
      <c r="G516" s="225"/>
      <c r="H516" s="225"/>
      <c r="I516" s="225"/>
      <c r="J516" s="230"/>
      <c r="K516" s="228"/>
      <c r="L516" s="217"/>
      <c r="M516" s="217"/>
      <c r="N516" s="217"/>
      <c r="O516" s="218"/>
      <c r="P516" s="217"/>
      <c r="Q516" s="219"/>
      <c r="R516" s="217"/>
      <c r="S516" s="217"/>
      <c r="T516" s="217"/>
      <c r="U516" s="217"/>
      <c r="V516" s="219"/>
      <c r="W516" s="219"/>
      <c r="X516" s="219"/>
      <c r="Y516" s="219"/>
      <c r="Z516" s="219"/>
      <c r="AA516" s="217"/>
      <c r="AB516" s="217"/>
      <c r="AC516" s="217"/>
      <c r="AD516" s="219"/>
      <c r="AE516" s="219"/>
      <c r="AF516" s="219"/>
      <c r="AG516" s="219"/>
      <c r="AH516" s="217"/>
      <c r="AI516" s="217"/>
      <c r="AJ516" s="217"/>
      <c r="AK516" s="217"/>
      <c r="AL516" s="217"/>
      <c r="AM516" s="219"/>
      <c r="AN516" s="219"/>
      <c r="AO516" s="217"/>
      <c r="AP516" s="217"/>
      <c r="AQ516" s="219"/>
      <c r="AR516" s="219"/>
      <c r="AS516" s="217"/>
    </row>
    <row r="517" spans="1:45" x14ac:dyDescent="0.25">
      <c r="A517" s="225"/>
      <c r="B517" s="224"/>
      <c r="C517" s="224"/>
      <c r="D517" s="224"/>
      <c r="E517" s="224"/>
      <c r="F517" s="224"/>
      <c r="G517" s="224"/>
      <c r="H517" s="224"/>
      <c r="I517" s="224"/>
      <c r="J517" s="224"/>
      <c r="K517" s="227"/>
      <c r="L517" s="217"/>
      <c r="M517" s="217"/>
      <c r="N517" s="217"/>
      <c r="O517" s="218"/>
      <c r="P517" s="217"/>
      <c r="Q517" s="219"/>
      <c r="R517" s="217"/>
      <c r="S517" s="217"/>
      <c r="T517" s="217"/>
      <c r="U517" s="217"/>
      <c r="V517" s="219"/>
      <c r="W517" s="219"/>
      <c r="X517" s="219"/>
      <c r="Y517" s="219"/>
      <c r="Z517" s="219"/>
      <c r="AA517" s="217"/>
      <c r="AB517" s="217"/>
      <c r="AC517" s="217"/>
      <c r="AD517" s="219"/>
      <c r="AE517" s="219"/>
      <c r="AF517" s="219"/>
      <c r="AG517" s="219"/>
      <c r="AH517" s="217"/>
      <c r="AI517" s="217"/>
      <c r="AJ517" s="217"/>
      <c r="AK517" s="217"/>
      <c r="AL517" s="217"/>
      <c r="AM517" s="219"/>
      <c r="AN517" s="219"/>
      <c r="AO517" s="217"/>
      <c r="AP517" s="217"/>
      <c r="AQ517" s="219"/>
      <c r="AR517" s="219"/>
      <c r="AS517" s="217"/>
    </row>
    <row r="518" spans="1:45" x14ac:dyDescent="0.25">
      <c r="A518" s="225"/>
      <c r="B518" s="224"/>
      <c r="C518" s="224"/>
      <c r="D518" s="224"/>
      <c r="E518" s="224"/>
      <c r="F518" s="224"/>
      <c r="G518" s="224"/>
      <c r="H518" s="224"/>
      <c r="I518" s="224"/>
      <c r="J518" s="224"/>
      <c r="K518" s="227"/>
      <c r="L518" s="217"/>
      <c r="M518" s="217"/>
      <c r="N518" s="217"/>
      <c r="O518" s="218"/>
      <c r="P518" s="217"/>
      <c r="Q518" s="219"/>
      <c r="R518" s="217"/>
      <c r="S518" s="217"/>
      <c r="T518" s="217"/>
      <c r="U518" s="217"/>
      <c r="V518" s="219"/>
      <c r="W518" s="219"/>
      <c r="X518" s="219"/>
      <c r="Y518" s="219"/>
      <c r="Z518" s="219"/>
      <c r="AA518" s="217"/>
      <c r="AB518" s="217"/>
      <c r="AC518" s="217"/>
      <c r="AD518" s="219"/>
      <c r="AE518" s="219"/>
      <c r="AF518" s="219"/>
      <c r="AG518" s="219"/>
      <c r="AH518" s="217"/>
      <c r="AI518" s="217"/>
      <c r="AJ518" s="217"/>
      <c r="AK518" s="217"/>
      <c r="AL518" s="217"/>
      <c r="AM518" s="219"/>
      <c r="AN518" s="219"/>
      <c r="AO518" s="217"/>
      <c r="AP518" s="217"/>
      <c r="AQ518" s="219"/>
      <c r="AR518" s="219"/>
      <c r="AS518" s="217"/>
    </row>
    <row r="519" spans="1:45" x14ac:dyDescent="0.25">
      <c r="A519" s="225"/>
      <c r="B519" s="224"/>
      <c r="C519" s="224"/>
      <c r="D519" s="224"/>
      <c r="E519" s="224"/>
      <c r="F519" s="224"/>
      <c r="G519" s="224"/>
      <c r="H519" s="224"/>
      <c r="I519" s="224"/>
      <c r="J519" s="224"/>
      <c r="K519" s="227"/>
      <c r="L519" s="217"/>
      <c r="M519" s="217"/>
      <c r="N519" s="217"/>
      <c r="O519" s="218"/>
      <c r="P519" s="217"/>
      <c r="Q519" s="219"/>
      <c r="R519" s="217"/>
      <c r="S519" s="217"/>
      <c r="T519" s="217"/>
      <c r="U519" s="217"/>
      <c r="V519" s="219"/>
      <c r="W519" s="219"/>
      <c r="X519" s="219"/>
      <c r="Y519" s="219"/>
      <c r="Z519" s="219"/>
      <c r="AA519" s="217"/>
      <c r="AB519" s="217"/>
      <c r="AC519" s="217"/>
      <c r="AD519" s="219"/>
      <c r="AE519" s="219"/>
      <c r="AF519" s="219"/>
      <c r="AG519" s="219"/>
      <c r="AH519" s="217"/>
      <c r="AI519" s="217"/>
      <c r="AJ519" s="217"/>
      <c r="AK519" s="217"/>
      <c r="AL519" s="217"/>
      <c r="AM519" s="219"/>
      <c r="AN519" s="219"/>
      <c r="AO519" s="217"/>
      <c r="AP519" s="217"/>
      <c r="AQ519" s="219"/>
      <c r="AR519" s="219"/>
      <c r="AS519" s="217"/>
    </row>
    <row r="520" spans="1:45" x14ac:dyDescent="0.25">
      <c r="A520" s="225"/>
      <c r="B520" s="224"/>
      <c r="C520" s="224"/>
      <c r="D520" s="224"/>
      <c r="E520" s="224"/>
      <c r="F520" s="224"/>
      <c r="G520" s="224"/>
      <c r="H520" s="224"/>
      <c r="I520" s="224"/>
      <c r="J520" s="224"/>
      <c r="K520" s="227"/>
      <c r="L520" s="217"/>
      <c r="M520" s="217"/>
      <c r="N520" s="217"/>
      <c r="O520" s="218"/>
      <c r="P520" s="217"/>
      <c r="Q520" s="219"/>
      <c r="R520" s="217"/>
      <c r="S520" s="217"/>
      <c r="T520" s="217"/>
      <c r="U520" s="217"/>
      <c r="V520" s="219"/>
      <c r="W520" s="219"/>
      <c r="X520" s="219"/>
      <c r="Y520" s="219"/>
      <c r="Z520" s="219"/>
      <c r="AA520" s="217"/>
      <c r="AB520" s="217"/>
      <c r="AC520" s="217"/>
      <c r="AD520" s="219"/>
      <c r="AE520" s="219"/>
      <c r="AF520" s="219"/>
      <c r="AG520" s="219"/>
      <c r="AH520" s="217"/>
      <c r="AI520" s="217"/>
      <c r="AJ520" s="217"/>
      <c r="AK520" s="217"/>
      <c r="AL520" s="217"/>
      <c r="AM520" s="219"/>
      <c r="AN520" s="219"/>
      <c r="AO520" s="217"/>
      <c r="AP520" s="217"/>
      <c r="AQ520" s="219"/>
      <c r="AR520" s="219"/>
      <c r="AS520" s="217"/>
    </row>
    <row r="521" spans="1:45" x14ac:dyDescent="0.25">
      <c r="A521" s="225"/>
      <c r="B521" s="224"/>
      <c r="C521" s="224"/>
      <c r="D521" s="224"/>
      <c r="E521" s="224"/>
      <c r="F521" s="224"/>
      <c r="G521" s="224"/>
      <c r="H521" s="224"/>
      <c r="I521" s="224"/>
      <c r="J521" s="224"/>
      <c r="K521" s="227"/>
      <c r="L521" s="217"/>
      <c r="M521" s="217"/>
      <c r="N521" s="217"/>
      <c r="O521" s="218"/>
      <c r="P521" s="217"/>
      <c r="Q521" s="219"/>
      <c r="R521" s="217"/>
      <c r="S521" s="217"/>
      <c r="T521" s="217"/>
      <c r="U521" s="217"/>
      <c r="V521" s="219"/>
      <c r="W521" s="219"/>
      <c r="X521" s="219"/>
      <c r="Y521" s="219"/>
      <c r="Z521" s="219"/>
      <c r="AA521" s="217"/>
      <c r="AB521" s="217"/>
      <c r="AC521" s="217"/>
      <c r="AD521" s="219"/>
      <c r="AE521" s="219"/>
      <c r="AF521" s="219"/>
      <c r="AG521" s="219"/>
      <c r="AH521" s="217"/>
      <c r="AI521" s="217"/>
      <c r="AJ521" s="217"/>
      <c r="AK521" s="217"/>
      <c r="AL521" s="217"/>
      <c r="AM521" s="219"/>
      <c r="AN521" s="219"/>
      <c r="AO521" s="217"/>
      <c r="AP521" s="217"/>
      <c r="AQ521" s="219"/>
      <c r="AR521" s="219"/>
      <c r="AS521" s="217"/>
    </row>
    <row r="522" spans="1:45" x14ac:dyDescent="0.25">
      <c r="A522" s="225"/>
      <c r="B522" s="224"/>
      <c r="C522" s="224"/>
      <c r="D522" s="224"/>
      <c r="E522" s="224"/>
      <c r="F522" s="224"/>
      <c r="G522" s="224"/>
      <c r="H522" s="224"/>
      <c r="I522" s="224"/>
      <c r="J522" s="224"/>
      <c r="K522" s="227"/>
      <c r="L522" s="217"/>
      <c r="M522" s="217"/>
      <c r="N522" s="217"/>
      <c r="O522" s="218"/>
      <c r="P522" s="217"/>
      <c r="Q522" s="219"/>
      <c r="R522" s="217"/>
      <c r="S522" s="217"/>
      <c r="T522" s="217"/>
      <c r="U522" s="217"/>
      <c r="V522" s="219"/>
      <c r="W522" s="219"/>
      <c r="X522" s="219"/>
      <c r="Y522" s="219"/>
      <c r="Z522" s="219"/>
      <c r="AA522" s="217"/>
      <c r="AB522" s="217"/>
      <c r="AC522" s="217"/>
      <c r="AD522" s="219"/>
      <c r="AE522" s="219"/>
      <c r="AF522" s="219"/>
      <c r="AG522" s="219"/>
      <c r="AH522" s="217"/>
      <c r="AI522" s="217"/>
      <c r="AJ522" s="217"/>
      <c r="AK522" s="217"/>
      <c r="AL522" s="217"/>
      <c r="AM522" s="219"/>
      <c r="AN522" s="219"/>
      <c r="AO522" s="217"/>
      <c r="AP522" s="217"/>
      <c r="AQ522" s="219"/>
      <c r="AR522" s="219"/>
      <c r="AS522" s="217"/>
    </row>
    <row r="523" spans="1:45" x14ac:dyDescent="0.25">
      <c r="A523" s="225"/>
      <c r="B523" s="224"/>
      <c r="C523" s="224"/>
      <c r="D523" s="224"/>
      <c r="E523" s="224"/>
      <c r="F523" s="224"/>
      <c r="G523" s="224"/>
      <c r="H523" s="224"/>
      <c r="I523" s="224"/>
      <c r="J523" s="224"/>
      <c r="K523" s="227"/>
      <c r="L523" s="217"/>
      <c r="M523" s="217"/>
      <c r="N523" s="217"/>
      <c r="O523" s="218"/>
      <c r="P523" s="217"/>
      <c r="Q523" s="219"/>
      <c r="R523" s="217"/>
      <c r="S523" s="217"/>
      <c r="T523" s="217"/>
      <c r="U523" s="217"/>
      <c r="V523" s="219"/>
      <c r="W523" s="219"/>
      <c r="X523" s="219"/>
      <c r="Y523" s="219"/>
      <c r="Z523" s="219"/>
      <c r="AA523" s="217"/>
      <c r="AB523" s="217"/>
      <c r="AC523" s="217"/>
      <c r="AD523" s="219"/>
      <c r="AE523" s="219"/>
      <c r="AF523" s="219"/>
      <c r="AG523" s="219"/>
      <c r="AH523" s="217"/>
      <c r="AI523" s="217"/>
      <c r="AJ523" s="217"/>
      <c r="AK523" s="217"/>
      <c r="AL523" s="217"/>
      <c r="AM523" s="219"/>
      <c r="AN523" s="219"/>
      <c r="AO523" s="217"/>
      <c r="AP523" s="217"/>
      <c r="AQ523" s="219"/>
      <c r="AR523" s="219"/>
      <c r="AS523" s="217"/>
    </row>
    <row r="524" spans="1:45" x14ac:dyDescent="0.25">
      <c r="A524" s="225"/>
      <c r="B524" s="224"/>
      <c r="C524" s="224"/>
      <c r="D524" s="224"/>
      <c r="E524" s="224"/>
      <c r="F524" s="224"/>
      <c r="G524" s="224"/>
      <c r="H524" s="224"/>
      <c r="I524" s="224"/>
      <c r="J524" s="224"/>
      <c r="K524" s="227"/>
      <c r="L524" s="217"/>
      <c r="M524" s="217"/>
      <c r="N524" s="217"/>
      <c r="O524" s="218"/>
      <c r="P524" s="217"/>
      <c r="Q524" s="219"/>
      <c r="R524" s="217"/>
      <c r="S524" s="217"/>
      <c r="T524" s="217"/>
      <c r="U524" s="217"/>
      <c r="V524" s="219"/>
      <c r="W524" s="219"/>
      <c r="X524" s="219"/>
      <c r="Y524" s="219"/>
      <c r="Z524" s="219"/>
      <c r="AA524" s="217"/>
      <c r="AB524" s="217"/>
      <c r="AC524" s="217"/>
      <c r="AD524" s="219"/>
      <c r="AE524" s="219"/>
      <c r="AF524" s="219"/>
      <c r="AG524" s="219"/>
      <c r="AH524" s="217"/>
      <c r="AI524" s="217"/>
      <c r="AJ524" s="217"/>
      <c r="AK524" s="217"/>
      <c r="AL524" s="217"/>
      <c r="AM524" s="219"/>
      <c r="AN524" s="219"/>
      <c r="AO524" s="217"/>
      <c r="AP524" s="217"/>
      <c r="AQ524" s="219"/>
      <c r="AR524" s="219"/>
      <c r="AS524" s="217"/>
    </row>
    <row r="525" spans="1:45" x14ac:dyDescent="0.25">
      <c r="A525" s="225"/>
      <c r="B525" s="224"/>
      <c r="C525" s="224"/>
      <c r="D525" s="224"/>
      <c r="E525" s="224"/>
      <c r="F525" s="224"/>
      <c r="G525" s="224"/>
      <c r="H525" s="224"/>
      <c r="I525" s="224"/>
      <c r="J525" s="224"/>
      <c r="K525" s="227"/>
      <c r="L525" s="217"/>
      <c r="M525" s="217"/>
      <c r="N525" s="217"/>
      <c r="O525" s="218"/>
      <c r="P525" s="217"/>
      <c r="Q525" s="219"/>
      <c r="R525" s="217"/>
      <c r="S525" s="217"/>
      <c r="T525" s="217"/>
      <c r="U525" s="217"/>
      <c r="V525" s="219"/>
      <c r="W525" s="219"/>
      <c r="X525" s="219"/>
      <c r="Y525" s="219"/>
      <c r="Z525" s="219"/>
      <c r="AA525" s="217"/>
      <c r="AB525" s="217"/>
      <c r="AC525" s="217"/>
      <c r="AD525" s="219"/>
      <c r="AE525" s="219"/>
      <c r="AF525" s="219"/>
      <c r="AG525" s="219"/>
      <c r="AH525" s="217"/>
      <c r="AI525" s="217"/>
      <c r="AJ525" s="217"/>
      <c r="AK525" s="217"/>
      <c r="AL525" s="217"/>
      <c r="AM525" s="219"/>
      <c r="AN525" s="219"/>
      <c r="AO525" s="217"/>
      <c r="AP525" s="217"/>
      <c r="AQ525" s="219"/>
      <c r="AR525" s="219"/>
      <c r="AS525" s="217"/>
    </row>
    <row r="526" spans="1:45" x14ac:dyDescent="0.25">
      <c r="A526" s="225"/>
      <c r="B526" s="224"/>
      <c r="C526" s="224"/>
      <c r="D526" s="224"/>
      <c r="E526" s="224"/>
      <c r="F526" s="224"/>
      <c r="G526" s="224"/>
      <c r="H526" s="224"/>
      <c r="I526" s="224"/>
      <c r="J526" s="224"/>
      <c r="K526" s="227"/>
      <c r="L526" s="217"/>
      <c r="M526" s="217"/>
      <c r="N526" s="217"/>
      <c r="O526" s="218"/>
      <c r="P526" s="217"/>
      <c r="Q526" s="219"/>
      <c r="R526" s="217"/>
      <c r="S526" s="217"/>
      <c r="T526" s="217"/>
      <c r="U526" s="217"/>
      <c r="V526" s="219"/>
      <c r="W526" s="219"/>
      <c r="X526" s="219"/>
      <c r="Y526" s="219"/>
      <c r="Z526" s="219"/>
      <c r="AA526" s="217"/>
      <c r="AB526" s="217"/>
      <c r="AC526" s="217"/>
      <c r="AD526" s="219"/>
      <c r="AE526" s="219"/>
      <c r="AF526" s="219"/>
      <c r="AG526" s="219"/>
      <c r="AH526" s="217"/>
      <c r="AI526" s="217"/>
      <c r="AJ526" s="217"/>
      <c r="AK526" s="217"/>
      <c r="AL526" s="217"/>
      <c r="AM526" s="219"/>
      <c r="AN526" s="219"/>
      <c r="AO526" s="217"/>
      <c r="AP526" s="217"/>
      <c r="AQ526" s="219"/>
      <c r="AR526" s="219"/>
      <c r="AS526" s="217"/>
    </row>
    <row r="527" spans="1:45" x14ac:dyDescent="0.25">
      <c r="A527" s="225"/>
      <c r="B527" s="224"/>
      <c r="C527" s="224"/>
      <c r="D527" s="224"/>
      <c r="E527" s="224"/>
      <c r="F527" s="224"/>
      <c r="G527" s="224"/>
      <c r="H527" s="224"/>
      <c r="I527" s="224"/>
      <c r="J527" s="224"/>
      <c r="K527" s="227"/>
      <c r="L527" s="217"/>
      <c r="M527" s="217"/>
      <c r="N527" s="217"/>
      <c r="O527" s="218"/>
      <c r="P527" s="217"/>
      <c r="Q527" s="219"/>
      <c r="R527" s="217"/>
      <c r="S527" s="217"/>
      <c r="T527" s="217"/>
      <c r="U527" s="217"/>
      <c r="V527" s="219"/>
      <c r="W527" s="219"/>
      <c r="X527" s="219"/>
      <c r="Y527" s="219"/>
      <c r="Z527" s="219"/>
      <c r="AA527" s="217"/>
      <c r="AB527" s="217"/>
      <c r="AC527" s="217"/>
      <c r="AD527" s="219"/>
      <c r="AE527" s="219"/>
      <c r="AF527" s="219"/>
      <c r="AG527" s="219"/>
      <c r="AH527" s="217"/>
      <c r="AI527" s="217"/>
      <c r="AJ527" s="217"/>
      <c r="AK527" s="217"/>
      <c r="AL527" s="217"/>
      <c r="AM527" s="219"/>
      <c r="AN527" s="219"/>
      <c r="AO527" s="217"/>
      <c r="AP527" s="217"/>
      <c r="AQ527" s="219"/>
      <c r="AR527" s="219"/>
      <c r="AS527" s="217"/>
    </row>
    <row r="528" spans="1:45" x14ac:dyDescent="0.25">
      <c r="A528" s="225"/>
      <c r="B528" s="224"/>
      <c r="C528" s="224"/>
      <c r="D528" s="224"/>
      <c r="E528" s="224"/>
      <c r="F528" s="224"/>
      <c r="G528" s="224"/>
      <c r="H528" s="224"/>
      <c r="I528" s="224"/>
      <c r="J528" s="224"/>
      <c r="K528" s="227"/>
      <c r="L528" s="217"/>
      <c r="M528" s="217"/>
      <c r="N528" s="217"/>
      <c r="O528" s="218"/>
      <c r="P528" s="217"/>
      <c r="Q528" s="219"/>
      <c r="R528" s="217"/>
      <c r="S528" s="217"/>
      <c r="T528" s="217"/>
      <c r="U528" s="217"/>
      <c r="V528" s="219"/>
      <c r="W528" s="219"/>
      <c r="X528" s="219"/>
      <c r="Y528" s="219"/>
      <c r="Z528" s="219"/>
      <c r="AA528" s="217"/>
      <c r="AB528" s="217"/>
      <c r="AC528" s="217"/>
      <c r="AD528" s="219"/>
      <c r="AE528" s="219"/>
      <c r="AF528" s="219"/>
      <c r="AG528" s="219"/>
      <c r="AH528" s="217"/>
      <c r="AI528" s="217"/>
      <c r="AJ528" s="217"/>
      <c r="AK528" s="217"/>
      <c r="AL528" s="217"/>
      <c r="AM528" s="219"/>
      <c r="AN528" s="219"/>
      <c r="AO528" s="217"/>
      <c r="AP528" s="217"/>
      <c r="AQ528" s="219"/>
      <c r="AR528" s="219"/>
      <c r="AS528" s="217"/>
    </row>
    <row r="529" spans="1:45" x14ac:dyDescent="0.25">
      <c r="A529" s="225"/>
      <c r="B529" s="224"/>
      <c r="C529" s="224"/>
      <c r="D529" s="224"/>
      <c r="E529" s="224"/>
      <c r="F529" s="224"/>
      <c r="G529" s="224"/>
      <c r="H529" s="224"/>
      <c r="I529" s="224"/>
      <c r="J529" s="224"/>
      <c r="K529" s="227"/>
      <c r="L529" s="217"/>
      <c r="M529" s="217"/>
      <c r="N529" s="217"/>
      <c r="O529" s="218"/>
      <c r="P529" s="217"/>
      <c r="Q529" s="219"/>
      <c r="R529" s="217"/>
      <c r="S529" s="217"/>
      <c r="T529" s="217"/>
      <c r="U529" s="217"/>
      <c r="V529" s="219"/>
      <c r="W529" s="219"/>
      <c r="X529" s="219"/>
      <c r="Y529" s="219"/>
      <c r="Z529" s="219"/>
      <c r="AA529" s="217"/>
      <c r="AB529" s="217"/>
      <c r="AC529" s="217"/>
      <c r="AD529" s="219"/>
      <c r="AE529" s="219"/>
      <c r="AF529" s="219"/>
      <c r="AG529" s="219"/>
      <c r="AH529" s="217"/>
      <c r="AI529" s="217"/>
      <c r="AJ529" s="217"/>
      <c r="AK529" s="217"/>
      <c r="AL529" s="217"/>
      <c r="AM529" s="219"/>
      <c r="AN529" s="219"/>
      <c r="AO529" s="217"/>
      <c r="AP529" s="217"/>
      <c r="AQ529" s="219"/>
      <c r="AR529" s="219"/>
      <c r="AS529" s="217"/>
    </row>
    <row r="530" spans="1:45" x14ac:dyDescent="0.25">
      <c r="A530" s="225"/>
      <c r="B530" s="224"/>
      <c r="C530" s="224"/>
      <c r="D530" s="224"/>
      <c r="E530" s="224"/>
      <c r="F530" s="224"/>
      <c r="G530" s="224"/>
      <c r="H530" s="224"/>
      <c r="I530" s="224"/>
      <c r="J530" s="224"/>
      <c r="K530" s="227"/>
      <c r="L530" s="217"/>
      <c r="M530" s="217"/>
      <c r="N530" s="217"/>
      <c r="O530" s="218"/>
      <c r="P530" s="217"/>
      <c r="Q530" s="219"/>
      <c r="R530" s="217"/>
      <c r="S530" s="217"/>
      <c r="T530" s="217"/>
      <c r="U530" s="217"/>
      <c r="V530" s="219"/>
      <c r="W530" s="219"/>
      <c r="X530" s="219"/>
      <c r="Y530" s="219"/>
      <c r="Z530" s="219"/>
      <c r="AA530" s="217"/>
      <c r="AB530" s="217"/>
      <c r="AC530" s="217"/>
      <c r="AD530" s="219"/>
      <c r="AE530" s="219"/>
      <c r="AF530" s="219"/>
      <c r="AG530" s="219"/>
      <c r="AH530" s="217"/>
      <c r="AI530" s="217"/>
      <c r="AJ530" s="217"/>
      <c r="AK530" s="217"/>
      <c r="AL530" s="217"/>
      <c r="AM530" s="219"/>
      <c r="AN530" s="219"/>
      <c r="AO530" s="217"/>
      <c r="AP530" s="217"/>
      <c r="AQ530" s="219"/>
      <c r="AR530" s="219"/>
      <c r="AS530" s="217"/>
    </row>
    <row r="531" spans="1:45" x14ac:dyDescent="0.25">
      <c r="A531" s="225"/>
      <c r="B531" s="224"/>
      <c r="C531" s="224"/>
      <c r="D531" s="224"/>
      <c r="E531" s="224"/>
      <c r="F531" s="224"/>
      <c r="G531" s="224"/>
      <c r="H531" s="224"/>
      <c r="I531" s="224"/>
      <c r="J531" s="224"/>
      <c r="K531" s="227"/>
      <c r="L531" s="217"/>
      <c r="M531" s="217"/>
      <c r="N531" s="217"/>
      <c r="O531" s="218"/>
      <c r="P531" s="217"/>
      <c r="Q531" s="219"/>
      <c r="R531" s="217"/>
      <c r="S531" s="217"/>
      <c r="T531" s="217"/>
      <c r="U531" s="217"/>
      <c r="V531" s="219"/>
      <c r="W531" s="219"/>
      <c r="X531" s="219"/>
      <c r="Y531" s="219"/>
      <c r="Z531" s="219"/>
      <c r="AA531" s="217"/>
      <c r="AB531" s="217"/>
      <c r="AC531" s="217"/>
      <c r="AD531" s="219"/>
      <c r="AE531" s="219"/>
      <c r="AF531" s="219"/>
      <c r="AG531" s="219"/>
      <c r="AH531" s="217"/>
      <c r="AI531" s="217"/>
      <c r="AJ531" s="217"/>
      <c r="AK531" s="217"/>
      <c r="AL531" s="217"/>
      <c r="AM531" s="219"/>
      <c r="AN531" s="219"/>
      <c r="AO531" s="217"/>
      <c r="AP531" s="217"/>
      <c r="AQ531" s="219"/>
      <c r="AR531" s="219"/>
      <c r="AS531" s="217"/>
    </row>
    <row r="532" spans="1:45" x14ac:dyDescent="0.25">
      <c r="A532" s="225"/>
      <c r="B532" s="224"/>
      <c r="C532" s="224"/>
      <c r="D532" s="224"/>
      <c r="E532" s="224"/>
      <c r="F532" s="224"/>
      <c r="G532" s="224"/>
      <c r="H532" s="224"/>
      <c r="I532" s="224"/>
      <c r="J532" s="224"/>
      <c r="K532" s="227"/>
      <c r="L532" s="217"/>
      <c r="M532" s="217"/>
      <c r="N532" s="217"/>
      <c r="O532" s="218"/>
      <c r="P532" s="217"/>
      <c r="Q532" s="219"/>
      <c r="R532" s="217"/>
      <c r="S532" s="217"/>
      <c r="T532" s="217"/>
      <c r="U532" s="217"/>
      <c r="V532" s="219"/>
      <c r="W532" s="219"/>
      <c r="X532" s="219"/>
      <c r="Y532" s="219"/>
      <c r="Z532" s="219"/>
      <c r="AA532" s="217"/>
      <c r="AB532" s="217"/>
      <c r="AC532" s="217"/>
      <c r="AD532" s="219"/>
      <c r="AE532" s="219"/>
      <c r="AF532" s="219"/>
      <c r="AG532" s="219"/>
      <c r="AH532" s="217"/>
      <c r="AI532" s="217"/>
      <c r="AJ532" s="217"/>
      <c r="AK532" s="217"/>
      <c r="AL532" s="217"/>
      <c r="AM532" s="219"/>
      <c r="AN532" s="219"/>
      <c r="AO532" s="217"/>
      <c r="AP532" s="217"/>
      <c r="AQ532" s="219"/>
      <c r="AR532" s="219"/>
      <c r="AS532" s="217"/>
    </row>
    <row r="533" spans="1:45" x14ac:dyDescent="0.25">
      <c r="A533" s="225"/>
      <c r="B533" s="224"/>
      <c r="C533" s="224"/>
      <c r="D533" s="224"/>
      <c r="E533" s="224"/>
      <c r="F533" s="224"/>
      <c r="G533" s="224"/>
      <c r="H533" s="224"/>
      <c r="I533" s="224"/>
      <c r="J533" s="224"/>
      <c r="K533" s="227"/>
      <c r="L533" s="217"/>
      <c r="M533" s="217"/>
      <c r="N533" s="217"/>
      <c r="O533" s="218"/>
      <c r="P533" s="217"/>
      <c r="Q533" s="219"/>
      <c r="R533" s="217"/>
      <c r="S533" s="217"/>
      <c r="T533" s="217"/>
      <c r="U533" s="217"/>
      <c r="V533" s="219"/>
      <c r="W533" s="219"/>
      <c r="X533" s="219"/>
      <c r="Y533" s="219"/>
      <c r="Z533" s="219"/>
      <c r="AA533" s="217"/>
      <c r="AB533" s="217"/>
      <c r="AC533" s="217"/>
      <c r="AD533" s="219"/>
      <c r="AE533" s="219"/>
      <c r="AF533" s="219"/>
      <c r="AG533" s="219"/>
      <c r="AH533" s="217"/>
      <c r="AI533" s="217"/>
      <c r="AJ533" s="217"/>
      <c r="AK533" s="217"/>
      <c r="AL533" s="217"/>
      <c r="AM533" s="219"/>
      <c r="AN533" s="219"/>
      <c r="AO533" s="217"/>
      <c r="AP533" s="217"/>
      <c r="AQ533" s="219"/>
      <c r="AR533" s="219"/>
      <c r="AS533" s="217"/>
    </row>
    <row r="534" spans="1:45" x14ac:dyDescent="0.25">
      <c r="A534" s="225"/>
      <c r="B534" s="224"/>
      <c r="C534" s="224"/>
      <c r="D534" s="224"/>
      <c r="E534" s="224"/>
      <c r="F534" s="224"/>
      <c r="G534" s="224"/>
      <c r="H534" s="224"/>
      <c r="I534" s="224"/>
      <c r="J534" s="224"/>
      <c r="K534" s="227"/>
      <c r="L534" s="217"/>
      <c r="M534" s="217"/>
      <c r="N534" s="217"/>
      <c r="O534" s="218"/>
      <c r="P534" s="217"/>
      <c r="Q534" s="219"/>
      <c r="R534" s="217"/>
      <c r="S534" s="217"/>
      <c r="T534" s="217"/>
      <c r="U534" s="217"/>
      <c r="V534" s="219"/>
      <c r="W534" s="219"/>
      <c r="X534" s="219"/>
      <c r="Y534" s="219"/>
      <c r="Z534" s="219"/>
      <c r="AA534" s="217"/>
      <c r="AB534" s="217"/>
      <c r="AC534" s="217"/>
      <c r="AD534" s="219"/>
      <c r="AE534" s="219"/>
      <c r="AF534" s="219"/>
      <c r="AG534" s="219"/>
      <c r="AH534" s="217"/>
      <c r="AI534" s="217"/>
      <c r="AJ534" s="217"/>
      <c r="AK534" s="217"/>
      <c r="AL534" s="217"/>
      <c r="AM534" s="219"/>
      <c r="AN534" s="219"/>
      <c r="AO534" s="217"/>
      <c r="AP534" s="217"/>
      <c r="AQ534" s="219"/>
      <c r="AR534" s="219"/>
      <c r="AS534" s="217"/>
    </row>
    <row r="535" spans="1:45" x14ac:dyDescent="0.25">
      <c r="A535" s="225"/>
      <c r="B535" s="224"/>
      <c r="C535" s="224"/>
      <c r="D535" s="224"/>
      <c r="E535" s="224"/>
      <c r="F535" s="224"/>
      <c r="G535" s="224"/>
      <c r="H535" s="224"/>
      <c r="I535" s="224"/>
      <c r="J535" s="224"/>
      <c r="K535" s="227"/>
      <c r="L535" s="217"/>
      <c r="M535" s="217"/>
      <c r="N535" s="217"/>
      <c r="O535" s="218"/>
      <c r="P535" s="217"/>
      <c r="Q535" s="219"/>
      <c r="R535" s="217"/>
      <c r="S535" s="217"/>
      <c r="T535" s="217"/>
      <c r="U535" s="217"/>
      <c r="V535" s="219"/>
      <c r="W535" s="219"/>
      <c r="X535" s="219"/>
      <c r="Y535" s="219"/>
      <c r="Z535" s="219"/>
      <c r="AA535" s="217"/>
      <c r="AB535" s="217"/>
      <c r="AC535" s="217"/>
      <c r="AD535" s="219"/>
      <c r="AE535" s="219"/>
      <c r="AF535" s="219"/>
      <c r="AG535" s="219"/>
      <c r="AH535" s="217"/>
      <c r="AI535" s="217"/>
      <c r="AJ535" s="217"/>
      <c r="AK535" s="217"/>
      <c r="AL535" s="217"/>
      <c r="AM535" s="219"/>
      <c r="AN535" s="219"/>
      <c r="AO535" s="217"/>
      <c r="AP535" s="217"/>
      <c r="AQ535" s="219"/>
      <c r="AR535" s="219"/>
      <c r="AS535" s="217"/>
    </row>
    <row r="536" spans="1:45" x14ac:dyDescent="0.25">
      <c r="A536" s="225"/>
      <c r="B536" s="224"/>
      <c r="C536" s="224"/>
      <c r="D536" s="224"/>
      <c r="E536" s="224"/>
      <c r="F536" s="224"/>
      <c r="G536" s="224"/>
      <c r="H536" s="224"/>
      <c r="I536" s="224"/>
      <c r="J536" s="224"/>
      <c r="K536" s="227"/>
      <c r="L536" s="217"/>
      <c r="M536" s="217"/>
      <c r="N536" s="217"/>
      <c r="O536" s="218"/>
      <c r="P536" s="217"/>
      <c r="Q536" s="219"/>
      <c r="R536" s="217"/>
      <c r="S536" s="217"/>
      <c r="T536" s="217"/>
      <c r="U536" s="217"/>
      <c r="V536" s="219"/>
      <c r="W536" s="219"/>
      <c r="X536" s="219"/>
      <c r="Y536" s="219"/>
      <c r="Z536" s="219"/>
      <c r="AA536" s="217"/>
      <c r="AB536" s="217"/>
      <c r="AC536" s="217"/>
      <c r="AD536" s="219"/>
      <c r="AE536" s="219"/>
      <c r="AF536" s="219"/>
      <c r="AG536" s="219"/>
      <c r="AH536" s="217"/>
      <c r="AI536" s="217"/>
      <c r="AJ536" s="217"/>
      <c r="AK536" s="217"/>
      <c r="AL536" s="217"/>
      <c r="AM536" s="219"/>
      <c r="AN536" s="219"/>
      <c r="AO536" s="217"/>
      <c r="AP536" s="217"/>
      <c r="AQ536" s="219"/>
      <c r="AR536" s="219"/>
      <c r="AS536" s="217"/>
    </row>
    <row r="537" spans="1:45" x14ac:dyDescent="0.25">
      <c r="A537" s="225"/>
      <c r="B537" s="224"/>
      <c r="C537" s="224"/>
      <c r="D537" s="224"/>
      <c r="E537" s="224"/>
      <c r="F537" s="224"/>
      <c r="G537" s="224"/>
      <c r="H537" s="224"/>
      <c r="I537" s="224"/>
      <c r="J537" s="224"/>
      <c r="K537" s="227"/>
      <c r="L537" s="217"/>
      <c r="M537" s="217"/>
      <c r="N537" s="217"/>
      <c r="O537" s="218"/>
      <c r="P537" s="217"/>
      <c r="Q537" s="219"/>
      <c r="R537" s="217"/>
      <c r="S537" s="217"/>
      <c r="T537" s="217"/>
      <c r="U537" s="217"/>
      <c r="V537" s="219"/>
      <c r="W537" s="219"/>
      <c r="X537" s="219"/>
      <c r="Y537" s="219"/>
      <c r="Z537" s="219"/>
      <c r="AA537" s="217"/>
      <c r="AB537" s="217"/>
      <c r="AC537" s="217"/>
      <c r="AD537" s="219"/>
      <c r="AE537" s="219"/>
      <c r="AF537" s="219"/>
      <c r="AG537" s="219"/>
      <c r="AH537" s="217"/>
      <c r="AI537" s="217"/>
      <c r="AJ537" s="217"/>
      <c r="AK537" s="217"/>
      <c r="AL537" s="217"/>
      <c r="AM537" s="219"/>
      <c r="AN537" s="219"/>
      <c r="AO537" s="217"/>
      <c r="AP537" s="217"/>
      <c r="AQ537" s="219"/>
      <c r="AR537" s="219"/>
      <c r="AS537" s="217"/>
    </row>
    <row r="538" spans="1:45" x14ac:dyDescent="0.25">
      <c r="A538" s="225"/>
      <c r="B538" s="224"/>
      <c r="C538" s="224"/>
      <c r="D538" s="224"/>
      <c r="E538" s="224"/>
      <c r="F538" s="224"/>
      <c r="G538" s="224"/>
      <c r="H538" s="224"/>
      <c r="I538" s="224"/>
      <c r="J538" s="224"/>
      <c r="K538" s="227"/>
      <c r="L538" s="217"/>
      <c r="M538" s="217"/>
      <c r="N538" s="217"/>
      <c r="O538" s="218"/>
      <c r="P538" s="217"/>
      <c r="Q538" s="219"/>
      <c r="R538" s="217"/>
      <c r="S538" s="217"/>
      <c r="T538" s="217"/>
      <c r="U538" s="217"/>
      <c r="V538" s="219"/>
      <c r="W538" s="219"/>
      <c r="X538" s="219"/>
      <c r="Y538" s="219"/>
      <c r="Z538" s="219"/>
      <c r="AA538" s="217"/>
      <c r="AB538" s="217"/>
      <c r="AC538" s="217"/>
      <c r="AD538" s="219"/>
      <c r="AE538" s="219"/>
      <c r="AF538" s="219"/>
      <c r="AG538" s="219"/>
      <c r="AH538" s="217"/>
      <c r="AI538" s="217"/>
      <c r="AJ538" s="217"/>
      <c r="AK538" s="217"/>
      <c r="AL538" s="217"/>
      <c r="AM538" s="219"/>
      <c r="AN538" s="219"/>
      <c r="AO538" s="217"/>
      <c r="AP538" s="217"/>
      <c r="AQ538" s="219"/>
      <c r="AR538" s="219"/>
      <c r="AS538" s="217"/>
    </row>
    <row r="539" spans="1:45" x14ac:dyDescent="0.25">
      <c r="A539" s="225"/>
      <c r="B539" s="224"/>
      <c r="C539" s="224"/>
      <c r="D539" s="224"/>
      <c r="E539" s="224"/>
      <c r="F539" s="224"/>
      <c r="G539" s="224"/>
      <c r="H539" s="224"/>
      <c r="I539" s="224"/>
      <c r="J539" s="224"/>
      <c r="K539" s="227"/>
      <c r="L539" s="217"/>
      <c r="M539" s="217"/>
      <c r="N539" s="217"/>
      <c r="O539" s="218"/>
      <c r="P539" s="217"/>
      <c r="Q539" s="219"/>
      <c r="R539" s="217"/>
      <c r="S539" s="217"/>
      <c r="T539" s="217"/>
      <c r="U539" s="217"/>
      <c r="V539" s="219"/>
      <c r="W539" s="219"/>
      <c r="X539" s="219"/>
      <c r="Y539" s="219"/>
      <c r="Z539" s="219"/>
      <c r="AA539" s="217"/>
      <c r="AB539" s="217"/>
      <c r="AC539" s="217"/>
      <c r="AD539" s="219"/>
      <c r="AE539" s="219"/>
      <c r="AF539" s="219"/>
      <c r="AG539" s="219"/>
      <c r="AH539" s="217"/>
      <c r="AI539" s="217"/>
      <c r="AJ539" s="217"/>
      <c r="AK539" s="217"/>
      <c r="AL539" s="217"/>
      <c r="AM539" s="219"/>
      <c r="AN539" s="219"/>
      <c r="AO539" s="217"/>
      <c r="AP539" s="217"/>
      <c r="AQ539" s="219"/>
      <c r="AR539" s="219"/>
      <c r="AS539" s="217"/>
    </row>
    <row r="540" spans="1:45" x14ac:dyDescent="0.25">
      <c r="A540" s="225"/>
      <c r="B540" s="224"/>
      <c r="C540" s="224"/>
      <c r="D540" s="224"/>
      <c r="E540" s="224"/>
      <c r="F540" s="224"/>
      <c r="G540" s="224"/>
      <c r="H540" s="224"/>
      <c r="I540" s="224"/>
      <c r="J540" s="224"/>
      <c r="K540" s="227"/>
      <c r="L540" s="217"/>
      <c r="M540" s="217"/>
      <c r="N540" s="217"/>
      <c r="O540" s="218"/>
      <c r="P540" s="217"/>
      <c r="Q540" s="219"/>
      <c r="R540" s="217"/>
      <c r="S540" s="217"/>
      <c r="T540" s="217"/>
      <c r="U540" s="217"/>
      <c r="V540" s="219"/>
      <c r="W540" s="219"/>
      <c r="X540" s="219"/>
      <c r="Y540" s="219"/>
      <c r="Z540" s="219"/>
      <c r="AA540" s="217"/>
      <c r="AB540" s="217"/>
      <c r="AC540" s="217"/>
      <c r="AD540" s="219"/>
      <c r="AE540" s="219"/>
      <c r="AF540" s="219"/>
      <c r="AG540" s="219"/>
      <c r="AH540" s="217"/>
      <c r="AI540" s="217"/>
      <c r="AJ540" s="217"/>
      <c r="AK540" s="217"/>
      <c r="AL540" s="217"/>
      <c r="AM540" s="219"/>
      <c r="AN540" s="219"/>
      <c r="AO540" s="217"/>
      <c r="AP540" s="217"/>
      <c r="AQ540" s="219"/>
      <c r="AR540" s="219"/>
      <c r="AS540" s="217"/>
    </row>
    <row r="541" spans="1:45" x14ac:dyDescent="0.25">
      <c r="A541" s="225"/>
      <c r="B541" s="224"/>
      <c r="C541" s="224"/>
      <c r="D541" s="224"/>
      <c r="E541" s="224"/>
      <c r="F541" s="224"/>
      <c r="G541" s="224"/>
      <c r="H541" s="224"/>
      <c r="I541" s="224"/>
      <c r="J541" s="224"/>
      <c r="K541" s="227"/>
      <c r="L541" s="217"/>
      <c r="M541" s="217"/>
      <c r="N541" s="217"/>
      <c r="O541" s="218"/>
      <c r="P541" s="217"/>
      <c r="Q541" s="219"/>
      <c r="R541" s="217"/>
      <c r="S541" s="217"/>
      <c r="T541" s="217"/>
      <c r="U541" s="217"/>
      <c r="V541" s="219"/>
      <c r="W541" s="219"/>
      <c r="X541" s="219"/>
      <c r="Y541" s="219"/>
      <c r="Z541" s="219"/>
      <c r="AA541" s="217"/>
      <c r="AB541" s="217"/>
      <c r="AC541" s="217"/>
      <c r="AD541" s="219"/>
      <c r="AE541" s="219"/>
      <c r="AF541" s="219"/>
      <c r="AG541" s="219"/>
      <c r="AH541" s="217"/>
      <c r="AI541" s="217"/>
      <c r="AJ541" s="217"/>
      <c r="AK541" s="217"/>
      <c r="AL541" s="217"/>
      <c r="AM541" s="219"/>
      <c r="AN541" s="219"/>
      <c r="AO541" s="217"/>
      <c r="AP541" s="217"/>
      <c r="AQ541" s="219"/>
      <c r="AR541" s="219"/>
      <c r="AS541" s="217"/>
    </row>
    <row r="542" spans="1:45" x14ac:dyDescent="0.25">
      <c r="A542" s="225"/>
      <c r="B542" s="224"/>
      <c r="C542" s="224"/>
      <c r="D542" s="224"/>
      <c r="E542" s="224"/>
      <c r="F542" s="224"/>
      <c r="G542" s="224"/>
      <c r="H542" s="224"/>
      <c r="I542" s="224"/>
      <c r="J542" s="224"/>
      <c r="K542" s="227"/>
      <c r="L542" s="217"/>
      <c r="M542" s="217"/>
      <c r="N542" s="217"/>
      <c r="O542" s="218"/>
      <c r="P542" s="217"/>
      <c r="Q542" s="219"/>
      <c r="R542" s="217"/>
      <c r="S542" s="217"/>
      <c r="T542" s="217"/>
      <c r="U542" s="217"/>
      <c r="V542" s="219"/>
      <c r="W542" s="219"/>
      <c r="X542" s="219"/>
      <c r="Y542" s="219"/>
      <c r="Z542" s="219"/>
      <c r="AA542" s="217"/>
      <c r="AB542" s="217"/>
      <c r="AC542" s="217"/>
      <c r="AD542" s="219"/>
      <c r="AE542" s="219"/>
      <c r="AF542" s="219"/>
      <c r="AG542" s="219"/>
      <c r="AH542" s="217"/>
      <c r="AI542" s="217"/>
      <c r="AJ542" s="217"/>
      <c r="AK542" s="217"/>
      <c r="AL542" s="217"/>
      <c r="AM542" s="219"/>
      <c r="AN542" s="219"/>
      <c r="AO542" s="217"/>
      <c r="AP542" s="217"/>
      <c r="AQ542" s="219"/>
      <c r="AR542" s="219"/>
      <c r="AS542" s="217"/>
    </row>
    <row r="543" spans="1:45" x14ac:dyDescent="0.25">
      <c r="A543" s="225"/>
      <c r="B543" s="224"/>
      <c r="C543" s="224"/>
      <c r="D543" s="224"/>
      <c r="E543" s="224"/>
      <c r="F543" s="224"/>
      <c r="G543" s="224"/>
      <c r="H543" s="224"/>
      <c r="I543" s="224"/>
      <c r="J543" s="224"/>
      <c r="K543" s="227"/>
      <c r="L543" s="217"/>
      <c r="M543" s="217"/>
      <c r="N543" s="217"/>
      <c r="O543" s="218"/>
      <c r="P543" s="217"/>
      <c r="Q543" s="219"/>
      <c r="R543" s="217"/>
      <c r="S543" s="217"/>
      <c r="T543" s="217"/>
      <c r="U543" s="217"/>
      <c r="V543" s="219"/>
      <c r="W543" s="219"/>
      <c r="X543" s="219"/>
      <c r="Y543" s="219"/>
      <c r="Z543" s="219"/>
      <c r="AA543" s="217"/>
      <c r="AB543" s="217"/>
      <c r="AC543" s="217"/>
      <c r="AD543" s="219"/>
      <c r="AE543" s="219"/>
      <c r="AF543" s="219"/>
      <c r="AG543" s="219"/>
      <c r="AH543" s="217"/>
      <c r="AI543" s="217"/>
      <c r="AJ543" s="217"/>
      <c r="AK543" s="217"/>
      <c r="AL543" s="217"/>
      <c r="AM543" s="219"/>
      <c r="AN543" s="219"/>
      <c r="AO543" s="217"/>
      <c r="AP543" s="217"/>
      <c r="AQ543" s="219"/>
      <c r="AR543" s="219"/>
      <c r="AS543" s="217"/>
    </row>
    <row r="544" spans="1:45" x14ac:dyDescent="0.25">
      <c r="A544" s="225"/>
      <c r="B544" s="224"/>
      <c r="C544" s="224"/>
      <c r="D544" s="224"/>
      <c r="E544" s="224"/>
      <c r="F544" s="224"/>
      <c r="G544" s="224"/>
      <c r="H544" s="224"/>
      <c r="I544" s="224"/>
      <c r="J544" s="224"/>
      <c r="K544" s="227"/>
    </row>
    <row r="563" spans="10:45" x14ac:dyDescent="0.25">
      <c r="L563" s="222"/>
      <c r="M563" s="222"/>
      <c r="N563" s="222"/>
      <c r="O563" s="222"/>
      <c r="P563" s="222"/>
      <c r="Q563" s="222"/>
      <c r="R563" s="222"/>
      <c r="S563" s="222"/>
      <c r="T563" s="222"/>
      <c r="U563" s="222"/>
      <c r="V563" s="222"/>
      <c r="W563" s="222"/>
      <c r="X563" s="222"/>
      <c r="Y563" s="222"/>
      <c r="Z563" s="222"/>
      <c r="AA563" s="222"/>
      <c r="AB563" s="222"/>
      <c r="AC563" s="222"/>
      <c r="AD563" s="222"/>
      <c r="AE563" s="222"/>
      <c r="AF563" s="222"/>
      <c r="AG563" s="222"/>
      <c r="AH563" s="222"/>
      <c r="AI563" s="222"/>
      <c r="AJ563" s="222"/>
      <c r="AK563" s="222"/>
      <c r="AL563" s="222"/>
      <c r="AM563" s="222"/>
      <c r="AN563" s="222"/>
      <c r="AO563" s="222"/>
      <c r="AP563" s="222"/>
      <c r="AQ563" s="222"/>
      <c r="AR563" s="222"/>
      <c r="AS563" s="222"/>
    </row>
    <row r="564" spans="10:45" s="222" customFormat="1" x14ac:dyDescent="0.25">
      <c r="J564" s="231"/>
      <c r="K564" s="229"/>
    </row>
    <row r="565" spans="10:45" s="222" customFormat="1" x14ac:dyDescent="0.25">
      <c r="J565" s="231"/>
      <c r="K565" s="229"/>
    </row>
    <row r="566" spans="10:45" s="222" customFormat="1" x14ac:dyDescent="0.25">
      <c r="J566" s="231"/>
      <c r="K566" s="229"/>
    </row>
    <row r="567" spans="10:45" s="222" customFormat="1" x14ac:dyDescent="0.25">
      <c r="J567" s="231"/>
      <c r="K567" s="229"/>
    </row>
    <row r="568" spans="10:45" s="222" customFormat="1" x14ac:dyDescent="0.25">
      <c r="J568" s="231"/>
      <c r="K568" s="229"/>
    </row>
    <row r="569" spans="10:45" s="222" customFormat="1" x14ac:dyDescent="0.25">
      <c r="J569" s="231"/>
      <c r="K569" s="229"/>
    </row>
    <row r="570" spans="10:45" s="222" customFormat="1" x14ac:dyDescent="0.25">
      <c r="J570" s="231"/>
      <c r="K570" s="229"/>
    </row>
    <row r="571" spans="10:45" s="222" customFormat="1" x14ac:dyDescent="0.25">
      <c r="J571" s="231"/>
      <c r="K571" s="229"/>
    </row>
    <row r="572" spans="10:45" s="222" customFormat="1" x14ac:dyDescent="0.25">
      <c r="J572" s="231"/>
      <c r="K572" s="229"/>
    </row>
    <row r="573" spans="10:45" s="222" customFormat="1" x14ac:dyDescent="0.25">
      <c r="J573" s="231"/>
      <c r="K573" s="229"/>
    </row>
    <row r="574" spans="10:45" s="222" customFormat="1" x14ac:dyDescent="0.25">
      <c r="J574" s="231"/>
      <c r="K574" s="229"/>
    </row>
    <row r="575" spans="10:45" s="222" customFormat="1" x14ac:dyDescent="0.25">
      <c r="J575" s="231"/>
      <c r="K575" s="229"/>
    </row>
    <row r="576" spans="10:45" s="222" customFormat="1" x14ac:dyDescent="0.25">
      <c r="J576" s="231"/>
      <c r="K576" s="229"/>
    </row>
    <row r="577" spans="10:11" s="222" customFormat="1" x14ac:dyDescent="0.25">
      <c r="J577" s="231"/>
      <c r="K577" s="229"/>
    </row>
    <row r="578" spans="10:11" s="222" customFormat="1" x14ac:dyDescent="0.25">
      <c r="J578" s="231"/>
      <c r="K578" s="229"/>
    </row>
    <row r="579" spans="10:11" s="222" customFormat="1" x14ac:dyDescent="0.25">
      <c r="J579" s="231"/>
      <c r="K579" s="229"/>
    </row>
    <row r="580" spans="10:11" s="222" customFormat="1" x14ac:dyDescent="0.25">
      <c r="J580" s="231"/>
      <c r="K580" s="229"/>
    </row>
    <row r="581" spans="10:11" s="222" customFormat="1" x14ac:dyDescent="0.25">
      <c r="J581" s="231"/>
      <c r="K581" s="229"/>
    </row>
    <row r="582" spans="10:11" s="222" customFormat="1" x14ac:dyDescent="0.25">
      <c r="J582" s="231"/>
      <c r="K582" s="229"/>
    </row>
    <row r="583" spans="10:11" s="222" customFormat="1" x14ac:dyDescent="0.25">
      <c r="J583" s="231"/>
      <c r="K583" s="229"/>
    </row>
    <row r="584" spans="10:11" s="222" customFormat="1" x14ac:dyDescent="0.25">
      <c r="J584" s="231"/>
      <c r="K584" s="229"/>
    </row>
    <row r="585" spans="10:11" s="222" customFormat="1" x14ac:dyDescent="0.25">
      <c r="J585" s="231"/>
      <c r="K585" s="229"/>
    </row>
    <row r="586" spans="10:11" s="222" customFormat="1" x14ac:dyDescent="0.25">
      <c r="J586" s="231"/>
      <c r="K586" s="229"/>
    </row>
    <row r="587" spans="10:11" s="222" customFormat="1" x14ac:dyDescent="0.25">
      <c r="J587" s="231"/>
      <c r="K587" s="229"/>
    </row>
    <row r="588" spans="10:11" s="222" customFormat="1" x14ac:dyDescent="0.25">
      <c r="J588" s="231"/>
      <c r="K588" s="229"/>
    </row>
    <row r="589" spans="10:11" s="222" customFormat="1" x14ac:dyDescent="0.25">
      <c r="J589" s="231"/>
      <c r="K589" s="229"/>
    </row>
    <row r="590" spans="10:11" s="222" customFormat="1" x14ac:dyDescent="0.25">
      <c r="J590" s="231"/>
      <c r="K590" s="229"/>
    </row>
    <row r="591" spans="10:11" s="222" customFormat="1" x14ac:dyDescent="0.25">
      <c r="J591" s="231"/>
      <c r="K591" s="229"/>
    </row>
    <row r="592" spans="10:11" s="222" customFormat="1" x14ac:dyDescent="0.25">
      <c r="J592" s="231"/>
      <c r="K592" s="229"/>
    </row>
    <row r="593" spans="10:11" s="222" customFormat="1" x14ac:dyDescent="0.25">
      <c r="J593" s="231"/>
      <c r="K593" s="229"/>
    </row>
    <row r="594" spans="10:11" s="222" customFormat="1" x14ac:dyDescent="0.25">
      <c r="J594" s="231"/>
      <c r="K594" s="229"/>
    </row>
    <row r="595" spans="10:11" s="222" customFormat="1" x14ac:dyDescent="0.25">
      <c r="J595" s="231"/>
      <c r="K595" s="229"/>
    </row>
    <row r="596" spans="10:11" s="222" customFormat="1" x14ac:dyDescent="0.25">
      <c r="J596" s="231"/>
      <c r="K596" s="229"/>
    </row>
    <row r="597" spans="10:11" s="222" customFormat="1" x14ac:dyDescent="0.25">
      <c r="J597" s="231"/>
      <c r="K597" s="229"/>
    </row>
    <row r="598" spans="10:11" s="222" customFormat="1" x14ac:dyDescent="0.25">
      <c r="J598" s="231"/>
      <c r="K598" s="229"/>
    </row>
    <row r="599" spans="10:11" s="222" customFormat="1" x14ac:dyDescent="0.25">
      <c r="J599" s="231"/>
      <c r="K599" s="229"/>
    </row>
    <row r="600" spans="10:11" s="222" customFormat="1" x14ac:dyDescent="0.25">
      <c r="J600" s="231"/>
      <c r="K600" s="229"/>
    </row>
    <row r="601" spans="10:11" s="222" customFormat="1" x14ac:dyDescent="0.25">
      <c r="J601" s="231"/>
      <c r="K601" s="229"/>
    </row>
    <row r="602" spans="10:11" s="222" customFormat="1" x14ac:dyDescent="0.25">
      <c r="J602" s="231"/>
      <c r="K602" s="229"/>
    </row>
    <row r="603" spans="10:11" s="222" customFormat="1" x14ac:dyDescent="0.25">
      <c r="J603" s="231"/>
      <c r="K603" s="229"/>
    </row>
    <row r="604" spans="10:11" s="222" customFormat="1" x14ac:dyDescent="0.25">
      <c r="J604" s="231"/>
      <c r="K604" s="229"/>
    </row>
    <row r="605" spans="10:11" s="222" customFormat="1" x14ac:dyDescent="0.25">
      <c r="J605" s="231"/>
      <c r="K605" s="229"/>
    </row>
    <row r="606" spans="10:11" s="222" customFormat="1" x14ac:dyDescent="0.25">
      <c r="J606" s="231"/>
      <c r="K606" s="229"/>
    </row>
    <row r="607" spans="10:11" s="222" customFormat="1" x14ac:dyDescent="0.25">
      <c r="J607" s="231"/>
      <c r="K607" s="229"/>
    </row>
    <row r="608" spans="10:11" s="222" customFormat="1" x14ac:dyDescent="0.25">
      <c r="J608" s="231"/>
      <c r="K608" s="229"/>
    </row>
    <row r="609" spans="10:45" s="222" customFormat="1" x14ac:dyDescent="0.25">
      <c r="J609" s="231"/>
      <c r="K609" s="229"/>
    </row>
    <row r="610" spans="10:45" s="222" customFormat="1" x14ac:dyDescent="0.25">
      <c r="J610" s="231"/>
      <c r="K610" s="229"/>
    </row>
    <row r="611" spans="10:45" s="222" customFormat="1" x14ac:dyDescent="0.25">
      <c r="J611" s="231"/>
      <c r="K611" s="229"/>
      <c r="L611" s="181"/>
      <c r="M611" s="180"/>
      <c r="N611"/>
      <c r="O611"/>
      <c r="P611"/>
      <c r="Q611"/>
      <c r="R611"/>
      <c r="S611"/>
      <c r="T611"/>
      <c r="U611"/>
      <c r="V611"/>
      <c r="W611"/>
      <c r="X611"/>
      <c r="Y611"/>
      <c r="Z611"/>
      <c r="AA611"/>
      <c r="AB611"/>
      <c r="AC611"/>
      <c r="AD611"/>
      <c r="AE611"/>
      <c r="AF611"/>
      <c r="AG611"/>
      <c r="AH611"/>
      <c r="AI611"/>
      <c r="AJ611"/>
      <c r="AK611"/>
      <c r="AL611"/>
      <c r="AM611"/>
      <c r="AN611"/>
      <c r="AO611"/>
      <c r="AP611"/>
      <c r="AQ611"/>
      <c r="AR611"/>
      <c r="AS611"/>
    </row>
    <row r="648" spans="10:45" x14ac:dyDescent="0.25">
      <c r="L648" s="222"/>
      <c r="M648" s="222"/>
      <c r="N648" s="222"/>
      <c r="O648" s="222"/>
      <c r="P648" s="222"/>
      <c r="Q648" s="222"/>
      <c r="R648" s="222"/>
      <c r="S648" s="222"/>
      <c r="T648" s="222"/>
      <c r="U648" s="222"/>
      <c r="V648" s="222"/>
      <c r="W648" s="222"/>
      <c r="X648" s="222"/>
      <c r="Y648" s="222"/>
      <c r="Z648" s="222"/>
      <c r="AA648" s="222"/>
      <c r="AB648" s="222"/>
      <c r="AC648" s="222"/>
      <c r="AD648" s="222"/>
      <c r="AE648" s="222"/>
      <c r="AF648" s="222"/>
      <c r="AG648" s="222"/>
      <c r="AH648" s="222"/>
      <c r="AI648" s="222"/>
      <c r="AJ648" s="222"/>
      <c r="AK648" s="222"/>
      <c r="AL648" s="222"/>
      <c r="AM648" s="222"/>
      <c r="AN648" s="222"/>
      <c r="AO648" s="222"/>
      <c r="AP648" s="222"/>
      <c r="AQ648" s="222"/>
      <c r="AR648" s="222"/>
      <c r="AS648" s="222"/>
    </row>
    <row r="649" spans="10:45" s="222" customFormat="1" x14ac:dyDescent="0.25">
      <c r="J649" s="231"/>
      <c r="K649" s="229"/>
    </row>
    <row r="650" spans="10:45" s="222" customFormat="1" x14ac:dyDescent="0.25">
      <c r="J650" s="231"/>
      <c r="K650" s="229"/>
    </row>
    <row r="651" spans="10:45" s="222" customFormat="1" x14ac:dyDescent="0.25">
      <c r="J651" s="231"/>
      <c r="K651" s="229"/>
    </row>
    <row r="652" spans="10:45" s="222" customFormat="1" x14ac:dyDescent="0.25">
      <c r="J652" s="231"/>
      <c r="K652" s="229"/>
    </row>
    <row r="653" spans="10:45" s="222" customFormat="1" x14ac:dyDescent="0.25">
      <c r="J653" s="231"/>
      <c r="K653" s="229"/>
    </row>
    <row r="654" spans="10:45" s="222" customFormat="1" x14ac:dyDescent="0.25">
      <c r="J654" s="231"/>
      <c r="K654" s="229"/>
    </row>
    <row r="655" spans="10:45" s="222" customFormat="1" x14ac:dyDescent="0.25">
      <c r="J655" s="231"/>
      <c r="K655" s="229"/>
    </row>
    <row r="656" spans="10:45" s="222" customFormat="1" x14ac:dyDescent="0.25">
      <c r="J656" s="231"/>
      <c r="K656" s="229"/>
    </row>
    <row r="657" spans="10:11" s="222" customFormat="1" x14ac:dyDescent="0.25">
      <c r="J657" s="231"/>
      <c r="K657" s="229"/>
    </row>
    <row r="658" spans="10:11" s="222" customFormat="1" x14ac:dyDescent="0.25">
      <c r="J658" s="231"/>
      <c r="K658" s="229"/>
    </row>
    <row r="659" spans="10:11" s="222" customFormat="1" x14ac:dyDescent="0.25">
      <c r="J659" s="231"/>
      <c r="K659" s="229"/>
    </row>
    <row r="660" spans="10:11" s="222" customFormat="1" x14ac:dyDescent="0.25">
      <c r="J660" s="231"/>
      <c r="K660" s="229"/>
    </row>
    <row r="661" spans="10:11" s="222" customFormat="1" x14ac:dyDescent="0.25">
      <c r="J661" s="231"/>
      <c r="K661" s="229"/>
    </row>
    <row r="662" spans="10:11" s="222" customFormat="1" x14ac:dyDescent="0.25">
      <c r="J662" s="231"/>
      <c r="K662" s="229"/>
    </row>
    <row r="663" spans="10:11" s="222" customFormat="1" x14ac:dyDescent="0.25">
      <c r="J663" s="231"/>
      <c r="K663" s="229"/>
    </row>
    <row r="664" spans="10:11" s="222" customFormat="1" x14ac:dyDescent="0.25">
      <c r="J664" s="231"/>
      <c r="K664" s="229"/>
    </row>
    <row r="665" spans="10:11" s="222" customFormat="1" x14ac:dyDescent="0.25">
      <c r="J665" s="231"/>
      <c r="K665" s="229"/>
    </row>
    <row r="666" spans="10:11" s="222" customFormat="1" x14ac:dyDescent="0.25">
      <c r="J666" s="231"/>
      <c r="K666" s="229"/>
    </row>
    <row r="667" spans="10:11" s="222" customFormat="1" x14ac:dyDescent="0.25">
      <c r="J667" s="231"/>
      <c r="K667" s="229"/>
    </row>
    <row r="668" spans="10:11" s="222" customFormat="1" x14ac:dyDescent="0.25">
      <c r="J668" s="231"/>
      <c r="K668" s="229"/>
    </row>
    <row r="669" spans="10:11" s="222" customFormat="1" x14ac:dyDescent="0.25">
      <c r="J669" s="231"/>
      <c r="K669" s="229"/>
    </row>
    <row r="670" spans="10:11" s="222" customFormat="1" x14ac:dyDescent="0.25">
      <c r="J670" s="231"/>
      <c r="K670" s="229"/>
    </row>
    <row r="671" spans="10:11" s="222" customFormat="1" x14ac:dyDescent="0.25">
      <c r="J671" s="231"/>
      <c r="K671" s="229"/>
    </row>
    <row r="672" spans="10:11" s="222" customFormat="1" x14ac:dyDescent="0.25">
      <c r="J672" s="231"/>
      <c r="K672" s="229"/>
    </row>
    <row r="673" spans="10:11" s="222" customFormat="1" x14ac:dyDescent="0.25">
      <c r="J673" s="231"/>
      <c r="K673" s="229"/>
    </row>
    <row r="674" spans="10:11" s="222" customFormat="1" x14ac:dyDescent="0.25">
      <c r="J674" s="231"/>
      <c r="K674" s="229"/>
    </row>
    <row r="675" spans="10:11" s="222" customFormat="1" x14ac:dyDescent="0.25">
      <c r="J675" s="231"/>
      <c r="K675" s="229"/>
    </row>
    <row r="676" spans="10:11" s="222" customFormat="1" x14ac:dyDescent="0.25">
      <c r="J676" s="231"/>
      <c r="K676" s="229"/>
    </row>
    <row r="677" spans="10:11" s="222" customFormat="1" x14ac:dyDescent="0.25">
      <c r="J677" s="231"/>
      <c r="K677" s="229"/>
    </row>
    <row r="678" spans="10:11" s="222" customFormat="1" x14ac:dyDescent="0.25">
      <c r="J678" s="231"/>
      <c r="K678" s="229"/>
    </row>
    <row r="679" spans="10:11" s="222" customFormat="1" x14ac:dyDescent="0.25">
      <c r="J679" s="231"/>
      <c r="K679" s="229"/>
    </row>
    <row r="680" spans="10:11" s="222" customFormat="1" x14ac:dyDescent="0.25">
      <c r="J680" s="231"/>
      <c r="K680" s="229"/>
    </row>
    <row r="681" spans="10:11" s="222" customFormat="1" x14ac:dyDescent="0.25">
      <c r="J681" s="231"/>
      <c r="K681" s="229"/>
    </row>
    <row r="682" spans="10:11" s="222" customFormat="1" x14ac:dyDescent="0.25">
      <c r="J682" s="231"/>
      <c r="K682" s="229"/>
    </row>
    <row r="683" spans="10:11" s="222" customFormat="1" x14ac:dyDescent="0.25">
      <c r="J683" s="231"/>
      <c r="K683" s="229"/>
    </row>
    <row r="684" spans="10:11" s="222" customFormat="1" x14ac:dyDescent="0.25">
      <c r="J684" s="231"/>
      <c r="K684" s="229"/>
    </row>
    <row r="685" spans="10:11" s="222" customFormat="1" x14ac:dyDescent="0.25">
      <c r="J685" s="231"/>
      <c r="K685" s="229"/>
    </row>
    <row r="686" spans="10:11" s="222" customFormat="1" x14ac:dyDescent="0.25">
      <c r="J686" s="231"/>
      <c r="K686" s="229"/>
    </row>
    <row r="687" spans="10:11" s="222" customFormat="1" x14ac:dyDescent="0.25">
      <c r="J687" s="231"/>
      <c r="K687" s="229"/>
    </row>
    <row r="688" spans="10:11" s="222" customFormat="1" x14ac:dyDescent="0.25">
      <c r="J688" s="231"/>
      <c r="K688" s="229"/>
    </row>
    <row r="689" spans="10:45" s="222" customFormat="1" x14ac:dyDescent="0.25">
      <c r="J689" s="231"/>
      <c r="K689" s="229"/>
    </row>
    <row r="690" spans="10:45" s="222" customFormat="1" x14ac:dyDescent="0.25">
      <c r="J690" s="231"/>
      <c r="K690" s="229"/>
    </row>
    <row r="691" spans="10:45" s="222" customFormat="1" x14ac:dyDescent="0.25">
      <c r="J691" s="231"/>
      <c r="K691" s="229"/>
    </row>
    <row r="692" spans="10:45" s="222" customFormat="1" x14ac:dyDescent="0.25">
      <c r="J692" s="231"/>
      <c r="K692" s="229"/>
    </row>
    <row r="693" spans="10:45" s="222" customFormat="1" x14ac:dyDescent="0.25">
      <c r="J693" s="231"/>
      <c r="K693" s="229"/>
    </row>
    <row r="694" spans="10:45" s="222" customFormat="1" x14ac:dyDescent="0.25">
      <c r="J694" s="231"/>
      <c r="K694" s="229"/>
    </row>
    <row r="695" spans="10:45" s="222" customFormat="1" x14ac:dyDescent="0.25">
      <c r="J695" s="231"/>
      <c r="K695" s="229"/>
    </row>
    <row r="696" spans="10:45" s="222" customFormat="1" x14ac:dyDescent="0.25">
      <c r="J696" s="231"/>
      <c r="K696" s="229"/>
    </row>
    <row r="697" spans="10:45" s="222" customFormat="1" x14ac:dyDescent="0.25">
      <c r="J697" s="231"/>
      <c r="K697" s="229"/>
    </row>
    <row r="698" spans="10:45" s="222" customFormat="1" x14ac:dyDescent="0.25">
      <c r="J698" s="231"/>
      <c r="K698" s="229"/>
    </row>
    <row r="699" spans="10:45" s="222" customFormat="1" x14ac:dyDescent="0.25">
      <c r="J699" s="231"/>
      <c r="K699" s="229"/>
      <c r="L699" s="181"/>
      <c r="M699" s="180"/>
      <c r="N699"/>
      <c r="O699"/>
      <c r="P699"/>
      <c r="Q699"/>
      <c r="R699"/>
      <c r="S699"/>
      <c r="T699"/>
      <c r="U699"/>
      <c r="V699"/>
      <c r="W699"/>
      <c r="X699"/>
      <c r="Y699"/>
      <c r="Z699"/>
      <c r="AA699"/>
      <c r="AB699"/>
      <c r="AC699"/>
      <c r="AD699"/>
      <c r="AE699"/>
      <c r="AF699"/>
      <c r="AG699"/>
      <c r="AH699"/>
      <c r="AI699"/>
      <c r="AJ699"/>
      <c r="AK699"/>
      <c r="AL699"/>
      <c r="AM699"/>
      <c r="AN699"/>
      <c r="AO699"/>
      <c r="AP699"/>
      <c r="AQ699"/>
      <c r="AR699"/>
      <c r="AS699"/>
    </row>
  </sheetData>
  <conditionalFormatting sqref="F2:F9 F11:F1048576">
    <cfRule type="duplicateValues" dxfId="1" priority="1"/>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dimension ref="A1:AO330"/>
  <sheetViews>
    <sheetView topLeftCell="A4" zoomScale="70" zoomScaleNormal="70" workbookViewId="0">
      <pane ySplit="825" topLeftCell="A103" activePane="bottomLeft"/>
      <selection activeCell="M5" sqref="M5"/>
      <selection pane="bottomLeft" activeCell="R148" sqref="R148"/>
    </sheetView>
  </sheetViews>
  <sheetFormatPr defaultRowHeight="15" x14ac:dyDescent="0.25"/>
  <cols>
    <col min="1" max="1" width="34.7109375" customWidth="1"/>
    <col min="2" max="2" width="11.140625" customWidth="1"/>
    <col min="3" max="3" width="10.28515625" bestFit="1" customWidth="1"/>
    <col min="4" max="4" width="5.28515625" bestFit="1" customWidth="1"/>
    <col min="5" max="5" width="59.85546875" bestFit="1" customWidth="1"/>
    <col min="6" max="6" width="15.5703125" customWidth="1"/>
    <col min="7" max="7" width="7.7109375" customWidth="1"/>
    <col min="8" max="12" width="9" customWidth="1"/>
    <col min="13" max="13" width="21.28515625" customWidth="1"/>
    <col min="14" max="14" width="16" bestFit="1" customWidth="1"/>
    <col min="15" max="15" width="14.85546875" customWidth="1"/>
    <col min="16" max="16" width="23.28515625" customWidth="1"/>
    <col min="17" max="17" width="19.42578125" bestFit="1" customWidth="1"/>
    <col min="18" max="18" width="10.140625" customWidth="1"/>
    <col min="19" max="20" width="11.28515625" customWidth="1"/>
    <col min="21" max="21" width="10.85546875" customWidth="1"/>
    <col min="22" max="22" width="12.85546875" customWidth="1"/>
    <col min="23" max="23" width="11.85546875" customWidth="1"/>
    <col min="24" max="24" width="10.7109375" customWidth="1"/>
    <col min="25" max="25" width="11.140625" customWidth="1"/>
    <col min="26" max="26" width="15.7109375" customWidth="1"/>
    <col min="27" max="27" width="16" customWidth="1"/>
    <col min="28" max="28" width="13.5703125" customWidth="1"/>
    <col min="29" max="29" width="15.28515625" customWidth="1"/>
    <col min="30" max="30" width="12.5703125" customWidth="1"/>
    <col min="31" max="31" width="17.85546875" customWidth="1"/>
    <col min="32" max="32" width="18.42578125" customWidth="1"/>
    <col min="33" max="33" width="17.7109375" customWidth="1"/>
    <col min="34" max="34" width="13.42578125" customWidth="1"/>
    <col min="35" max="35" width="18.28515625" customWidth="1"/>
    <col min="36" max="36" width="24.5703125" customWidth="1"/>
    <col min="37" max="37" width="26.7109375" customWidth="1"/>
    <col min="38" max="38" width="20" bestFit="1" customWidth="1"/>
    <col min="39" max="39" width="27.140625" customWidth="1"/>
    <col min="40" max="40" width="20.28515625" bestFit="1" customWidth="1"/>
    <col min="41" max="41" width="20.85546875" bestFit="1" customWidth="1"/>
  </cols>
  <sheetData>
    <row r="1" spans="1:41" ht="18" x14ac:dyDescent="0.25">
      <c r="A1" s="173" t="s">
        <v>18</v>
      </c>
      <c r="C1" s="305"/>
      <c r="D1" s="305"/>
      <c r="E1" s="279" t="s">
        <v>217</v>
      </c>
      <c r="F1" s="305"/>
    </row>
    <row r="2" spans="1:41" ht="15.75" x14ac:dyDescent="0.25">
      <c r="A2" s="178" t="s">
        <v>982</v>
      </c>
      <c r="B2" s="177"/>
      <c r="C2" s="179"/>
    </row>
    <row r="3" spans="1:41" x14ac:dyDescent="0.25">
      <c r="A3" s="200" t="s">
        <v>978</v>
      </c>
    </row>
    <row r="4" spans="1:41" x14ac:dyDescent="0.25">
      <c r="A4" t="s">
        <v>977</v>
      </c>
      <c r="B4" t="s">
        <v>979</v>
      </c>
      <c r="C4" t="s">
        <v>979</v>
      </c>
      <c r="D4" t="s">
        <v>977</v>
      </c>
      <c r="E4" t="s">
        <v>977</v>
      </c>
      <c r="F4" t="s">
        <v>977</v>
      </c>
      <c r="G4" t="s">
        <v>977</v>
      </c>
      <c r="H4" t="s">
        <v>977</v>
      </c>
      <c r="M4" t="s">
        <v>979</v>
      </c>
      <c r="N4" t="s">
        <v>980</v>
      </c>
      <c r="O4" t="s">
        <v>981</v>
      </c>
      <c r="P4" t="s">
        <v>981</v>
      </c>
      <c r="Q4" s="215" t="s">
        <v>979</v>
      </c>
      <c r="R4" s="215" t="s">
        <v>977</v>
      </c>
      <c r="S4" s="215" t="s">
        <v>977</v>
      </c>
      <c r="T4" s="215" t="s">
        <v>977</v>
      </c>
      <c r="U4" s="215" t="s">
        <v>977</v>
      </c>
      <c r="V4" s="215" t="s">
        <v>977</v>
      </c>
      <c r="W4" s="215" t="s">
        <v>977</v>
      </c>
      <c r="X4" s="215" t="s">
        <v>977</v>
      </c>
      <c r="Y4" s="215" t="s">
        <v>977</v>
      </c>
      <c r="Z4" s="215" t="s">
        <v>977</v>
      </c>
      <c r="AA4" s="215" t="s">
        <v>977</v>
      </c>
      <c r="AB4" s="215" t="s">
        <v>977</v>
      </c>
      <c r="AC4" s="215" t="s">
        <v>977</v>
      </c>
      <c r="AD4" s="215" t="s">
        <v>977</v>
      </c>
      <c r="AE4" s="215" t="s">
        <v>977</v>
      </c>
      <c r="AF4" s="215" t="s">
        <v>977</v>
      </c>
      <c r="AG4" s="215" t="s">
        <v>977</v>
      </c>
      <c r="AH4" s="215" t="s">
        <v>977</v>
      </c>
      <c r="AI4" s="215" t="s">
        <v>977</v>
      </c>
      <c r="AJ4" s="215" t="s">
        <v>977</v>
      </c>
      <c r="AK4" s="215" t="s">
        <v>2301</v>
      </c>
      <c r="AL4" s="215" t="s">
        <v>1064</v>
      </c>
      <c r="AM4" s="215" t="s">
        <v>2301</v>
      </c>
      <c r="AN4" s="215" t="s">
        <v>1065</v>
      </c>
      <c r="AO4" s="215" t="s">
        <v>1188</v>
      </c>
    </row>
    <row r="5" spans="1:41" s="200" customFormat="1" ht="30" x14ac:dyDescent="0.25">
      <c r="A5" s="200" t="s">
        <v>609</v>
      </c>
      <c r="B5" s="200" t="s">
        <v>610</v>
      </c>
      <c r="C5" s="200" t="s">
        <v>611</v>
      </c>
      <c r="D5" s="200" t="s">
        <v>612</v>
      </c>
      <c r="E5" s="200" t="s">
        <v>613</v>
      </c>
      <c r="F5" s="200" t="s">
        <v>614</v>
      </c>
      <c r="G5" s="200" t="s">
        <v>615</v>
      </c>
      <c r="H5" s="200" t="s">
        <v>616</v>
      </c>
      <c r="I5" s="358" t="s">
        <v>1241</v>
      </c>
      <c r="J5" s="358" t="s">
        <v>1242</v>
      </c>
      <c r="K5" s="358" t="s">
        <v>1243</v>
      </c>
      <c r="L5" s="358" t="s">
        <v>1244</v>
      </c>
      <c r="M5" s="200" t="s">
        <v>1194</v>
      </c>
      <c r="N5" s="200" t="s">
        <v>945</v>
      </c>
      <c r="O5" s="200" t="s">
        <v>946</v>
      </c>
      <c r="P5" s="200" t="s">
        <v>947</v>
      </c>
      <c r="Q5" s="304" t="s">
        <v>1223</v>
      </c>
      <c r="R5" s="304" t="s">
        <v>951</v>
      </c>
      <c r="S5" s="304" t="s">
        <v>952</v>
      </c>
      <c r="T5" s="304" t="s">
        <v>953</v>
      </c>
      <c r="U5" s="304" t="s">
        <v>954</v>
      </c>
      <c r="V5" s="304" t="s">
        <v>955</v>
      </c>
      <c r="W5" s="304" t="s">
        <v>956</v>
      </c>
      <c r="X5" s="304" t="s">
        <v>957</v>
      </c>
      <c r="Y5" s="304" t="s">
        <v>958</v>
      </c>
      <c r="Z5" s="304" t="s">
        <v>959</v>
      </c>
      <c r="AA5" s="304" t="s">
        <v>960</v>
      </c>
      <c r="AB5" s="304" t="s">
        <v>961</v>
      </c>
      <c r="AC5" s="304" t="s">
        <v>962</v>
      </c>
      <c r="AD5" s="304" t="s">
        <v>963</v>
      </c>
      <c r="AE5" s="304" t="s">
        <v>964</v>
      </c>
      <c r="AF5" s="304" t="s">
        <v>965</v>
      </c>
      <c r="AG5" s="304" t="s">
        <v>966</v>
      </c>
      <c r="AH5" s="304" t="s">
        <v>967</v>
      </c>
      <c r="AI5" s="304" t="s">
        <v>968</v>
      </c>
      <c r="AJ5" s="304" t="s">
        <v>969</v>
      </c>
      <c r="AK5" s="304" t="s">
        <v>991</v>
      </c>
      <c r="AL5" s="304" t="s">
        <v>993</v>
      </c>
      <c r="AM5" s="200" t="s">
        <v>990</v>
      </c>
      <c r="AN5" s="304" t="s">
        <v>999</v>
      </c>
      <c r="AO5" s="200" t="s">
        <v>1066</v>
      </c>
    </row>
    <row r="6" spans="1:41" s="355" customFormat="1" ht="15.75" x14ac:dyDescent="0.25">
      <c r="A6" s="352" t="s">
        <v>1232</v>
      </c>
      <c r="B6" s="352">
        <v>5</v>
      </c>
      <c r="C6" s="352" t="s">
        <v>617</v>
      </c>
      <c r="D6" s="352" t="s">
        <v>634</v>
      </c>
      <c r="E6" s="352" t="s">
        <v>635</v>
      </c>
      <c r="F6" s="352" t="s">
        <v>636</v>
      </c>
      <c r="G6" s="352">
        <v>35.369999999999997</v>
      </c>
      <c r="H6" s="352">
        <v>-119.07</v>
      </c>
      <c r="I6" s="339">
        <v>88000</v>
      </c>
      <c r="J6" s="339">
        <v>59800</v>
      </c>
      <c r="K6" s="339">
        <v>0</v>
      </c>
      <c r="L6" s="339">
        <v>0</v>
      </c>
      <c r="M6" s="352">
        <v>88000</v>
      </c>
      <c r="N6" s="352">
        <v>0.95687171402016358</v>
      </c>
      <c r="O6" s="352">
        <f t="shared" ref="O6" si="0">M6*N6</f>
        <v>84204.710833774399</v>
      </c>
      <c r="P6" s="352">
        <f t="shared" ref="P6" si="1">IFERROR(N6/M6,0)</f>
        <v>1.0873542204774586E-5</v>
      </c>
      <c r="Q6" s="357">
        <v>0</v>
      </c>
      <c r="R6" s="356">
        <v>37.4</v>
      </c>
      <c r="S6" s="356">
        <v>111.86999999999999</v>
      </c>
      <c r="T6" s="356">
        <v>0.49299999999999999</v>
      </c>
      <c r="U6" s="356">
        <v>10.82</v>
      </c>
      <c r="V6" s="356">
        <v>21.169999999999998</v>
      </c>
      <c r="W6" s="356">
        <v>22.770000000000003</v>
      </c>
      <c r="X6" s="356">
        <v>1.4E-2</v>
      </c>
      <c r="Y6" s="356">
        <v>0</v>
      </c>
      <c r="Z6" s="356">
        <v>1.0344</v>
      </c>
      <c r="AA6" s="356">
        <v>2.1799999999999997</v>
      </c>
      <c r="AB6" s="356">
        <v>4.5400000000000006E-5</v>
      </c>
      <c r="AC6" s="356">
        <v>0</v>
      </c>
      <c r="AD6" s="356">
        <v>0</v>
      </c>
      <c r="AE6" s="356">
        <v>0</v>
      </c>
      <c r="AF6" s="356">
        <v>0</v>
      </c>
      <c r="AG6" s="356">
        <v>119</v>
      </c>
      <c r="AH6" s="356">
        <v>0</v>
      </c>
      <c r="AI6" s="356">
        <v>0</v>
      </c>
      <c r="AJ6" s="356">
        <v>0</v>
      </c>
      <c r="AK6" s="356">
        <v>0</v>
      </c>
      <c r="AL6" s="356">
        <v>0</v>
      </c>
      <c r="AM6" s="356">
        <v>0</v>
      </c>
      <c r="AN6" s="356">
        <v>0</v>
      </c>
      <c r="AO6" s="339">
        <f t="shared" ref="AO6" si="2">IF(M6&lt;100000,36,131)</f>
        <v>36</v>
      </c>
    </row>
    <row r="7" spans="1:41" x14ac:dyDescent="0.25">
      <c r="A7">
        <v>7380411</v>
      </c>
      <c r="B7">
        <v>3</v>
      </c>
      <c r="C7" t="s">
        <v>625</v>
      </c>
      <c r="D7" t="s">
        <v>709</v>
      </c>
      <c r="E7" t="s">
        <v>720</v>
      </c>
      <c r="F7" t="s">
        <v>721</v>
      </c>
      <c r="G7">
        <v>30.18</v>
      </c>
      <c r="H7">
        <v>-93.32</v>
      </c>
      <c r="I7" s="225">
        <v>440000</v>
      </c>
      <c r="J7" s="225">
        <v>79800</v>
      </c>
      <c r="K7" s="225">
        <v>88200</v>
      </c>
      <c r="L7" s="225">
        <v>37800</v>
      </c>
      <c r="M7">
        <v>0</v>
      </c>
      <c r="N7">
        <f>VLOOKUP(D7,Utilization!$B$9:$E$44,4,FALSE)</f>
        <v>0.98291670808070764</v>
      </c>
      <c r="O7">
        <f t="shared" ref="O7:O35" si="3">M7*N7</f>
        <v>0</v>
      </c>
      <c r="P7">
        <f t="shared" ref="P7:P35" si="4">IFERROR(N7/M7,0)</f>
        <v>0</v>
      </c>
      <c r="Q7" s="215">
        <v>0</v>
      </c>
      <c r="R7" s="215">
        <v>2341.04</v>
      </c>
      <c r="S7" s="215">
        <v>1655.33</v>
      </c>
      <c r="T7" s="215">
        <v>1841.53</v>
      </c>
      <c r="U7" s="215">
        <v>3654.71</v>
      </c>
      <c r="V7" s="215">
        <v>928.8</v>
      </c>
      <c r="W7" s="215">
        <v>933.22</v>
      </c>
      <c r="X7" s="215">
        <v>11.2</v>
      </c>
      <c r="Y7" s="215">
        <v>2.93E-2</v>
      </c>
      <c r="Z7" s="215">
        <v>136.4</v>
      </c>
      <c r="AA7" s="215">
        <v>172.45</v>
      </c>
      <c r="AB7" s="215">
        <v>165</v>
      </c>
      <c r="AC7" s="215">
        <v>3</v>
      </c>
      <c r="AD7" s="215">
        <v>0.64</v>
      </c>
      <c r="AE7" s="215">
        <v>1.9</v>
      </c>
      <c r="AF7" s="215">
        <v>17.95</v>
      </c>
      <c r="AG7" s="215">
        <v>11251.43</v>
      </c>
      <c r="AH7" s="215">
        <v>0</v>
      </c>
      <c r="AI7" s="215">
        <v>2824.78</v>
      </c>
      <c r="AJ7" s="215">
        <v>1277.52</v>
      </c>
      <c r="AK7" s="266">
        <v>0</v>
      </c>
      <c r="AL7" s="311">
        <f>AK7*Conversions!$D$4*1000000</f>
        <v>0</v>
      </c>
      <c r="AM7" s="225">
        <v>0</v>
      </c>
      <c r="AN7" s="302">
        <f>AK7*Conversions!$D$5*1000000</f>
        <v>0</v>
      </c>
      <c r="AO7">
        <f t="shared" ref="AO7:AO35" si="5">IF(M7&lt;100000,36,131)</f>
        <v>36</v>
      </c>
    </row>
    <row r="8" spans="1:41" x14ac:dyDescent="0.25">
      <c r="A8">
        <v>7929011</v>
      </c>
      <c r="B8">
        <v>3</v>
      </c>
      <c r="C8" t="s">
        <v>625</v>
      </c>
      <c r="D8" t="s">
        <v>709</v>
      </c>
      <c r="E8" t="s">
        <v>728</v>
      </c>
      <c r="F8" t="s">
        <v>729</v>
      </c>
      <c r="G8">
        <v>32.58</v>
      </c>
      <c r="H8">
        <v>-93.51</v>
      </c>
      <c r="I8" s="225">
        <v>9500</v>
      </c>
      <c r="J8" s="225">
        <v>8500</v>
      </c>
      <c r="K8" s="225">
        <v>0</v>
      </c>
      <c r="L8" s="225">
        <v>8000</v>
      </c>
      <c r="M8">
        <v>0</v>
      </c>
      <c r="N8">
        <f>VLOOKUP(D8,Utilization!$B$9:$E$44,4,FALSE)</f>
        <v>0.98291670808070764</v>
      </c>
      <c r="O8">
        <f t="shared" si="3"/>
        <v>0</v>
      </c>
      <c r="P8">
        <f t="shared" si="4"/>
        <v>0</v>
      </c>
      <c r="Q8" s="215">
        <v>0</v>
      </c>
      <c r="R8" s="215">
        <v>200.59</v>
      </c>
      <c r="S8" s="215">
        <v>264.89</v>
      </c>
      <c r="T8" s="215">
        <v>73.150000000000006</v>
      </c>
      <c r="U8" s="215">
        <v>104.91</v>
      </c>
      <c r="V8" s="215">
        <v>24.64</v>
      </c>
      <c r="W8" s="215">
        <v>25.39</v>
      </c>
      <c r="X8" s="215">
        <v>0</v>
      </c>
      <c r="Y8" s="215">
        <v>5.53E-4</v>
      </c>
      <c r="Z8" s="215">
        <v>8.73</v>
      </c>
      <c r="AA8" s="215">
        <v>5.81</v>
      </c>
      <c r="AB8" s="215">
        <v>1.9400000000000001E-5</v>
      </c>
      <c r="AC8" s="215">
        <v>0.12</v>
      </c>
      <c r="AD8" s="215">
        <v>0.44</v>
      </c>
      <c r="AE8" s="215">
        <v>0</v>
      </c>
      <c r="AF8" s="215">
        <v>29.82</v>
      </c>
      <c r="AG8" s="215">
        <v>0</v>
      </c>
      <c r="AH8" s="215">
        <v>0</v>
      </c>
      <c r="AI8" s="215">
        <v>0</v>
      </c>
      <c r="AJ8" s="215">
        <v>0</v>
      </c>
      <c r="AK8" s="266">
        <v>0</v>
      </c>
      <c r="AL8" s="311">
        <f>AK8*Conversions!$D$4*1000000</f>
        <v>0</v>
      </c>
      <c r="AM8" s="225">
        <v>0</v>
      </c>
      <c r="AN8" s="302">
        <f>AK8*Conversions!$D$5*1000000</f>
        <v>0</v>
      </c>
      <c r="AO8">
        <f t="shared" si="5"/>
        <v>36</v>
      </c>
    </row>
    <row r="9" spans="1:41" x14ac:dyDescent="0.25">
      <c r="A9">
        <v>8095211</v>
      </c>
      <c r="B9">
        <v>1</v>
      </c>
      <c r="C9" t="s">
        <v>672</v>
      </c>
      <c r="D9" t="s">
        <v>771</v>
      </c>
      <c r="E9" t="s">
        <v>779</v>
      </c>
      <c r="F9" t="s">
        <v>780</v>
      </c>
      <c r="G9">
        <v>39.869999999999997</v>
      </c>
      <c r="H9">
        <v>-75.150000000000006</v>
      </c>
      <c r="I9" s="225">
        <v>0</v>
      </c>
      <c r="J9" s="225">
        <v>0</v>
      </c>
      <c r="K9" s="225">
        <v>0</v>
      </c>
      <c r="L9" s="225">
        <v>0</v>
      </c>
      <c r="M9">
        <v>0</v>
      </c>
      <c r="N9">
        <f>VLOOKUP(D9,Utilization!$B$9:$E$44,4,FALSE)</f>
        <v>0.72627737226277367</v>
      </c>
      <c r="O9">
        <f t="shared" si="3"/>
        <v>0</v>
      </c>
      <c r="P9">
        <f t="shared" si="4"/>
        <v>0</v>
      </c>
      <c r="Q9" s="215">
        <v>0</v>
      </c>
      <c r="R9" s="215">
        <v>4.04</v>
      </c>
      <c r="S9" s="215">
        <v>129.26</v>
      </c>
      <c r="T9" s="215">
        <v>0.46</v>
      </c>
      <c r="U9" s="215">
        <v>17</v>
      </c>
      <c r="V9" s="215">
        <v>6.17</v>
      </c>
      <c r="W9" s="215">
        <v>6.3</v>
      </c>
      <c r="X9" s="215">
        <v>3.31</v>
      </c>
      <c r="Y9" s="215">
        <v>5.0000000000000001E-4</v>
      </c>
      <c r="Z9" s="215">
        <v>4.2300000000000004</v>
      </c>
      <c r="AA9" s="215">
        <v>1.17</v>
      </c>
      <c r="AB9" s="215">
        <v>0</v>
      </c>
      <c r="AC9" s="215">
        <v>0</v>
      </c>
      <c r="AD9" s="215">
        <v>0</v>
      </c>
      <c r="AE9" s="215">
        <v>68.989999999999995</v>
      </c>
      <c r="AF9" s="215">
        <v>1260</v>
      </c>
      <c r="AG9" s="215">
        <v>1011</v>
      </c>
      <c r="AH9" s="215">
        <v>11.74</v>
      </c>
      <c r="AI9" s="215">
        <v>0</v>
      </c>
      <c r="AJ9" s="215">
        <v>0</v>
      </c>
      <c r="AK9" s="266">
        <v>0</v>
      </c>
      <c r="AL9" s="311">
        <f>AK9*Conversions!$D$4*1000000</f>
        <v>0</v>
      </c>
      <c r="AM9" s="225">
        <v>0</v>
      </c>
      <c r="AN9" s="302">
        <f>AK9*Conversions!$D$5*1000000</f>
        <v>0</v>
      </c>
      <c r="AO9">
        <f t="shared" si="5"/>
        <v>36</v>
      </c>
    </row>
    <row r="10" spans="1:41" x14ac:dyDescent="0.25">
      <c r="A10">
        <v>1025911</v>
      </c>
      <c r="B10">
        <v>5</v>
      </c>
      <c r="C10" t="s">
        <v>617</v>
      </c>
      <c r="D10" t="s">
        <v>618</v>
      </c>
      <c r="E10" t="s">
        <v>619</v>
      </c>
      <c r="F10" t="s">
        <v>620</v>
      </c>
      <c r="G10">
        <v>61.08</v>
      </c>
      <c r="H10">
        <v>-146.25</v>
      </c>
      <c r="I10" s="225">
        <v>48000</v>
      </c>
      <c r="J10" s="225">
        <v>0</v>
      </c>
      <c r="K10" s="225">
        <v>0</v>
      </c>
      <c r="L10" s="225">
        <v>0</v>
      </c>
      <c r="M10">
        <v>48000</v>
      </c>
      <c r="N10">
        <f>VLOOKUP(D10,Utilization!$B$9:$E$44,4,FALSE)</f>
        <v>0.75653623262731418</v>
      </c>
      <c r="O10">
        <f t="shared" si="3"/>
        <v>36313.739166111081</v>
      </c>
      <c r="P10">
        <f t="shared" si="4"/>
        <v>1.5761171513069044E-5</v>
      </c>
      <c r="Q10" s="215">
        <v>1</v>
      </c>
      <c r="R10" s="215">
        <v>34.26</v>
      </c>
      <c r="S10" s="215">
        <v>19.38</v>
      </c>
      <c r="T10" s="215">
        <v>0.56000000000000005</v>
      </c>
      <c r="U10" s="215">
        <v>79.58</v>
      </c>
      <c r="V10" s="215">
        <v>6.38</v>
      </c>
      <c r="W10" s="215">
        <v>8.18</v>
      </c>
      <c r="X10" s="215">
        <v>0.01</v>
      </c>
      <c r="Y10" s="215">
        <v>0</v>
      </c>
      <c r="Z10" s="215">
        <v>0.94</v>
      </c>
      <c r="AA10" s="215">
        <v>1.92</v>
      </c>
      <c r="AB10" s="215">
        <v>0</v>
      </c>
      <c r="AC10" s="215">
        <v>0</v>
      </c>
      <c r="AD10" s="215">
        <v>0</v>
      </c>
      <c r="AE10" s="215">
        <v>0</v>
      </c>
      <c r="AF10" s="215">
        <v>0</v>
      </c>
      <c r="AG10" s="215">
        <v>0</v>
      </c>
      <c r="AH10" s="215">
        <v>0</v>
      </c>
      <c r="AI10" s="215">
        <v>0</v>
      </c>
      <c r="AJ10" s="215">
        <v>0</v>
      </c>
      <c r="AK10" s="215">
        <v>0</v>
      </c>
      <c r="AL10" s="311">
        <f>AK10*Conversions!$D$4*1000000</f>
        <v>0</v>
      </c>
      <c r="AM10" s="215">
        <v>0</v>
      </c>
      <c r="AN10" s="302">
        <f>AK10*Conversions!$D$5*1000000</f>
        <v>0</v>
      </c>
      <c r="AO10">
        <f t="shared" si="5"/>
        <v>36</v>
      </c>
    </row>
    <row r="11" spans="1:41" x14ac:dyDescent="0.25">
      <c r="A11">
        <v>13703511</v>
      </c>
      <c r="B11">
        <v>5</v>
      </c>
      <c r="C11" t="s">
        <v>617</v>
      </c>
      <c r="D11" t="s">
        <v>634</v>
      </c>
      <c r="E11" t="s">
        <v>637</v>
      </c>
      <c r="F11" t="s">
        <v>638</v>
      </c>
      <c r="G11">
        <v>34.92</v>
      </c>
      <c r="H11">
        <v>-120.51</v>
      </c>
      <c r="I11" s="225">
        <v>0</v>
      </c>
      <c r="J11" s="225">
        <v>0</v>
      </c>
      <c r="K11" s="225">
        <v>0</v>
      </c>
      <c r="L11" s="225">
        <v>0</v>
      </c>
      <c r="M11">
        <v>0</v>
      </c>
      <c r="N11">
        <f>VLOOKUP(D11,Utilization!$B$9:$E$44,4,FALSE)</f>
        <v>0.95687171402016358</v>
      </c>
      <c r="O11">
        <f t="shared" si="3"/>
        <v>0</v>
      </c>
      <c r="P11">
        <f t="shared" si="4"/>
        <v>0</v>
      </c>
      <c r="Q11" s="215">
        <v>1</v>
      </c>
      <c r="R11" s="215">
        <v>4.8499999999999996</v>
      </c>
      <c r="S11" s="215">
        <v>16.39</v>
      </c>
      <c r="T11" s="215">
        <v>4.0999999999999996</v>
      </c>
      <c r="U11" s="215">
        <v>2.48</v>
      </c>
      <c r="V11" s="215">
        <v>0.61</v>
      </c>
      <c r="W11" s="215">
        <v>0.61</v>
      </c>
      <c r="X11" s="215">
        <v>0.38</v>
      </c>
      <c r="Y11" s="215">
        <v>3.3300000000000003E-5</v>
      </c>
      <c r="Z11" s="215">
        <v>0.24</v>
      </c>
      <c r="AA11" s="215">
        <v>0.15</v>
      </c>
      <c r="AB11" s="215">
        <v>4.9000000000000002E-2</v>
      </c>
      <c r="AC11" s="215">
        <v>2.4499999999999999E-3</v>
      </c>
      <c r="AD11" s="215">
        <v>3.9199999999999999E-2</v>
      </c>
      <c r="AE11" s="215">
        <v>19.690000000000001</v>
      </c>
      <c r="AF11" s="215">
        <v>44.28</v>
      </c>
      <c r="AG11" s="215">
        <v>16.41</v>
      </c>
      <c r="AH11" s="215">
        <v>1.27</v>
      </c>
      <c r="AI11" s="215">
        <v>5.33</v>
      </c>
      <c r="AJ11" s="215">
        <v>0</v>
      </c>
      <c r="AK11" s="215">
        <v>0</v>
      </c>
      <c r="AL11" s="311">
        <f>AK11*Conversions!$D$4*1000000</f>
        <v>0</v>
      </c>
      <c r="AM11" s="215">
        <v>0</v>
      </c>
      <c r="AN11" s="302">
        <f>AK11*Conversions!$D$5*1000000</f>
        <v>0</v>
      </c>
      <c r="AO11">
        <f t="shared" si="5"/>
        <v>36</v>
      </c>
    </row>
    <row r="12" spans="1:41" x14ac:dyDescent="0.25">
      <c r="A12" s="225">
        <v>4842911</v>
      </c>
      <c r="B12" s="225">
        <v>5</v>
      </c>
      <c r="C12" s="225" t="s">
        <v>617</v>
      </c>
      <c r="D12" s="225" t="s">
        <v>634</v>
      </c>
      <c r="E12" s="225" t="s">
        <v>650</v>
      </c>
      <c r="F12" s="225" t="s">
        <v>651</v>
      </c>
      <c r="G12" s="225">
        <v>35.409999999999997</v>
      </c>
      <c r="H12" s="225">
        <v>-119.01</v>
      </c>
      <c r="I12" s="225">
        <v>0</v>
      </c>
      <c r="J12" s="225">
        <v>0</v>
      </c>
      <c r="K12" s="225">
        <v>0</v>
      </c>
      <c r="L12" s="225">
        <v>0</v>
      </c>
      <c r="M12" s="225">
        <v>0</v>
      </c>
      <c r="N12" s="225">
        <f>VLOOKUP(D12,Utilization!$B$9:$E$44,4,FALSE)</f>
        <v>0.95687171402016358</v>
      </c>
      <c r="O12" s="225">
        <f t="shared" si="3"/>
        <v>0</v>
      </c>
      <c r="P12" s="225">
        <f t="shared" si="4"/>
        <v>0</v>
      </c>
      <c r="Q12" s="215">
        <v>1</v>
      </c>
      <c r="R12" s="266">
        <v>1.1399999999999999</v>
      </c>
      <c r="S12" s="266">
        <v>4.2300000000000004</v>
      </c>
      <c r="T12" s="266">
        <v>1.55E-2</v>
      </c>
      <c r="U12" s="266">
        <v>1.4</v>
      </c>
      <c r="V12" s="266">
        <v>0.18</v>
      </c>
      <c r="W12" s="266">
        <v>0.18</v>
      </c>
      <c r="X12" s="266">
        <v>0</v>
      </c>
      <c r="Y12" s="266">
        <v>0</v>
      </c>
      <c r="Z12" s="266">
        <v>1.7600000000000001E-2</v>
      </c>
      <c r="AA12" s="266">
        <v>2.0299999999999999E-2</v>
      </c>
      <c r="AB12" s="266">
        <v>1.68E-6</v>
      </c>
      <c r="AC12" s="266">
        <v>0</v>
      </c>
      <c r="AD12" s="266">
        <v>0</v>
      </c>
      <c r="AE12" s="266">
        <v>0.14000000000000001</v>
      </c>
      <c r="AF12" s="266">
        <v>0.56999999999999995</v>
      </c>
      <c r="AG12" s="266">
        <v>0.32</v>
      </c>
      <c r="AH12" s="266">
        <v>0.13</v>
      </c>
      <c r="AI12" s="266">
        <v>0</v>
      </c>
      <c r="AJ12" s="266">
        <v>0</v>
      </c>
      <c r="AK12" s="266">
        <v>0</v>
      </c>
      <c r="AL12" s="314">
        <f>AK12*Conversions!$D$4*1000000</f>
        <v>0</v>
      </c>
      <c r="AM12" s="266">
        <v>0</v>
      </c>
      <c r="AN12" s="313">
        <f>AK12*Conversions!$D$5*1000000</f>
        <v>0</v>
      </c>
      <c r="AO12">
        <f t="shared" si="5"/>
        <v>36</v>
      </c>
    </row>
    <row r="13" spans="1:41" s="339" customFormat="1" x14ac:dyDescent="0.25">
      <c r="A13" s="352" t="s">
        <v>1233</v>
      </c>
      <c r="B13" s="352">
        <v>5</v>
      </c>
      <c r="C13" s="352" t="s">
        <v>617</v>
      </c>
      <c r="D13" s="352" t="s">
        <v>634</v>
      </c>
      <c r="E13" s="352" t="s">
        <v>653</v>
      </c>
      <c r="F13" s="352" t="s">
        <v>1235</v>
      </c>
      <c r="G13" s="352">
        <v>33.799999999999997</v>
      </c>
      <c r="H13" s="352">
        <v>-118.24</v>
      </c>
      <c r="I13" s="339">
        <v>138700</v>
      </c>
      <c r="J13" s="339">
        <v>78000</v>
      </c>
      <c r="K13" s="339">
        <v>48000</v>
      </c>
      <c r="L13" s="339">
        <v>24750</v>
      </c>
      <c r="M13" s="352">
        <v>138700</v>
      </c>
      <c r="N13" s="352">
        <v>0.95687171402016358</v>
      </c>
      <c r="O13" s="352">
        <f t="shared" si="3"/>
        <v>132718.10673459669</v>
      </c>
      <c r="P13" s="352">
        <f t="shared" si="4"/>
        <v>6.8988587888980795E-6</v>
      </c>
      <c r="Q13" s="353">
        <v>1</v>
      </c>
      <c r="R13" s="353">
        <v>669.99</v>
      </c>
      <c r="S13" s="353">
        <v>332.73</v>
      </c>
      <c r="T13" s="353">
        <v>402.26</v>
      </c>
      <c r="U13" s="353">
        <v>913.91</v>
      </c>
      <c r="V13" s="353">
        <v>142.32</v>
      </c>
      <c r="W13" s="353">
        <v>148.53</v>
      </c>
      <c r="X13" s="353">
        <v>82.61</v>
      </c>
      <c r="Y13" s="353">
        <v>2.1150000000000002E-2</v>
      </c>
      <c r="Z13" s="353">
        <v>15.459999999999999</v>
      </c>
      <c r="AA13" s="353">
        <v>19.75</v>
      </c>
      <c r="AB13" s="353">
        <v>4.7699999999999996</v>
      </c>
      <c r="AC13" s="353">
        <v>2.0241199999999999</v>
      </c>
      <c r="AD13" s="353">
        <v>17.84</v>
      </c>
      <c r="AE13" s="353">
        <v>2318.0100000000002</v>
      </c>
      <c r="AF13" s="353">
        <v>3083.18</v>
      </c>
      <c r="AG13" s="353">
        <v>1055.45</v>
      </c>
      <c r="AH13" s="353">
        <v>1345.37</v>
      </c>
      <c r="AI13" s="353">
        <v>1255.83</v>
      </c>
      <c r="AJ13" s="353">
        <v>202.23</v>
      </c>
      <c r="AK13" s="353">
        <v>263.19914799999998</v>
      </c>
      <c r="AL13" s="314">
        <f>AK13*Conversions!$D$4*1000000</f>
        <v>16268602.537027994</v>
      </c>
      <c r="AM13" s="353">
        <v>22.514599999999998</v>
      </c>
      <c r="AN13" s="313">
        <f>AK13*Conversions!$D$5*1000000</f>
        <v>28.254428537799999</v>
      </c>
      <c r="AO13" s="339">
        <f t="shared" si="5"/>
        <v>131</v>
      </c>
    </row>
    <row r="14" spans="1:41" s="225" customFormat="1" x14ac:dyDescent="0.25">
      <c r="A14" s="225">
        <v>5683011</v>
      </c>
      <c r="B14" s="225">
        <v>5</v>
      </c>
      <c r="C14" s="225" t="s">
        <v>617</v>
      </c>
      <c r="D14" s="225" t="s">
        <v>634</v>
      </c>
      <c r="E14" s="225" t="s">
        <v>654</v>
      </c>
      <c r="F14" s="225" t="s">
        <v>655</v>
      </c>
      <c r="G14" s="225">
        <v>33.869999999999997</v>
      </c>
      <c r="H14" s="225">
        <v>-118.16</v>
      </c>
      <c r="I14" s="225">
        <v>0</v>
      </c>
      <c r="J14" s="225">
        <v>0</v>
      </c>
      <c r="K14" s="225">
        <v>0</v>
      </c>
      <c r="L14" s="225">
        <v>0</v>
      </c>
      <c r="M14" s="225">
        <v>0</v>
      </c>
      <c r="N14" s="225">
        <f>VLOOKUP(D14,Utilization!$B$9:$E$44,4,FALSE)</f>
        <v>0.95687171402016358</v>
      </c>
      <c r="O14" s="225">
        <f t="shared" si="3"/>
        <v>0</v>
      </c>
      <c r="P14" s="225">
        <f t="shared" si="4"/>
        <v>0</v>
      </c>
      <c r="Q14" s="215">
        <v>1</v>
      </c>
      <c r="R14" s="266">
        <v>0.34</v>
      </c>
      <c r="S14" s="266">
        <v>4.7699999999999996</v>
      </c>
      <c r="T14" s="266">
        <v>5.0400000000000002E-3</v>
      </c>
      <c r="U14" s="266">
        <v>0.35</v>
      </c>
      <c r="V14" s="266">
        <v>3.9300000000000002E-2</v>
      </c>
      <c r="W14" s="266">
        <v>3.9399999999999998E-2</v>
      </c>
      <c r="X14" s="266">
        <v>1.29E-2</v>
      </c>
      <c r="Y14" s="266">
        <v>2.65E-6</v>
      </c>
      <c r="Z14" s="266">
        <v>1.9400000000000001E-2</v>
      </c>
      <c r="AA14" s="266">
        <v>8.8999999999999999E-3</v>
      </c>
      <c r="AB14" s="266">
        <v>1.39E-3</v>
      </c>
      <c r="AC14" s="266">
        <v>6.0000000000000002E-5</v>
      </c>
      <c r="AD14" s="266">
        <v>1.1100000000000001E-3</v>
      </c>
      <c r="AE14" s="266">
        <v>0.56999999999999995</v>
      </c>
      <c r="AF14" s="266">
        <v>1.29</v>
      </c>
      <c r="AG14" s="266">
        <v>1.51</v>
      </c>
      <c r="AH14" s="266">
        <v>4.36E-2</v>
      </c>
      <c r="AI14" s="266">
        <v>0.15</v>
      </c>
      <c r="AJ14" s="266">
        <v>0</v>
      </c>
      <c r="AK14" s="266">
        <v>0</v>
      </c>
      <c r="AL14" s="314">
        <f>AK14*Conversions!$D$4*1000000</f>
        <v>0</v>
      </c>
      <c r="AM14" s="266">
        <v>0</v>
      </c>
      <c r="AN14" s="313">
        <f>AK14*Conversions!$D$5*1000000</f>
        <v>0</v>
      </c>
      <c r="AO14">
        <f t="shared" si="5"/>
        <v>36</v>
      </c>
    </row>
    <row r="15" spans="1:41" s="225" customFormat="1" x14ac:dyDescent="0.25">
      <c r="A15" s="225">
        <v>5797411</v>
      </c>
      <c r="B15" s="225">
        <v>5</v>
      </c>
      <c r="C15" s="225" t="s">
        <v>617</v>
      </c>
      <c r="D15" s="225" t="s">
        <v>634</v>
      </c>
      <c r="E15" s="225" t="s">
        <v>660</v>
      </c>
      <c r="F15" s="225" t="s">
        <v>661</v>
      </c>
      <c r="G15" s="225">
        <v>33.94</v>
      </c>
      <c r="H15" s="225">
        <v>-118.16</v>
      </c>
      <c r="I15" s="225">
        <v>0</v>
      </c>
      <c r="J15" s="225">
        <v>0</v>
      </c>
      <c r="K15" s="225">
        <v>0</v>
      </c>
      <c r="L15" s="225">
        <v>0</v>
      </c>
      <c r="M15" s="225">
        <v>0</v>
      </c>
      <c r="N15" s="225">
        <f>VLOOKUP(D15,Utilization!$B$9:$E$44,4,FALSE)</f>
        <v>0.95687171402016358</v>
      </c>
      <c r="O15" s="225">
        <f t="shared" si="3"/>
        <v>0</v>
      </c>
      <c r="P15" s="225">
        <f t="shared" si="4"/>
        <v>0</v>
      </c>
      <c r="Q15" s="215">
        <v>1</v>
      </c>
      <c r="R15" s="266">
        <v>16.940000000000001</v>
      </c>
      <c r="S15" s="266">
        <v>7.91</v>
      </c>
      <c r="T15" s="266">
        <v>14.45</v>
      </c>
      <c r="U15" s="266">
        <v>20.97</v>
      </c>
      <c r="V15" s="266">
        <v>11.1</v>
      </c>
      <c r="W15" s="266">
        <v>11.51</v>
      </c>
      <c r="X15" s="266">
        <v>0.97</v>
      </c>
      <c r="Y15" s="266">
        <v>6.0600000000000003E-5</v>
      </c>
      <c r="Z15" s="266">
        <v>2.67</v>
      </c>
      <c r="AA15" s="266">
        <v>1.86</v>
      </c>
      <c r="AB15" s="266">
        <v>2.6199999999999999E-3</v>
      </c>
      <c r="AC15" s="266">
        <v>5.13E-3</v>
      </c>
      <c r="AD15" s="266">
        <v>2.0899999999999998E-3</v>
      </c>
      <c r="AE15" s="266">
        <v>3.85</v>
      </c>
      <c r="AF15" s="266">
        <v>22.21</v>
      </c>
      <c r="AG15" s="266">
        <v>8.27</v>
      </c>
      <c r="AH15" s="266">
        <v>2.0499999999999998</v>
      </c>
      <c r="AI15" s="266">
        <v>1.03</v>
      </c>
      <c r="AJ15" s="266">
        <v>0</v>
      </c>
      <c r="AK15" s="266">
        <v>0</v>
      </c>
      <c r="AL15" s="314">
        <f>AK15*Conversions!$D$4*1000000</f>
        <v>0</v>
      </c>
      <c r="AM15" s="266">
        <v>0</v>
      </c>
      <c r="AN15" s="313">
        <f>AK15*Conversions!$D$5*1000000</f>
        <v>0</v>
      </c>
      <c r="AO15">
        <f t="shared" si="5"/>
        <v>36</v>
      </c>
    </row>
    <row r="16" spans="1:41" s="225" customFormat="1" x14ac:dyDescent="0.25">
      <c r="A16" s="225">
        <v>6500811</v>
      </c>
      <c r="B16" s="225">
        <v>5</v>
      </c>
      <c r="C16" s="225" t="s">
        <v>617</v>
      </c>
      <c r="D16" s="225" t="s">
        <v>634</v>
      </c>
      <c r="E16" s="225" t="s">
        <v>664</v>
      </c>
      <c r="F16" s="225" t="s">
        <v>640</v>
      </c>
      <c r="G16" s="225">
        <v>33.770000000000003</v>
      </c>
      <c r="H16" s="225">
        <v>-118.23</v>
      </c>
      <c r="I16" s="225">
        <v>0</v>
      </c>
      <c r="J16" s="225">
        <v>0</v>
      </c>
      <c r="K16" s="225">
        <v>0</v>
      </c>
      <c r="L16" s="225">
        <v>0</v>
      </c>
      <c r="M16" s="225">
        <v>0</v>
      </c>
      <c r="N16" s="225">
        <f>VLOOKUP(D16,Utilization!$B$9:$E$44,4,FALSE)</f>
        <v>0.95687171402016358</v>
      </c>
      <c r="O16" s="225">
        <f t="shared" si="3"/>
        <v>0</v>
      </c>
      <c r="P16" s="225">
        <f t="shared" si="4"/>
        <v>0</v>
      </c>
      <c r="Q16" s="215">
        <v>1</v>
      </c>
      <c r="R16" s="266">
        <v>134.13</v>
      </c>
      <c r="S16" s="266">
        <v>179.42</v>
      </c>
      <c r="T16" s="266">
        <v>202.06</v>
      </c>
      <c r="U16" s="266">
        <v>275.33999999999997</v>
      </c>
      <c r="V16" s="266">
        <v>65.09</v>
      </c>
      <c r="W16" s="266">
        <v>69.14</v>
      </c>
      <c r="X16" s="266">
        <v>31.56</v>
      </c>
      <c r="Y16" s="266">
        <v>9.2700000000000005E-3</v>
      </c>
      <c r="Z16" s="266">
        <v>0.88</v>
      </c>
      <c r="AA16" s="266">
        <v>2.44</v>
      </c>
      <c r="AB16" s="266">
        <v>4.82</v>
      </c>
      <c r="AC16" s="266">
        <v>2.11</v>
      </c>
      <c r="AD16" s="266">
        <v>6.22</v>
      </c>
      <c r="AE16" s="266">
        <v>5428.4</v>
      </c>
      <c r="AF16" s="266">
        <v>2299.4699999999998</v>
      </c>
      <c r="AG16" s="266">
        <v>340.99</v>
      </c>
      <c r="AH16" s="266">
        <v>0.96</v>
      </c>
      <c r="AI16" s="266">
        <v>77.23</v>
      </c>
      <c r="AJ16" s="266">
        <v>25.91</v>
      </c>
      <c r="AK16" s="266">
        <v>0</v>
      </c>
      <c r="AL16" s="314">
        <f>AK16*Conversions!$D$4*1000000</f>
        <v>0</v>
      </c>
      <c r="AM16" s="266">
        <v>0</v>
      </c>
      <c r="AN16" s="313">
        <f>AK16*Conversions!$D$5*1000000</f>
        <v>0</v>
      </c>
      <c r="AO16">
        <f t="shared" si="5"/>
        <v>36</v>
      </c>
    </row>
    <row r="17" spans="1:41" s="225" customFormat="1" x14ac:dyDescent="0.25">
      <c r="A17">
        <v>930711</v>
      </c>
      <c r="B17" t="s">
        <v>490</v>
      </c>
      <c r="C17" t="s">
        <v>490</v>
      </c>
      <c r="D17" t="s">
        <v>676</v>
      </c>
      <c r="E17" t="s">
        <v>677</v>
      </c>
      <c r="F17" t="s">
        <v>678</v>
      </c>
      <c r="G17">
        <v>32.1</v>
      </c>
      <c r="H17">
        <v>-81.12</v>
      </c>
      <c r="I17" s="225">
        <v>0</v>
      </c>
      <c r="J17" s="225">
        <v>0</v>
      </c>
      <c r="K17" s="225">
        <v>0</v>
      </c>
      <c r="L17" s="225">
        <v>0</v>
      </c>
      <c r="M17">
        <v>0</v>
      </c>
      <c r="N17">
        <f>VLOOKUP(D17,Utilization!$B$9:$E$44,4,FALSE)</f>
        <v>0.5</v>
      </c>
      <c r="O17">
        <f t="shared" si="3"/>
        <v>0</v>
      </c>
      <c r="P17">
        <f t="shared" si="4"/>
        <v>0</v>
      </c>
      <c r="Q17" s="215">
        <v>1</v>
      </c>
      <c r="R17" s="215">
        <v>21.16</v>
      </c>
      <c r="S17" s="215">
        <v>75.849999999999994</v>
      </c>
      <c r="T17" s="215">
        <v>0.16</v>
      </c>
      <c r="U17" s="215">
        <v>25.2</v>
      </c>
      <c r="V17" s="215">
        <v>1.92</v>
      </c>
      <c r="W17" s="215">
        <v>1.92</v>
      </c>
      <c r="X17" s="215">
        <v>0</v>
      </c>
      <c r="Y17" s="215">
        <v>1.12E-4</v>
      </c>
      <c r="Z17" s="215">
        <v>0.73</v>
      </c>
      <c r="AA17" s="215">
        <v>0.47</v>
      </c>
      <c r="AB17" s="215">
        <v>3.1399999999999998E-5</v>
      </c>
      <c r="AC17" s="215">
        <v>2.5100000000000001E-2</v>
      </c>
      <c r="AD17" s="215">
        <v>8.9700000000000002E-2</v>
      </c>
      <c r="AE17" s="215">
        <v>0</v>
      </c>
      <c r="AF17" s="215">
        <v>22.12</v>
      </c>
      <c r="AG17" s="215">
        <v>0</v>
      </c>
      <c r="AH17" s="215">
        <v>0</v>
      </c>
      <c r="AI17" s="215">
        <v>0</v>
      </c>
      <c r="AJ17" s="215">
        <v>0</v>
      </c>
      <c r="AK17" s="266">
        <v>0</v>
      </c>
      <c r="AL17" s="311">
        <f>AK17*Conversions!$D$4*1000000</f>
        <v>0</v>
      </c>
      <c r="AM17" s="225">
        <v>0</v>
      </c>
      <c r="AN17" s="302">
        <f>AK17*Conversions!$D$5*1000000</f>
        <v>0</v>
      </c>
      <c r="AO17">
        <f t="shared" si="5"/>
        <v>36</v>
      </c>
    </row>
    <row r="18" spans="1:41" s="225" customFormat="1" x14ac:dyDescent="0.25">
      <c r="A18">
        <v>5718611</v>
      </c>
      <c r="B18">
        <v>3</v>
      </c>
      <c r="C18" t="s">
        <v>625</v>
      </c>
      <c r="D18" t="s">
        <v>709</v>
      </c>
      <c r="E18" t="s">
        <v>710</v>
      </c>
      <c r="F18" t="s">
        <v>711</v>
      </c>
      <c r="G18">
        <v>30.28</v>
      </c>
      <c r="H18">
        <v>-93.14</v>
      </c>
      <c r="I18" s="225">
        <v>0</v>
      </c>
      <c r="J18" s="225">
        <v>0</v>
      </c>
      <c r="K18" s="225">
        <v>0</v>
      </c>
      <c r="L18" s="225">
        <v>0</v>
      </c>
      <c r="M18">
        <v>32000</v>
      </c>
      <c r="N18">
        <f>VLOOKUP(D18,Utilization!$B$9:$E$44,4,FALSE)</f>
        <v>0.98291670808070764</v>
      </c>
      <c r="O18">
        <f t="shared" si="3"/>
        <v>31453.334658582644</v>
      </c>
      <c r="P18">
        <f t="shared" si="4"/>
        <v>3.0716147127522115E-5</v>
      </c>
      <c r="Q18" s="215">
        <v>1</v>
      </c>
      <c r="R18" s="215">
        <v>2.16</v>
      </c>
      <c r="S18" s="215">
        <v>15.37</v>
      </c>
      <c r="T18" s="215">
        <v>2.4500000000000001E-2</v>
      </c>
      <c r="U18" s="215">
        <v>3.08</v>
      </c>
      <c r="V18" s="215">
        <v>0.53</v>
      </c>
      <c r="W18" s="215">
        <v>0.53</v>
      </c>
      <c r="X18" s="215">
        <v>0</v>
      </c>
      <c r="Y18" s="215">
        <v>0</v>
      </c>
      <c r="Z18" s="215">
        <v>6.2700000000000006E-2</v>
      </c>
      <c r="AA18" s="215">
        <v>0.13</v>
      </c>
      <c r="AB18" s="215">
        <v>1.3500000000000001E-3</v>
      </c>
      <c r="AC18" s="215">
        <v>0</v>
      </c>
      <c r="AD18" s="215">
        <v>0</v>
      </c>
      <c r="AE18" s="215">
        <v>0</v>
      </c>
      <c r="AF18" s="215">
        <v>0</v>
      </c>
      <c r="AG18" s="215">
        <v>141</v>
      </c>
      <c r="AH18" s="215">
        <v>0</v>
      </c>
      <c r="AI18" s="215">
        <v>0</v>
      </c>
      <c r="AJ18" s="215">
        <v>0</v>
      </c>
      <c r="AK18" s="266">
        <v>0</v>
      </c>
      <c r="AL18" s="311">
        <f>AK18*Conversions!$D$4*1000000</f>
        <v>0</v>
      </c>
      <c r="AM18" s="225">
        <v>0</v>
      </c>
      <c r="AN18" s="302">
        <f>AK18*Conversions!$D$5*1000000</f>
        <v>0</v>
      </c>
      <c r="AO18">
        <f t="shared" si="5"/>
        <v>36</v>
      </c>
    </row>
    <row r="19" spans="1:41" s="225" customFormat="1" x14ac:dyDescent="0.25">
      <c r="A19">
        <v>7139711</v>
      </c>
      <c r="B19">
        <v>3</v>
      </c>
      <c r="C19" t="s">
        <v>625</v>
      </c>
      <c r="D19" t="s">
        <v>752</v>
      </c>
      <c r="E19" t="s">
        <v>755</v>
      </c>
      <c r="F19" t="s">
        <v>756</v>
      </c>
      <c r="G19">
        <v>31.81</v>
      </c>
      <c r="H19">
        <v>-89</v>
      </c>
      <c r="I19" s="225">
        <v>0</v>
      </c>
      <c r="J19" s="225">
        <v>0</v>
      </c>
      <c r="K19" s="225">
        <v>0</v>
      </c>
      <c r="L19" s="225">
        <v>0</v>
      </c>
      <c r="M19">
        <v>0</v>
      </c>
      <c r="N19">
        <f>VLOOKUP(D19,Utilization!$B$9:$E$44,4,FALSE)</f>
        <v>1</v>
      </c>
      <c r="O19">
        <f t="shared" si="3"/>
        <v>0</v>
      </c>
      <c r="P19">
        <f t="shared" si="4"/>
        <v>0</v>
      </c>
      <c r="Q19" s="215">
        <v>1</v>
      </c>
      <c r="R19" s="215">
        <v>19.260000000000002</v>
      </c>
      <c r="S19" s="215">
        <v>122.97</v>
      </c>
      <c r="T19" s="215">
        <v>4.38</v>
      </c>
      <c r="U19" s="215">
        <v>20.39</v>
      </c>
      <c r="V19" s="215">
        <v>4.5</v>
      </c>
      <c r="W19" s="215">
        <v>4.5</v>
      </c>
      <c r="X19" s="215">
        <v>0</v>
      </c>
      <c r="Y19" s="215">
        <v>1.47E-4</v>
      </c>
      <c r="Z19" s="215">
        <v>1.73</v>
      </c>
      <c r="AA19" s="215">
        <v>1.1100000000000001</v>
      </c>
      <c r="AB19" s="215">
        <v>0</v>
      </c>
      <c r="AC19" s="215">
        <v>3.3000000000000002E-2</v>
      </c>
      <c r="AD19" s="215">
        <v>0.12</v>
      </c>
      <c r="AE19" s="215">
        <v>0</v>
      </c>
      <c r="AF19" s="215">
        <v>38</v>
      </c>
      <c r="AG19" s="215">
        <v>1190.4000000000001</v>
      </c>
      <c r="AH19" s="215">
        <v>0</v>
      </c>
      <c r="AI19" s="215">
        <v>0</v>
      </c>
      <c r="AJ19" s="215">
        <v>0</v>
      </c>
      <c r="AK19" s="266">
        <v>0</v>
      </c>
      <c r="AL19" s="311">
        <f>AK19*Conversions!$D$4*1000000</f>
        <v>0</v>
      </c>
      <c r="AM19" s="225">
        <v>0</v>
      </c>
      <c r="AN19" s="302">
        <f>AK19*Conversions!$D$5*1000000</f>
        <v>0</v>
      </c>
      <c r="AO19">
        <f t="shared" si="5"/>
        <v>36</v>
      </c>
    </row>
    <row r="20" spans="1:41" s="225" customFormat="1" x14ac:dyDescent="0.25">
      <c r="A20">
        <v>7154111</v>
      </c>
      <c r="B20">
        <v>3</v>
      </c>
      <c r="C20" t="s">
        <v>625</v>
      </c>
      <c r="D20" t="s">
        <v>752</v>
      </c>
      <c r="E20" t="s">
        <v>755</v>
      </c>
      <c r="F20" t="s">
        <v>757</v>
      </c>
      <c r="G20">
        <v>31.02</v>
      </c>
      <c r="H20">
        <v>-89.44</v>
      </c>
      <c r="I20" s="225">
        <v>0</v>
      </c>
      <c r="J20" s="225">
        <v>0</v>
      </c>
      <c r="K20" s="225">
        <v>0</v>
      </c>
      <c r="L20" s="225">
        <v>0</v>
      </c>
      <c r="M20">
        <v>0</v>
      </c>
      <c r="N20">
        <f>VLOOKUP(D20,Utilization!$B$9:$E$44,4,FALSE)</f>
        <v>1</v>
      </c>
      <c r="O20">
        <f t="shared" si="3"/>
        <v>0</v>
      </c>
      <c r="P20">
        <f t="shared" si="4"/>
        <v>0</v>
      </c>
      <c r="Q20" s="215">
        <v>1</v>
      </c>
      <c r="R20" s="215">
        <v>3.33</v>
      </c>
      <c r="S20" s="215">
        <v>9.17</v>
      </c>
      <c r="T20" s="215">
        <v>0.03</v>
      </c>
      <c r="U20" s="215">
        <v>3.95</v>
      </c>
      <c r="V20" s="215">
        <v>0.23</v>
      </c>
      <c r="W20" s="215">
        <v>0.31</v>
      </c>
      <c r="X20" s="215">
        <v>0</v>
      </c>
      <c r="Y20" s="215">
        <v>1.5800000000000001E-5</v>
      </c>
      <c r="Z20" s="215">
        <v>8.8300000000000003E-2</v>
      </c>
      <c r="AA20" s="215">
        <v>5.6800000000000003E-2</v>
      </c>
      <c r="AB20" s="215">
        <v>0</v>
      </c>
      <c r="AC20" s="215">
        <v>3.5400000000000002E-3</v>
      </c>
      <c r="AD20" s="215">
        <v>1.26E-2</v>
      </c>
      <c r="AE20" s="215">
        <v>0</v>
      </c>
      <c r="AF20" s="215">
        <v>20.399999999999999</v>
      </c>
      <c r="AG20" s="215">
        <v>5</v>
      </c>
      <c r="AH20" s="215">
        <v>0</v>
      </c>
      <c r="AI20" s="215">
        <v>0</v>
      </c>
      <c r="AJ20" s="215">
        <v>0</v>
      </c>
      <c r="AK20" s="266">
        <v>0</v>
      </c>
      <c r="AL20" s="311">
        <f>AK20*Conversions!$D$4*1000000</f>
        <v>0</v>
      </c>
      <c r="AM20" s="225">
        <v>0</v>
      </c>
      <c r="AN20" s="302">
        <f>AK20*Conversions!$D$5*1000000</f>
        <v>0</v>
      </c>
      <c r="AO20">
        <f t="shared" si="5"/>
        <v>36</v>
      </c>
    </row>
    <row r="21" spans="1:41" s="225" customFormat="1" x14ac:dyDescent="0.25">
      <c r="A21">
        <v>7201411</v>
      </c>
      <c r="B21">
        <v>1</v>
      </c>
      <c r="C21" t="s">
        <v>672</v>
      </c>
      <c r="D21" t="s">
        <v>771</v>
      </c>
      <c r="E21" t="s">
        <v>774</v>
      </c>
      <c r="F21" t="s">
        <v>773</v>
      </c>
      <c r="G21">
        <v>39.840000000000003</v>
      </c>
      <c r="H21">
        <v>-75.22</v>
      </c>
      <c r="I21" s="225">
        <v>0</v>
      </c>
      <c r="J21" s="225">
        <v>0</v>
      </c>
      <c r="K21" s="225">
        <v>0</v>
      </c>
      <c r="L21" s="225">
        <v>0</v>
      </c>
      <c r="M21">
        <v>0</v>
      </c>
      <c r="N21">
        <f>VLOOKUP(D21,Utilization!$B$9:$E$44,4,FALSE)</f>
        <v>0.72627737226277367</v>
      </c>
      <c r="O21">
        <f t="shared" si="3"/>
        <v>0</v>
      </c>
      <c r="P21">
        <f t="shared" si="4"/>
        <v>0</v>
      </c>
      <c r="Q21" s="215">
        <v>1</v>
      </c>
      <c r="R21" s="215">
        <v>30.22</v>
      </c>
      <c r="S21" s="215">
        <v>22.6</v>
      </c>
      <c r="T21" s="215">
        <v>13.23</v>
      </c>
      <c r="U21" s="215">
        <v>77.430000000000007</v>
      </c>
      <c r="V21" s="215">
        <v>15.51</v>
      </c>
      <c r="W21" s="215">
        <v>15.57</v>
      </c>
      <c r="X21" s="215">
        <v>2.39</v>
      </c>
      <c r="Y21" s="215">
        <v>0</v>
      </c>
      <c r="Z21" s="215">
        <v>1.4</v>
      </c>
      <c r="AA21" s="215">
        <v>2.38</v>
      </c>
      <c r="AB21" s="215">
        <v>1.83E-2</v>
      </c>
      <c r="AC21" s="215">
        <v>4.5699999999999998E-2</v>
      </c>
      <c r="AD21" s="215">
        <v>0.16</v>
      </c>
      <c r="AE21" s="215">
        <v>0</v>
      </c>
      <c r="AF21" s="215">
        <v>40.229999999999997</v>
      </c>
      <c r="AG21" s="215">
        <v>43</v>
      </c>
      <c r="AH21" s="215">
        <v>0</v>
      </c>
      <c r="AI21" s="215">
        <v>0</v>
      </c>
      <c r="AJ21" s="215">
        <v>0</v>
      </c>
      <c r="AK21" s="266">
        <v>0</v>
      </c>
      <c r="AL21" s="311">
        <f>AK21*Conversions!$D$4*1000000</f>
        <v>0</v>
      </c>
      <c r="AM21" s="225">
        <v>0</v>
      </c>
      <c r="AN21" s="302">
        <f>AK21*Conversions!$D$5*1000000</f>
        <v>0</v>
      </c>
      <c r="AO21">
        <f t="shared" si="5"/>
        <v>36</v>
      </c>
    </row>
    <row r="22" spans="1:41" s="225" customFormat="1" x14ac:dyDescent="0.25">
      <c r="A22">
        <v>7444311</v>
      </c>
      <c r="B22">
        <v>1</v>
      </c>
      <c r="C22" t="s">
        <v>672</v>
      </c>
      <c r="D22" t="s">
        <v>771</v>
      </c>
      <c r="E22" t="s">
        <v>775</v>
      </c>
      <c r="F22" t="s">
        <v>776</v>
      </c>
      <c r="G22">
        <v>40.53</v>
      </c>
      <c r="H22">
        <v>-74.260000000000005</v>
      </c>
      <c r="I22" s="225">
        <v>0</v>
      </c>
      <c r="J22" s="225">
        <v>0</v>
      </c>
      <c r="K22" s="225">
        <v>0</v>
      </c>
      <c r="L22" s="225">
        <v>0</v>
      </c>
      <c r="M22">
        <v>0</v>
      </c>
      <c r="N22">
        <f>VLOOKUP(D22,Utilization!$B$9:$E$44,4,FALSE)</f>
        <v>0.72627737226277367</v>
      </c>
      <c r="O22">
        <f t="shared" si="3"/>
        <v>0</v>
      </c>
      <c r="P22">
        <f t="shared" si="4"/>
        <v>0</v>
      </c>
      <c r="Q22" s="215">
        <v>1</v>
      </c>
      <c r="R22" s="215">
        <v>0.44</v>
      </c>
      <c r="S22" s="215">
        <v>20.329999999999998</v>
      </c>
      <c r="T22" s="215">
        <v>0.13</v>
      </c>
      <c r="U22" s="215">
        <v>2.17</v>
      </c>
      <c r="V22" s="215">
        <v>0.32</v>
      </c>
      <c r="W22" s="215">
        <v>0.9</v>
      </c>
      <c r="X22" s="215">
        <v>0.4</v>
      </c>
      <c r="Y22" s="215">
        <v>0</v>
      </c>
      <c r="Z22" s="215">
        <v>7.4499999999999997E-2</v>
      </c>
      <c r="AA22" s="215">
        <v>3.3399999999999999E-2</v>
      </c>
      <c r="AB22" s="215">
        <v>1.7100000000000001E-4</v>
      </c>
      <c r="AC22" s="215">
        <v>0</v>
      </c>
      <c r="AD22" s="215">
        <v>0</v>
      </c>
      <c r="AE22" s="215">
        <v>6.0000000000000001E-3</v>
      </c>
      <c r="AF22" s="215">
        <v>7.5199999999999998E-3</v>
      </c>
      <c r="AG22" s="215">
        <v>0</v>
      </c>
      <c r="AH22" s="215">
        <v>7.5100000000000004E-4</v>
      </c>
      <c r="AI22" s="215">
        <v>0</v>
      </c>
      <c r="AJ22" s="215">
        <v>0</v>
      </c>
      <c r="AK22" s="266">
        <v>0</v>
      </c>
      <c r="AL22" s="311">
        <f>AK22*Conversions!$D$4*1000000</f>
        <v>0</v>
      </c>
      <c r="AM22" s="225">
        <v>0</v>
      </c>
      <c r="AN22" s="302">
        <f>AK22*Conversions!$D$5*1000000</f>
        <v>0</v>
      </c>
      <c r="AO22">
        <f t="shared" si="5"/>
        <v>36</v>
      </c>
    </row>
    <row r="23" spans="1:41" s="225" customFormat="1" x14ac:dyDescent="0.25">
      <c r="A23">
        <v>8237311</v>
      </c>
      <c r="B23">
        <v>1</v>
      </c>
      <c r="C23" t="s">
        <v>672</v>
      </c>
      <c r="D23" t="s">
        <v>771</v>
      </c>
      <c r="E23" t="s">
        <v>781</v>
      </c>
      <c r="F23" t="s">
        <v>782</v>
      </c>
      <c r="G23">
        <v>40.549999999999997</v>
      </c>
      <c r="H23">
        <v>-74.239999999999995</v>
      </c>
      <c r="I23" s="225">
        <v>0</v>
      </c>
      <c r="J23" s="225">
        <v>0</v>
      </c>
      <c r="K23" s="225">
        <v>0</v>
      </c>
      <c r="L23" s="225">
        <v>0</v>
      </c>
      <c r="M23">
        <v>0</v>
      </c>
      <c r="N23">
        <f>VLOOKUP(D23,Utilization!$B$9:$E$44,4,FALSE)</f>
        <v>0.72627737226277367</v>
      </c>
      <c r="O23">
        <f t="shared" si="3"/>
        <v>0</v>
      </c>
      <c r="P23">
        <f t="shared" si="4"/>
        <v>0</v>
      </c>
      <c r="Q23" s="215">
        <v>1</v>
      </c>
      <c r="R23" s="215">
        <v>260.63</v>
      </c>
      <c r="S23" s="215">
        <v>218.92</v>
      </c>
      <c r="T23" s="215">
        <v>119.81</v>
      </c>
      <c r="U23" s="215">
        <v>213.79</v>
      </c>
      <c r="V23" s="215">
        <v>38.32</v>
      </c>
      <c r="W23" s="215">
        <v>38.32</v>
      </c>
      <c r="X23" s="215">
        <v>3.87</v>
      </c>
      <c r="Y23" s="215">
        <v>8.7999999999999995E-2</v>
      </c>
      <c r="Z23" s="215">
        <v>0.98</v>
      </c>
      <c r="AA23" s="215">
        <v>1.05</v>
      </c>
      <c r="AB23" s="215">
        <v>0</v>
      </c>
      <c r="AC23" s="215">
        <v>0</v>
      </c>
      <c r="AD23" s="215">
        <v>0</v>
      </c>
      <c r="AE23" s="215">
        <v>0</v>
      </c>
      <c r="AF23" s="215">
        <v>0</v>
      </c>
      <c r="AG23" s="215">
        <v>2379</v>
      </c>
      <c r="AH23" s="215">
        <v>0</v>
      </c>
      <c r="AI23" s="215">
        <v>1</v>
      </c>
      <c r="AJ23" s="215">
        <v>0</v>
      </c>
      <c r="AK23" s="266">
        <v>0</v>
      </c>
      <c r="AL23" s="311">
        <f>AK23*Conversions!$D$4*1000000</f>
        <v>0</v>
      </c>
      <c r="AM23" s="225">
        <v>0</v>
      </c>
      <c r="AN23" s="302">
        <f>AK23*Conversions!$D$5*1000000</f>
        <v>0</v>
      </c>
      <c r="AO23">
        <f t="shared" si="5"/>
        <v>36</v>
      </c>
    </row>
    <row r="24" spans="1:41" s="225" customFormat="1" x14ac:dyDescent="0.25">
      <c r="A24">
        <v>7980011</v>
      </c>
      <c r="B24">
        <v>3</v>
      </c>
      <c r="C24" t="s">
        <v>625</v>
      </c>
      <c r="D24" t="s">
        <v>783</v>
      </c>
      <c r="E24" t="s">
        <v>786</v>
      </c>
      <c r="F24" t="s">
        <v>787</v>
      </c>
      <c r="G24">
        <v>32.869999999999997</v>
      </c>
      <c r="H24">
        <v>-103.3</v>
      </c>
      <c r="I24" s="225">
        <v>0</v>
      </c>
      <c r="J24" s="225">
        <v>0</v>
      </c>
      <c r="K24" s="225">
        <v>0</v>
      </c>
      <c r="L24" s="225">
        <v>0</v>
      </c>
      <c r="M24">
        <v>0</v>
      </c>
      <c r="N24">
        <f>VLOOKUP(D24,Utilization!$B$9:$E$44,4,FALSE)</f>
        <v>0.88243526941917427</v>
      </c>
      <c r="O24">
        <f t="shared" si="3"/>
        <v>0</v>
      </c>
      <c r="P24">
        <f t="shared" si="4"/>
        <v>0</v>
      </c>
      <c r="Q24" s="215">
        <v>1</v>
      </c>
      <c r="R24" s="215">
        <v>54.28</v>
      </c>
      <c r="S24" s="215">
        <v>39.119999999999997</v>
      </c>
      <c r="T24" s="215">
        <v>0.92</v>
      </c>
      <c r="U24" s="215">
        <v>29.59</v>
      </c>
      <c r="V24" s="215">
        <v>9.89</v>
      </c>
      <c r="W24" s="215">
        <v>9.89</v>
      </c>
      <c r="X24" s="215">
        <v>0</v>
      </c>
      <c r="Y24" s="215">
        <v>6.4999999999999997E-4</v>
      </c>
      <c r="Z24" s="215">
        <v>3.46</v>
      </c>
      <c r="AA24" s="215">
        <v>2.25</v>
      </c>
      <c r="AB24" s="215">
        <v>0</v>
      </c>
      <c r="AC24" s="215">
        <v>0</v>
      </c>
      <c r="AD24" s="215">
        <v>0</v>
      </c>
      <c r="AE24" s="215">
        <v>0</v>
      </c>
      <c r="AF24" s="215">
        <v>0</v>
      </c>
      <c r="AG24" s="215">
        <v>296</v>
      </c>
      <c r="AH24" s="215">
        <v>0</v>
      </c>
      <c r="AI24" s="215">
        <v>0</v>
      </c>
      <c r="AJ24" s="215">
        <v>0</v>
      </c>
      <c r="AK24" s="266">
        <v>0</v>
      </c>
      <c r="AL24" s="311">
        <f>AK24*Conversions!$D$4*1000000</f>
        <v>0</v>
      </c>
      <c r="AM24" s="225">
        <v>0</v>
      </c>
      <c r="AN24" s="302">
        <f>AK24*Conversions!$D$5*1000000</f>
        <v>0</v>
      </c>
      <c r="AO24">
        <f t="shared" si="5"/>
        <v>36</v>
      </c>
    </row>
    <row r="25" spans="1:41" s="225" customFormat="1" x14ac:dyDescent="0.25">
      <c r="A25">
        <v>8091811</v>
      </c>
      <c r="B25">
        <v>3</v>
      </c>
      <c r="C25" t="s">
        <v>625</v>
      </c>
      <c r="D25" t="s">
        <v>783</v>
      </c>
      <c r="E25" t="s">
        <v>788</v>
      </c>
      <c r="F25" t="s">
        <v>789</v>
      </c>
      <c r="G25">
        <v>36.69</v>
      </c>
      <c r="H25">
        <v>-107.97</v>
      </c>
      <c r="I25" s="225">
        <v>0</v>
      </c>
      <c r="J25" s="225">
        <v>0</v>
      </c>
      <c r="K25" s="225">
        <v>0</v>
      </c>
      <c r="L25" s="225">
        <v>0</v>
      </c>
      <c r="M25">
        <v>0</v>
      </c>
      <c r="N25">
        <f>VLOOKUP(D25,Utilization!$B$9:$E$44,4,FALSE)</f>
        <v>0.88243526941917427</v>
      </c>
      <c r="O25">
        <f t="shared" si="3"/>
        <v>0</v>
      </c>
      <c r="P25">
        <f t="shared" si="4"/>
        <v>0</v>
      </c>
      <c r="Q25" s="215">
        <v>1</v>
      </c>
      <c r="R25" s="215">
        <v>3.2</v>
      </c>
      <c r="S25" s="215">
        <v>37.56</v>
      </c>
      <c r="T25" s="215">
        <v>6.3</v>
      </c>
      <c r="U25" s="215">
        <v>7</v>
      </c>
      <c r="V25" s="215">
        <v>0.28999999999999998</v>
      </c>
      <c r="W25" s="215">
        <v>0.28999999999999998</v>
      </c>
      <c r="X25" s="215">
        <v>0</v>
      </c>
      <c r="Y25" s="215">
        <v>2.9E-5</v>
      </c>
      <c r="Z25" s="215">
        <v>0.11</v>
      </c>
      <c r="AA25" s="215">
        <v>7.1599999999999997E-2</v>
      </c>
      <c r="AB25" s="215">
        <v>0</v>
      </c>
      <c r="AC25" s="215">
        <v>6.4999999999999997E-3</v>
      </c>
      <c r="AD25" s="215">
        <v>2.3199999999999998E-2</v>
      </c>
      <c r="AE25" s="215">
        <v>0</v>
      </c>
      <c r="AF25" s="215">
        <v>5.45</v>
      </c>
      <c r="AG25" s="215">
        <v>1100</v>
      </c>
      <c r="AH25" s="215">
        <v>0</v>
      </c>
      <c r="AI25" s="215">
        <v>0</v>
      </c>
      <c r="AJ25" s="215">
        <v>0</v>
      </c>
      <c r="AK25" s="266">
        <v>0</v>
      </c>
      <c r="AL25" s="311">
        <f>AK25*Conversions!$D$4*1000000</f>
        <v>0</v>
      </c>
      <c r="AM25" s="225">
        <v>0</v>
      </c>
      <c r="AN25" s="302">
        <f>AK25*Conversions!$D$5*1000000</f>
        <v>0</v>
      </c>
      <c r="AO25">
        <f t="shared" si="5"/>
        <v>36</v>
      </c>
    </row>
    <row r="26" spans="1:41" s="225" customFormat="1" x14ac:dyDescent="0.25">
      <c r="A26">
        <v>8179311</v>
      </c>
      <c r="B26" t="s">
        <v>490</v>
      </c>
      <c r="C26" t="s">
        <v>490</v>
      </c>
      <c r="D26" t="s">
        <v>792</v>
      </c>
      <c r="E26" t="s">
        <v>793</v>
      </c>
      <c r="F26" t="s">
        <v>794</v>
      </c>
      <c r="G26">
        <v>38.619999999999997</v>
      </c>
      <c r="H26">
        <v>-115.61</v>
      </c>
      <c r="I26" s="225">
        <v>0</v>
      </c>
      <c r="J26" s="225">
        <v>0</v>
      </c>
      <c r="K26" s="225">
        <v>0</v>
      </c>
      <c r="L26" s="225">
        <v>0</v>
      </c>
      <c r="M26">
        <v>0</v>
      </c>
      <c r="N26">
        <f>VLOOKUP(D26,Utilization!$B$9:$E$44,4,FALSE)</f>
        <v>1</v>
      </c>
      <c r="O26">
        <f t="shared" si="3"/>
        <v>0</v>
      </c>
      <c r="P26">
        <f t="shared" si="4"/>
        <v>0</v>
      </c>
      <c r="Q26" s="215">
        <v>1</v>
      </c>
      <c r="R26" s="215">
        <v>3.79</v>
      </c>
      <c r="S26" s="215">
        <v>11.34</v>
      </c>
      <c r="T26" s="215">
        <v>85.21</v>
      </c>
      <c r="U26" s="215">
        <v>41.57</v>
      </c>
      <c r="V26" s="215">
        <v>3.88</v>
      </c>
      <c r="W26" s="215">
        <v>8.56</v>
      </c>
      <c r="X26" s="215">
        <v>0</v>
      </c>
      <c r="Y26" s="215">
        <v>0</v>
      </c>
      <c r="Z26" s="215">
        <v>4.4999999999999998E-2</v>
      </c>
      <c r="AA26" s="215">
        <v>4.0300000000000002E-2</v>
      </c>
      <c r="AB26" s="215">
        <v>0.27</v>
      </c>
      <c r="AC26" s="215">
        <v>0</v>
      </c>
      <c r="AD26" s="215">
        <v>0</v>
      </c>
      <c r="AE26" s="215">
        <v>0</v>
      </c>
      <c r="AF26" s="215">
        <v>0</v>
      </c>
      <c r="AG26" s="215">
        <v>0</v>
      </c>
      <c r="AH26" s="215">
        <v>0</v>
      </c>
      <c r="AI26" s="215">
        <v>0</v>
      </c>
      <c r="AJ26" s="215">
        <v>0</v>
      </c>
      <c r="AK26" s="266">
        <v>0</v>
      </c>
      <c r="AL26" s="311">
        <f>AK26*Conversions!$D$4*1000000</f>
        <v>0</v>
      </c>
      <c r="AM26" s="225">
        <v>0</v>
      </c>
      <c r="AN26" s="302">
        <f>AK26*Conversions!$D$5*1000000</f>
        <v>0</v>
      </c>
      <c r="AO26">
        <f t="shared" si="5"/>
        <v>36</v>
      </c>
    </row>
    <row r="27" spans="1:41" s="225" customFormat="1" x14ac:dyDescent="0.25">
      <c r="A27">
        <v>7319811</v>
      </c>
      <c r="B27">
        <v>2</v>
      </c>
      <c r="C27" t="s">
        <v>683</v>
      </c>
      <c r="D27" t="s">
        <v>795</v>
      </c>
      <c r="E27" t="s">
        <v>798</v>
      </c>
      <c r="F27" t="s">
        <v>799</v>
      </c>
      <c r="G27">
        <v>41.63</v>
      </c>
      <c r="H27">
        <v>-83.5</v>
      </c>
      <c r="I27" s="225">
        <v>152000</v>
      </c>
      <c r="J27" s="225">
        <v>67925</v>
      </c>
      <c r="K27" s="225">
        <v>31050</v>
      </c>
      <c r="L27" s="225">
        <v>27900</v>
      </c>
      <c r="M27">
        <v>0</v>
      </c>
      <c r="N27">
        <f>VLOOKUP(D27,Utilization!$B$9:$E$44,4,FALSE)</f>
        <v>1</v>
      </c>
      <c r="O27">
        <f t="shared" si="3"/>
        <v>0</v>
      </c>
      <c r="P27">
        <f t="shared" si="4"/>
        <v>0</v>
      </c>
      <c r="Q27" s="215">
        <v>1</v>
      </c>
      <c r="R27" s="215">
        <v>1711.01</v>
      </c>
      <c r="S27" s="215">
        <v>432.78</v>
      </c>
      <c r="T27" s="215">
        <v>127.24</v>
      </c>
      <c r="U27" s="215">
        <v>1222.07</v>
      </c>
      <c r="V27" s="215">
        <v>306.91000000000003</v>
      </c>
      <c r="W27" s="215">
        <v>312.88</v>
      </c>
      <c r="X27" s="215">
        <v>0.59</v>
      </c>
      <c r="Y27" s="215">
        <v>7.0800000000000004E-3</v>
      </c>
      <c r="Z27" s="215">
        <v>9.2899999999999991</v>
      </c>
      <c r="AA27" s="215">
        <v>22.97</v>
      </c>
      <c r="AB27" s="215">
        <v>5.4</v>
      </c>
      <c r="AC27" s="215">
        <v>160.79</v>
      </c>
      <c r="AD27" s="215">
        <v>4.1399999999999997</v>
      </c>
      <c r="AE27" s="215">
        <v>264.56</v>
      </c>
      <c r="AF27" s="215">
        <v>1552.12</v>
      </c>
      <c r="AG27" s="215">
        <v>276.88</v>
      </c>
      <c r="AH27" s="215">
        <v>367.01</v>
      </c>
      <c r="AI27" s="215">
        <v>45.09</v>
      </c>
      <c r="AJ27" s="215">
        <v>0</v>
      </c>
      <c r="AK27" s="266">
        <v>0</v>
      </c>
      <c r="AL27" s="311">
        <f>AK27*Conversions!$D$4*1000000</f>
        <v>0</v>
      </c>
      <c r="AM27" s="225">
        <v>0</v>
      </c>
      <c r="AN27" s="302">
        <f>AK27*Conversions!$D$5*1000000</f>
        <v>0</v>
      </c>
      <c r="AO27">
        <f t="shared" si="5"/>
        <v>36</v>
      </c>
    </row>
    <row r="28" spans="1:41" s="225" customFormat="1" x14ac:dyDescent="0.25">
      <c r="A28">
        <v>8418011</v>
      </c>
      <c r="B28">
        <v>2</v>
      </c>
      <c r="C28" t="s">
        <v>683</v>
      </c>
      <c r="D28" t="s">
        <v>795</v>
      </c>
      <c r="E28" t="s">
        <v>802</v>
      </c>
      <c r="F28" t="s">
        <v>799</v>
      </c>
      <c r="G28">
        <v>41.67</v>
      </c>
      <c r="H28">
        <v>-83.45</v>
      </c>
      <c r="I28" s="225">
        <v>0</v>
      </c>
      <c r="J28" s="225">
        <v>0</v>
      </c>
      <c r="K28" s="225">
        <v>0</v>
      </c>
      <c r="L28" s="225">
        <v>0</v>
      </c>
      <c r="M28">
        <v>0</v>
      </c>
      <c r="N28">
        <f>VLOOKUP(D28,Utilization!$B$9:$E$44,4,FALSE)</f>
        <v>1</v>
      </c>
      <c r="O28">
        <f t="shared" si="3"/>
        <v>0</v>
      </c>
      <c r="P28">
        <f t="shared" si="4"/>
        <v>0</v>
      </c>
      <c r="Q28" s="215">
        <v>1</v>
      </c>
      <c r="R28" s="215">
        <v>581.55999999999995</v>
      </c>
      <c r="S28" s="215">
        <v>770.95</v>
      </c>
      <c r="T28" s="215">
        <v>771.68</v>
      </c>
      <c r="U28" s="215">
        <v>1068.25</v>
      </c>
      <c r="V28" s="215">
        <v>111.25</v>
      </c>
      <c r="W28" s="215">
        <v>145.93</v>
      </c>
      <c r="X28" s="215">
        <v>22.55</v>
      </c>
      <c r="Y28" s="215">
        <v>2.52E-2</v>
      </c>
      <c r="Z28" s="215">
        <v>10.130000000000001</v>
      </c>
      <c r="AA28" s="215">
        <v>16.440000000000001</v>
      </c>
      <c r="AB28" s="215">
        <v>31.99</v>
      </c>
      <c r="AC28" s="215">
        <v>0.33</v>
      </c>
      <c r="AD28" s="215">
        <v>48.99</v>
      </c>
      <c r="AE28" s="215">
        <v>129.44999999999999</v>
      </c>
      <c r="AF28" s="215">
        <v>773.12</v>
      </c>
      <c r="AG28" s="215">
        <v>4000</v>
      </c>
      <c r="AH28" s="215">
        <v>0</v>
      </c>
      <c r="AI28" s="215">
        <v>1440</v>
      </c>
      <c r="AJ28" s="215">
        <v>3560.86</v>
      </c>
      <c r="AK28" s="266">
        <v>0</v>
      </c>
      <c r="AL28" s="311">
        <f>AK28*Conversions!$D$4*1000000</f>
        <v>0</v>
      </c>
      <c r="AM28" s="225">
        <v>0</v>
      </c>
      <c r="AN28" s="302">
        <f>AK28*Conversions!$D$5*1000000</f>
        <v>0</v>
      </c>
      <c r="AO28">
        <f t="shared" si="5"/>
        <v>36</v>
      </c>
    </row>
    <row r="29" spans="1:41" s="352" customFormat="1" x14ac:dyDescent="0.25">
      <c r="A29" s="339" t="s">
        <v>1234</v>
      </c>
      <c r="B29" s="339">
        <v>2</v>
      </c>
      <c r="C29" s="339" t="s">
        <v>683</v>
      </c>
      <c r="D29" s="339" t="s">
        <v>803</v>
      </c>
      <c r="E29" s="339" t="s">
        <v>1236</v>
      </c>
      <c r="F29" s="339" t="s">
        <v>808</v>
      </c>
      <c r="G29" s="339">
        <v>36.119999999999997</v>
      </c>
      <c r="H29" s="339">
        <v>-96</v>
      </c>
      <c r="I29" s="339">
        <v>125000</v>
      </c>
      <c r="J29" s="339">
        <v>0</v>
      </c>
      <c r="K29" s="339">
        <v>0</v>
      </c>
      <c r="L29" s="339">
        <v>0</v>
      </c>
      <c r="M29" s="339">
        <v>125000</v>
      </c>
      <c r="N29" s="339">
        <v>0.97695410024966389</v>
      </c>
      <c r="O29" s="339">
        <f t="shared" si="3"/>
        <v>122119.26253120799</v>
      </c>
      <c r="P29" s="339">
        <f t="shared" si="4"/>
        <v>7.815632801997311E-6</v>
      </c>
      <c r="Q29" s="354">
        <v>1</v>
      </c>
      <c r="R29" s="339">
        <v>972.91000000000008</v>
      </c>
      <c r="S29" s="339">
        <v>1309.7</v>
      </c>
      <c r="T29" s="339">
        <v>1690.46</v>
      </c>
      <c r="U29" s="339">
        <v>972.7</v>
      </c>
      <c r="V29" s="339">
        <v>122.74</v>
      </c>
      <c r="W29" s="339">
        <v>375.02</v>
      </c>
      <c r="X29" s="339">
        <v>24.4</v>
      </c>
      <c r="Y29" s="339">
        <v>2E-3</v>
      </c>
      <c r="Z29" s="339">
        <v>16.989999999999998</v>
      </c>
      <c r="AA29" s="339">
        <v>19.310000000000002</v>
      </c>
      <c r="AB29" s="339">
        <v>22</v>
      </c>
      <c r="AC29" s="339">
        <v>5</v>
      </c>
      <c r="AD29" s="339">
        <v>6.48</v>
      </c>
      <c r="AE29" s="339">
        <v>276</v>
      </c>
      <c r="AF29" s="339">
        <v>22056</v>
      </c>
      <c r="AG29" s="339">
        <v>34484</v>
      </c>
      <c r="AH29" s="339">
        <v>8</v>
      </c>
      <c r="AI29" s="339">
        <v>60</v>
      </c>
      <c r="AJ29" s="339">
        <v>246</v>
      </c>
      <c r="AK29" s="339">
        <v>0</v>
      </c>
      <c r="AL29" s="339">
        <v>0</v>
      </c>
      <c r="AM29" s="339">
        <v>0</v>
      </c>
      <c r="AN29" s="339">
        <v>0</v>
      </c>
      <c r="AO29" s="339">
        <f t="shared" si="5"/>
        <v>131</v>
      </c>
    </row>
    <row r="30" spans="1:41" s="225" customFormat="1" x14ac:dyDescent="0.25">
      <c r="A30">
        <v>8204011</v>
      </c>
      <c r="B30" t="s">
        <v>490</v>
      </c>
      <c r="C30" t="s">
        <v>490</v>
      </c>
      <c r="D30" t="s">
        <v>811</v>
      </c>
      <c r="E30" t="s">
        <v>812</v>
      </c>
      <c r="F30" t="s">
        <v>813</v>
      </c>
      <c r="G30">
        <v>45.56</v>
      </c>
      <c r="H30">
        <v>-122.73</v>
      </c>
      <c r="I30" s="225">
        <v>0</v>
      </c>
      <c r="J30" s="225">
        <v>0</v>
      </c>
      <c r="K30" s="225">
        <v>0</v>
      </c>
      <c r="L30" s="225">
        <v>0</v>
      </c>
      <c r="M30">
        <v>0</v>
      </c>
      <c r="N30">
        <v>0</v>
      </c>
      <c r="O30">
        <f t="shared" si="3"/>
        <v>0</v>
      </c>
      <c r="P30">
        <f t="shared" si="4"/>
        <v>0</v>
      </c>
      <c r="Q30" s="215">
        <v>1</v>
      </c>
      <c r="R30" s="215">
        <v>8.49</v>
      </c>
      <c r="S30" s="215">
        <v>45.09</v>
      </c>
      <c r="T30" s="215">
        <v>0.17</v>
      </c>
      <c r="U30" s="215">
        <v>10.1</v>
      </c>
      <c r="V30" s="215">
        <v>0.25</v>
      </c>
      <c r="W30" s="215">
        <v>0.25</v>
      </c>
      <c r="X30" s="215">
        <v>0</v>
      </c>
      <c r="Y30" s="215">
        <v>0</v>
      </c>
      <c r="Z30" s="215">
        <v>2.5500000000000002E-3</v>
      </c>
      <c r="AA30" s="215">
        <v>2.5400000000000002E-3</v>
      </c>
      <c r="AB30" s="215">
        <v>0</v>
      </c>
      <c r="AC30" s="215">
        <v>0</v>
      </c>
      <c r="AD30" s="215">
        <v>0</v>
      </c>
      <c r="AE30" s="215">
        <v>0</v>
      </c>
      <c r="AF30" s="215">
        <v>0</v>
      </c>
      <c r="AG30" s="215">
        <v>0</v>
      </c>
      <c r="AH30" s="215">
        <v>0</v>
      </c>
      <c r="AI30" s="215">
        <v>0</v>
      </c>
      <c r="AJ30" s="215">
        <v>0</v>
      </c>
      <c r="AK30" s="266">
        <v>0</v>
      </c>
      <c r="AL30" s="311">
        <f>AK30*Conversions!$D$4*1000000</f>
        <v>0</v>
      </c>
      <c r="AM30" s="225">
        <v>0</v>
      </c>
      <c r="AN30" s="302">
        <f>AK30*Conversions!$D$5*1000000</f>
        <v>0</v>
      </c>
      <c r="AO30">
        <f t="shared" si="5"/>
        <v>36</v>
      </c>
    </row>
    <row r="31" spans="1:41" s="225" customFormat="1" x14ac:dyDescent="0.25">
      <c r="A31">
        <v>4179611</v>
      </c>
      <c r="B31">
        <v>3</v>
      </c>
      <c r="C31" t="s">
        <v>625</v>
      </c>
      <c r="D31" t="s">
        <v>828</v>
      </c>
      <c r="E31" t="s">
        <v>839</v>
      </c>
      <c r="F31" t="s">
        <v>836</v>
      </c>
      <c r="G31">
        <v>27.81</v>
      </c>
      <c r="H31">
        <v>-97.49</v>
      </c>
      <c r="I31" s="225">
        <v>0</v>
      </c>
      <c r="J31" s="225">
        <v>0</v>
      </c>
      <c r="K31" s="225">
        <v>0</v>
      </c>
      <c r="L31" s="225">
        <v>0</v>
      </c>
      <c r="M31">
        <v>0</v>
      </c>
      <c r="N31">
        <f>VLOOKUP(D31,Utilization!$B$9:$E$44,4,FALSE)</f>
        <v>0.9875985727971196</v>
      </c>
      <c r="O31">
        <f t="shared" si="3"/>
        <v>0</v>
      </c>
      <c r="P31">
        <f t="shared" si="4"/>
        <v>0</v>
      </c>
      <c r="Q31" s="215">
        <v>1</v>
      </c>
      <c r="R31" s="215">
        <v>4.38</v>
      </c>
      <c r="S31" s="215">
        <v>22.77</v>
      </c>
      <c r="T31" s="215">
        <v>5.72</v>
      </c>
      <c r="U31" s="215">
        <v>8.36</v>
      </c>
      <c r="V31" s="215">
        <v>0.52</v>
      </c>
      <c r="W31" s="215">
        <v>0.52</v>
      </c>
      <c r="X31" s="215">
        <v>0</v>
      </c>
      <c r="Y31" s="215">
        <v>4.1E-5</v>
      </c>
      <c r="Z31" s="215">
        <v>0.18</v>
      </c>
      <c r="AA31" s="215">
        <v>0.12</v>
      </c>
      <c r="AB31" s="215">
        <v>0</v>
      </c>
      <c r="AC31" s="215">
        <v>9.1800000000000007E-3</v>
      </c>
      <c r="AD31" s="215">
        <v>3.2800000000000003E-2</v>
      </c>
      <c r="AE31" s="215">
        <v>0</v>
      </c>
      <c r="AF31" s="215">
        <v>8.18</v>
      </c>
      <c r="AG31" s="215">
        <v>15.6</v>
      </c>
      <c r="AH31" s="215">
        <v>0</v>
      </c>
      <c r="AI31" s="215">
        <v>0</v>
      </c>
      <c r="AJ31" s="215">
        <v>0</v>
      </c>
      <c r="AK31" s="266">
        <v>0</v>
      </c>
      <c r="AL31" s="311">
        <f>AK31*Conversions!$D$4*1000000</f>
        <v>0</v>
      </c>
      <c r="AM31" s="225">
        <v>0</v>
      </c>
      <c r="AN31" s="302">
        <f>AK31*Conversions!$D$5*1000000</f>
        <v>0</v>
      </c>
      <c r="AO31">
        <f t="shared" si="5"/>
        <v>36</v>
      </c>
    </row>
    <row r="32" spans="1:41" s="225" customFormat="1" x14ac:dyDescent="0.25">
      <c r="A32">
        <v>6421011</v>
      </c>
      <c r="B32">
        <v>3</v>
      </c>
      <c r="C32" t="s">
        <v>625</v>
      </c>
      <c r="D32" t="s">
        <v>828</v>
      </c>
      <c r="E32" t="s">
        <v>864</v>
      </c>
      <c r="F32" t="s">
        <v>865</v>
      </c>
      <c r="G32">
        <v>30.39</v>
      </c>
      <c r="H32">
        <v>-94.22</v>
      </c>
      <c r="I32" s="225">
        <v>0</v>
      </c>
      <c r="J32" s="225">
        <v>0</v>
      </c>
      <c r="K32" s="225">
        <v>0</v>
      </c>
      <c r="L32" s="225">
        <v>0</v>
      </c>
      <c r="M32">
        <v>0</v>
      </c>
      <c r="N32">
        <f>VLOOKUP(D32,Utilization!$B$9:$E$44,4,FALSE)</f>
        <v>0.9875985727971196</v>
      </c>
      <c r="O32">
        <f t="shared" si="3"/>
        <v>0</v>
      </c>
      <c r="P32">
        <f t="shared" si="4"/>
        <v>0</v>
      </c>
      <c r="Q32" s="215">
        <v>1</v>
      </c>
      <c r="R32" s="215">
        <v>60.69</v>
      </c>
      <c r="S32" s="215">
        <v>65.14</v>
      </c>
      <c r="T32" s="215">
        <v>0.36</v>
      </c>
      <c r="U32" s="215">
        <v>58.16</v>
      </c>
      <c r="V32" s="215">
        <v>4.3899999999999997</v>
      </c>
      <c r="W32" s="215">
        <v>4.43</v>
      </c>
      <c r="X32" s="215">
        <v>0</v>
      </c>
      <c r="Y32" s="215">
        <v>0</v>
      </c>
      <c r="Z32" s="215">
        <v>1.69</v>
      </c>
      <c r="AA32" s="215">
        <v>1.08</v>
      </c>
      <c r="AB32" s="215">
        <v>0</v>
      </c>
      <c r="AC32" s="215">
        <v>0</v>
      </c>
      <c r="AD32" s="215">
        <v>0</v>
      </c>
      <c r="AE32" s="215">
        <v>0</v>
      </c>
      <c r="AF32" s="215">
        <v>0</v>
      </c>
      <c r="AG32" s="215">
        <v>0.4</v>
      </c>
      <c r="AH32" s="215">
        <v>0</v>
      </c>
      <c r="AI32" s="215">
        <v>0</v>
      </c>
      <c r="AJ32" s="215">
        <v>0</v>
      </c>
      <c r="AK32" s="266">
        <v>0</v>
      </c>
      <c r="AL32" s="311">
        <f>AK32*Conversions!$D$4*1000000</f>
        <v>0</v>
      </c>
      <c r="AM32" s="225">
        <v>0</v>
      </c>
      <c r="AN32" s="302">
        <f>AK32*Conversions!$D$5*1000000</f>
        <v>0</v>
      </c>
      <c r="AO32">
        <f t="shared" si="5"/>
        <v>36</v>
      </c>
    </row>
    <row r="33" spans="1:41" s="225" customFormat="1" x14ac:dyDescent="0.25">
      <c r="A33">
        <v>4195011</v>
      </c>
      <c r="B33" t="s">
        <v>490</v>
      </c>
      <c r="C33" t="s">
        <v>490</v>
      </c>
      <c r="D33" t="s">
        <v>877</v>
      </c>
      <c r="E33" t="s">
        <v>878</v>
      </c>
      <c r="F33" t="s">
        <v>879</v>
      </c>
      <c r="G33">
        <v>37.21</v>
      </c>
      <c r="H33">
        <v>-76.45</v>
      </c>
      <c r="I33" s="225">
        <v>0</v>
      </c>
      <c r="J33" s="225">
        <v>0</v>
      </c>
      <c r="K33" s="225">
        <v>0</v>
      </c>
      <c r="L33" s="225">
        <v>0</v>
      </c>
      <c r="M33">
        <v>0</v>
      </c>
      <c r="N33">
        <f>VLOOKUP(D33,Utilization!$B$9:$E$44,4,FALSE)</f>
        <v>0</v>
      </c>
      <c r="O33">
        <f t="shared" si="3"/>
        <v>0</v>
      </c>
      <c r="P33">
        <f t="shared" si="4"/>
        <v>0</v>
      </c>
      <c r="Q33" s="215">
        <v>1</v>
      </c>
      <c r="R33" s="215">
        <v>34.11</v>
      </c>
      <c r="S33" s="215">
        <v>331.85</v>
      </c>
      <c r="T33" s="215">
        <v>0.17</v>
      </c>
      <c r="U33" s="215">
        <v>49.18</v>
      </c>
      <c r="V33" s="215">
        <v>2.11</v>
      </c>
      <c r="W33" s="215">
        <v>2.11</v>
      </c>
      <c r="X33" s="215">
        <v>1.0900000000000001</v>
      </c>
      <c r="Y33" s="215">
        <v>0</v>
      </c>
      <c r="Z33" s="215">
        <v>0.81</v>
      </c>
      <c r="AA33" s="215">
        <v>0.52</v>
      </c>
      <c r="AB33" s="215">
        <v>0</v>
      </c>
      <c r="AC33" s="215">
        <v>0</v>
      </c>
      <c r="AD33" s="215">
        <v>0</v>
      </c>
      <c r="AE33" s="215">
        <v>0</v>
      </c>
      <c r="AF33" s="215">
        <v>0</v>
      </c>
      <c r="AG33" s="215">
        <v>1343</v>
      </c>
      <c r="AH33" s="215">
        <v>0</v>
      </c>
      <c r="AI33" s="215">
        <v>0</v>
      </c>
      <c r="AJ33" s="215">
        <v>0</v>
      </c>
      <c r="AK33" s="266">
        <v>0</v>
      </c>
      <c r="AL33" s="311">
        <f>AK33*Conversions!$D$4*1000000</f>
        <v>0</v>
      </c>
      <c r="AM33" s="225">
        <v>0</v>
      </c>
      <c r="AN33" s="302">
        <f>AK33*Conversions!$D$5*1000000</f>
        <v>0</v>
      </c>
      <c r="AO33">
        <f t="shared" si="5"/>
        <v>36</v>
      </c>
    </row>
    <row r="34" spans="1:41" s="225" customFormat="1" x14ac:dyDescent="0.25">
      <c r="A34">
        <v>12681911</v>
      </c>
      <c r="B34">
        <v>5</v>
      </c>
      <c r="C34" t="s">
        <v>617</v>
      </c>
      <c r="D34" t="s">
        <v>618</v>
      </c>
      <c r="E34" t="s">
        <v>621</v>
      </c>
      <c r="F34" t="s">
        <v>622</v>
      </c>
      <c r="G34">
        <v>64.73</v>
      </c>
      <c r="H34">
        <v>-147.34</v>
      </c>
      <c r="I34" s="225">
        <v>215175</v>
      </c>
      <c r="J34" s="225">
        <v>5225</v>
      </c>
      <c r="K34" s="225">
        <v>0</v>
      </c>
      <c r="L34" s="225">
        <v>135900</v>
      </c>
      <c r="M34">
        <v>215175</v>
      </c>
      <c r="N34">
        <f>VLOOKUP(D34,Utilization!$B$9:$E$44,4,FALSE)</f>
        <v>0.75653623262731418</v>
      </c>
      <c r="O34">
        <f t="shared" si="3"/>
        <v>162787.68385558232</v>
      </c>
      <c r="P34">
        <f t="shared" si="4"/>
        <v>3.5159113866727742E-6</v>
      </c>
      <c r="Q34" s="215">
        <v>1.1552224933193911</v>
      </c>
      <c r="R34" s="215">
        <v>28.89</v>
      </c>
      <c r="S34" s="215">
        <v>154.68</v>
      </c>
      <c r="T34" s="215">
        <v>5.71</v>
      </c>
      <c r="U34" s="215">
        <v>151.15</v>
      </c>
      <c r="V34" s="215">
        <v>8.0500000000000007</v>
      </c>
      <c r="W34" s="215">
        <v>8.0500000000000007</v>
      </c>
      <c r="X34" s="215">
        <v>0</v>
      </c>
      <c r="Y34" s="215">
        <v>4.3000000000000002E-5</v>
      </c>
      <c r="Z34" s="215">
        <v>1.39</v>
      </c>
      <c r="AA34" s="215">
        <v>2.38</v>
      </c>
      <c r="AB34" s="215">
        <v>1.9000000000000001E-5</v>
      </c>
      <c r="AC34" s="215">
        <v>9.6299999999999997E-3</v>
      </c>
      <c r="AD34" s="215">
        <v>3.44E-2</v>
      </c>
      <c r="AE34" s="215">
        <v>0</v>
      </c>
      <c r="AF34" s="215">
        <v>11.73</v>
      </c>
      <c r="AG34" s="215">
        <v>1923</v>
      </c>
      <c r="AH34" s="215">
        <v>0</v>
      </c>
      <c r="AI34" s="215">
        <v>0</v>
      </c>
      <c r="AJ34" s="215">
        <v>0</v>
      </c>
      <c r="AK34" s="215">
        <v>0</v>
      </c>
      <c r="AL34" s="311">
        <f>AK34*Conversions!$D$4*1000000</f>
        <v>0</v>
      </c>
      <c r="AM34" s="215">
        <v>0</v>
      </c>
      <c r="AN34" s="302">
        <f>AK34*Conversions!$D$5*1000000</f>
        <v>0</v>
      </c>
      <c r="AO34">
        <f t="shared" si="5"/>
        <v>131</v>
      </c>
    </row>
    <row r="35" spans="1:41" x14ac:dyDescent="0.25">
      <c r="A35">
        <v>8025911</v>
      </c>
      <c r="B35">
        <v>3</v>
      </c>
      <c r="C35" t="s">
        <v>625</v>
      </c>
      <c r="D35" t="s">
        <v>709</v>
      </c>
      <c r="E35" t="s">
        <v>733</v>
      </c>
      <c r="F35" t="s">
        <v>734</v>
      </c>
      <c r="G35">
        <v>29.95</v>
      </c>
      <c r="H35">
        <v>-90.32</v>
      </c>
      <c r="I35" s="225">
        <v>55000</v>
      </c>
      <c r="J35" s="225">
        <v>28000</v>
      </c>
      <c r="K35" s="225">
        <v>0</v>
      </c>
      <c r="L35" s="225">
        <v>0</v>
      </c>
      <c r="M35">
        <v>55000</v>
      </c>
      <c r="N35">
        <f>VLOOKUP(D35,Utilization!$B$9:$E$44,4,FALSE)</f>
        <v>0.98291670808070764</v>
      </c>
      <c r="O35">
        <f t="shared" si="3"/>
        <v>54060.418944438919</v>
      </c>
      <c r="P35">
        <f t="shared" si="4"/>
        <v>1.7871212874194684E-5</v>
      </c>
      <c r="Q35" s="215">
        <v>2.0181818181818181</v>
      </c>
      <c r="R35" s="215">
        <v>3.77</v>
      </c>
      <c r="S35" s="215">
        <v>16.34</v>
      </c>
      <c r="T35" s="215">
        <v>0.06</v>
      </c>
      <c r="U35" s="215">
        <v>3.53</v>
      </c>
      <c r="V35" s="215">
        <v>9.5699999999999993E-2</v>
      </c>
      <c r="W35" s="215">
        <v>0.35</v>
      </c>
      <c r="X35" s="215">
        <v>8.9999999999999996E-7</v>
      </c>
      <c r="Y35" s="215">
        <v>0</v>
      </c>
      <c r="Z35" s="215">
        <v>5.44E-4</v>
      </c>
      <c r="AA35" s="215">
        <v>1.99E-3</v>
      </c>
      <c r="AB35" s="215">
        <v>4.7800000000000004E-3</v>
      </c>
      <c r="AC35" s="215">
        <v>0</v>
      </c>
      <c r="AD35" s="215">
        <v>0</v>
      </c>
      <c r="AE35" s="215">
        <v>0</v>
      </c>
      <c r="AF35" s="215">
        <v>0</v>
      </c>
      <c r="AG35" s="215">
        <v>329</v>
      </c>
      <c r="AH35" s="215">
        <v>0</v>
      </c>
      <c r="AI35" s="215">
        <v>0</v>
      </c>
      <c r="AJ35" s="215">
        <v>0</v>
      </c>
      <c r="AK35" s="266">
        <v>0</v>
      </c>
      <c r="AL35" s="311">
        <f>AK35*Conversions!$D$4*1000000</f>
        <v>0</v>
      </c>
      <c r="AM35" s="225">
        <v>0</v>
      </c>
      <c r="AN35" s="302">
        <f>AK35*Conversions!$D$5*1000000</f>
        <v>0</v>
      </c>
      <c r="AO35">
        <f t="shared" si="5"/>
        <v>36</v>
      </c>
    </row>
    <row r="36" spans="1:41" x14ac:dyDescent="0.25">
      <c r="A36">
        <v>7205811</v>
      </c>
      <c r="B36">
        <v>3</v>
      </c>
      <c r="C36" t="s">
        <v>625</v>
      </c>
      <c r="D36" t="s">
        <v>709</v>
      </c>
      <c r="E36" t="s">
        <v>714</v>
      </c>
      <c r="F36" t="s">
        <v>715</v>
      </c>
      <c r="G36">
        <v>32.79</v>
      </c>
      <c r="H36">
        <v>-93.41</v>
      </c>
      <c r="I36" s="225">
        <v>9500</v>
      </c>
      <c r="J36" s="225">
        <v>0</v>
      </c>
      <c r="K36" s="225">
        <v>0</v>
      </c>
      <c r="L36" s="225">
        <v>0</v>
      </c>
      <c r="M36">
        <v>9500</v>
      </c>
      <c r="N36">
        <f>VLOOKUP(D36,Utilization!$B$9:$E$44,4,FALSE)</f>
        <v>0.98291670808070764</v>
      </c>
      <c r="O36">
        <f t="shared" ref="O36:O67" si="6">M36*N36</f>
        <v>9337.708726766723</v>
      </c>
      <c r="P36">
        <f t="shared" ref="P36:P67" si="7">IFERROR(N36/M36,0)</f>
        <v>1.0346491664007448E-4</v>
      </c>
      <c r="Q36" s="215">
        <v>2.0531578947368416</v>
      </c>
      <c r="R36" s="215">
        <v>68.78</v>
      </c>
      <c r="S36" s="215">
        <v>192.07</v>
      </c>
      <c r="T36" s="215">
        <v>7.09</v>
      </c>
      <c r="U36" s="215">
        <v>66.319999999999993</v>
      </c>
      <c r="V36" s="215">
        <v>25.82</v>
      </c>
      <c r="W36" s="215">
        <v>29.54</v>
      </c>
      <c r="X36" s="215">
        <v>0</v>
      </c>
      <c r="Y36" s="215">
        <v>1.58E-3</v>
      </c>
      <c r="Z36" s="215">
        <v>6.28</v>
      </c>
      <c r="AA36" s="215">
        <v>4.38</v>
      </c>
      <c r="AB36" s="215">
        <v>5.8300000000000001E-6</v>
      </c>
      <c r="AC36" s="215">
        <v>0.35</v>
      </c>
      <c r="AD36" s="215">
        <v>1.26</v>
      </c>
      <c r="AE36" s="215">
        <v>0</v>
      </c>
      <c r="AF36" s="215">
        <v>103.55</v>
      </c>
      <c r="AG36" s="215">
        <v>1110</v>
      </c>
      <c r="AH36" s="215">
        <v>0</v>
      </c>
      <c r="AI36" s="215">
        <v>0</v>
      </c>
      <c r="AJ36" s="215">
        <v>0</v>
      </c>
      <c r="AK36" s="266">
        <v>0</v>
      </c>
      <c r="AL36" s="311">
        <f>AK36*Conversions!$D$4*1000000</f>
        <v>0</v>
      </c>
      <c r="AM36" s="225">
        <v>0</v>
      </c>
      <c r="AN36" s="302">
        <f>AK36*Conversions!$D$5*1000000</f>
        <v>0</v>
      </c>
      <c r="AO36">
        <f t="shared" ref="AO36:AO67" si="8">IF(M36&lt;100000,36,131)</f>
        <v>36</v>
      </c>
    </row>
    <row r="37" spans="1:41" x14ac:dyDescent="0.25">
      <c r="A37">
        <v>2999811</v>
      </c>
      <c r="B37">
        <v>3</v>
      </c>
      <c r="C37" t="s">
        <v>625</v>
      </c>
      <c r="D37" t="s">
        <v>828</v>
      </c>
      <c r="E37" t="s">
        <v>829</v>
      </c>
      <c r="F37" t="s">
        <v>830</v>
      </c>
      <c r="G37">
        <v>29.34</v>
      </c>
      <c r="H37">
        <v>-98.46</v>
      </c>
      <c r="I37" s="225">
        <v>14500</v>
      </c>
      <c r="J37" s="225">
        <v>0</v>
      </c>
      <c r="K37" s="225">
        <v>0</v>
      </c>
      <c r="L37" s="225">
        <v>0</v>
      </c>
      <c r="M37">
        <v>12000</v>
      </c>
      <c r="N37">
        <f>VLOOKUP(D37,Utilization!$B$9:$E$44,4,FALSE)</f>
        <v>0.9875985727971196</v>
      </c>
      <c r="O37">
        <f t="shared" si="6"/>
        <v>11851.182873565434</v>
      </c>
      <c r="P37">
        <f t="shared" si="7"/>
        <v>8.2299881066426637E-5</v>
      </c>
      <c r="Q37" s="215">
        <v>2.2413793103448274</v>
      </c>
      <c r="R37" s="215">
        <v>20.53</v>
      </c>
      <c r="S37" s="215">
        <v>149.65</v>
      </c>
      <c r="T37" s="215">
        <v>0.48</v>
      </c>
      <c r="U37" s="215">
        <v>27.01</v>
      </c>
      <c r="V37" s="215">
        <v>5.39</v>
      </c>
      <c r="W37" s="215">
        <v>5.76</v>
      </c>
      <c r="X37" s="215">
        <v>0</v>
      </c>
      <c r="Y37" s="215">
        <v>0</v>
      </c>
      <c r="Z37" s="215">
        <v>0.5</v>
      </c>
      <c r="AA37" s="215">
        <v>1.1499999999999999</v>
      </c>
      <c r="AB37" s="215">
        <v>0</v>
      </c>
      <c r="AC37" s="215">
        <v>0</v>
      </c>
      <c r="AD37" s="215">
        <v>0</v>
      </c>
      <c r="AE37" s="215">
        <v>0</v>
      </c>
      <c r="AF37" s="215">
        <v>0</v>
      </c>
      <c r="AG37" s="215">
        <v>2701</v>
      </c>
      <c r="AH37" s="215">
        <v>0</v>
      </c>
      <c r="AI37" s="215">
        <v>0</v>
      </c>
      <c r="AJ37" s="215">
        <v>0</v>
      </c>
      <c r="AK37" s="266">
        <v>0</v>
      </c>
      <c r="AL37" s="311">
        <f>AK37*Conversions!$D$4*1000000</f>
        <v>0</v>
      </c>
      <c r="AM37" s="225">
        <v>0</v>
      </c>
      <c r="AN37" s="302">
        <f>AK37*Conversions!$D$5*1000000</f>
        <v>0</v>
      </c>
      <c r="AO37">
        <f t="shared" si="8"/>
        <v>36</v>
      </c>
    </row>
    <row r="38" spans="1:41" x14ac:dyDescent="0.25">
      <c r="A38" s="225">
        <v>4196711</v>
      </c>
      <c r="B38" s="225">
        <v>5</v>
      </c>
      <c r="C38" s="225" t="s">
        <v>617</v>
      </c>
      <c r="D38" s="225" t="s">
        <v>634</v>
      </c>
      <c r="E38" s="225" t="s">
        <v>649</v>
      </c>
      <c r="F38" s="225" t="s">
        <v>636</v>
      </c>
      <c r="G38" s="225">
        <v>35.29</v>
      </c>
      <c r="H38" s="225">
        <v>-118.91</v>
      </c>
      <c r="I38" s="225">
        <v>25000</v>
      </c>
      <c r="J38" s="225">
        <v>0</v>
      </c>
      <c r="K38" s="225">
        <v>0</v>
      </c>
      <c r="L38" s="225">
        <v>0</v>
      </c>
      <c r="M38" s="225">
        <v>25000</v>
      </c>
      <c r="N38" s="225">
        <f>VLOOKUP(D38,Utilization!$B$9:$E$44,4,FALSE)</f>
        <v>0.95687171402016358</v>
      </c>
      <c r="O38" s="225">
        <f t="shared" si="6"/>
        <v>23921.792850504091</v>
      </c>
      <c r="P38" s="225">
        <f t="shared" si="7"/>
        <v>3.8274868560806543E-5</v>
      </c>
      <c r="Q38" s="215">
        <v>2.6399999999999997</v>
      </c>
      <c r="R38" s="266">
        <v>61.92</v>
      </c>
      <c r="S38" s="266">
        <v>103.24</v>
      </c>
      <c r="T38" s="266">
        <v>5.38</v>
      </c>
      <c r="U38" s="266">
        <v>20.32</v>
      </c>
      <c r="V38" s="266">
        <v>8.84</v>
      </c>
      <c r="W38" s="266">
        <v>8.92</v>
      </c>
      <c r="X38" s="266">
        <v>0.13</v>
      </c>
      <c r="Y38" s="266">
        <v>3.1E-4</v>
      </c>
      <c r="Z38" s="266">
        <v>2.82</v>
      </c>
      <c r="AA38" s="266">
        <v>2.08</v>
      </c>
      <c r="AB38" s="266">
        <v>7.2700000000000005E-5</v>
      </c>
      <c r="AC38" s="266">
        <v>6.9500000000000006E-2</v>
      </c>
      <c r="AD38" s="266">
        <v>0.25</v>
      </c>
      <c r="AE38" s="266">
        <v>10.01</v>
      </c>
      <c r="AF38" s="266">
        <v>206.92</v>
      </c>
      <c r="AG38" s="266">
        <v>110</v>
      </c>
      <c r="AH38" s="266">
        <v>1.6</v>
      </c>
      <c r="AI38" s="266">
        <v>0</v>
      </c>
      <c r="AJ38" s="266">
        <v>0</v>
      </c>
      <c r="AK38" s="266">
        <v>0</v>
      </c>
      <c r="AL38" s="314">
        <f>AK38*Conversions!$D$4*1000000</f>
        <v>0</v>
      </c>
      <c r="AM38" s="266">
        <v>0</v>
      </c>
      <c r="AN38" s="313">
        <f>AK38*Conversions!$D$5*1000000</f>
        <v>0</v>
      </c>
      <c r="AO38">
        <f t="shared" si="8"/>
        <v>36</v>
      </c>
    </row>
    <row r="39" spans="1:41" x14ac:dyDescent="0.25">
      <c r="A39">
        <v>7381911</v>
      </c>
      <c r="B39">
        <v>2</v>
      </c>
      <c r="C39" t="s">
        <v>683</v>
      </c>
      <c r="D39" t="s">
        <v>704</v>
      </c>
      <c r="E39" t="s">
        <v>707</v>
      </c>
      <c r="F39" t="s">
        <v>708</v>
      </c>
      <c r="G39">
        <v>37.07</v>
      </c>
      <c r="H39">
        <v>-84.6</v>
      </c>
      <c r="I39" s="225">
        <v>5500</v>
      </c>
      <c r="J39" s="225">
        <v>0</v>
      </c>
      <c r="K39" s="225">
        <v>0</v>
      </c>
      <c r="L39" s="225">
        <v>0</v>
      </c>
      <c r="M39">
        <v>5500</v>
      </c>
      <c r="N39">
        <f>VLOOKUP(D39,Utilization!$B$9:$E$44,4,FALSE)</f>
        <v>0.97471264367816091</v>
      </c>
      <c r="O39">
        <f t="shared" si="6"/>
        <v>5360.9195402298847</v>
      </c>
      <c r="P39">
        <f t="shared" si="7"/>
        <v>1.7722048066875652E-4</v>
      </c>
      <c r="Q39" s="215">
        <v>3.0909090909090908</v>
      </c>
      <c r="R39" s="215">
        <v>8.0600000000000005E-2</v>
      </c>
      <c r="S39" s="215">
        <v>5.5399999999999998E-3</v>
      </c>
      <c r="T39" s="215">
        <v>6.0499999999999996E-4</v>
      </c>
      <c r="U39" s="215">
        <v>0.1</v>
      </c>
      <c r="V39" s="215">
        <v>1.9900000000000001E-2</v>
      </c>
      <c r="W39" s="215">
        <v>1.9900000000000001E-2</v>
      </c>
      <c r="X39" s="215">
        <v>0</v>
      </c>
      <c r="Y39" s="215">
        <v>4.9999999999999998E-7</v>
      </c>
      <c r="Z39" s="215">
        <v>7.6499999999999997E-3</v>
      </c>
      <c r="AA39" s="215">
        <v>4.9199999999999999E-3</v>
      </c>
      <c r="AB39" s="215">
        <v>0</v>
      </c>
      <c r="AC39" s="215">
        <v>0</v>
      </c>
      <c r="AD39" s="215">
        <v>0</v>
      </c>
      <c r="AE39" s="215">
        <v>0</v>
      </c>
      <c r="AF39" s="215">
        <v>0.15</v>
      </c>
      <c r="AG39" s="215">
        <v>0</v>
      </c>
      <c r="AH39" s="215">
        <v>0</v>
      </c>
      <c r="AI39" s="215">
        <v>0</v>
      </c>
      <c r="AJ39" s="215">
        <v>0</v>
      </c>
      <c r="AK39" s="266">
        <v>0</v>
      </c>
      <c r="AL39" s="311">
        <f>AK39*Conversions!$D$4*1000000</f>
        <v>0</v>
      </c>
      <c r="AM39" s="225">
        <v>0</v>
      </c>
      <c r="AN39" s="302">
        <f>AK39*Conversions!$D$5*1000000</f>
        <v>0</v>
      </c>
      <c r="AO39">
        <f t="shared" si="8"/>
        <v>36</v>
      </c>
    </row>
    <row r="40" spans="1:41" x14ac:dyDescent="0.25">
      <c r="A40">
        <v>6512311</v>
      </c>
      <c r="B40">
        <v>4</v>
      </c>
      <c r="C40" t="s">
        <v>668</v>
      </c>
      <c r="D40" t="s">
        <v>896</v>
      </c>
      <c r="E40" t="s">
        <v>903</v>
      </c>
      <c r="F40" t="s">
        <v>904</v>
      </c>
      <c r="G40">
        <v>41.77</v>
      </c>
      <c r="H40">
        <v>-107.1</v>
      </c>
      <c r="I40" s="225">
        <v>66000</v>
      </c>
      <c r="J40" s="225">
        <v>6500</v>
      </c>
      <c r="K40" s="225">
        <v>0</v>
      </c>
      <c r="L40" s="225">
        <v>0</v>
      </c>
      <c r="M40">
        <v>66000</v>
      </c>
      <c r="N40">
        <f>VLOOKUP(D40,Utilization!$B$9:$E$44,4,FALSE)</f>
        <v>0.97832630945213728</v>
      </c>
      <c r="O40">
        <f t="shared" si="6"/>
        <v>64569.536423841062</v>
      </c>
      <c r="P40">
        <f t="shared" si="7"/>
        <v>1.4823125900789958E-5</v>
      </c>
      <c r="Q40" s="215">
        <v>3.0928030303030303</v>
      </c>
      <c r="R40" s="215">
        <v>274.42</v>
      </c>
      <c r="S40" s="215">
        <v>799.83</v>
      </c>
      <c r="T40" s="215">
        <v>569.08000000000004</v>
      </c>
      <c r="U40" s="215">
        <v>263.32</v>
      </c>
      <c r="V40" s="215">
        <v>292.58</v>
      </c>
      <c r="W40" s="215">
        <v>347.16</v>
      </c>
      <c r="X40" s="215">
        <v>2.35</v>
      </c>
      <c r="Y40" s="215">
        <v>2.1000000000000001E-2</v>
      </c>
      <c r="Z40" s="215">
        <v>42.65</v>
      </c>
      <c r="AA40" s="215">
        <v>80.59</v>
      </c>
      <c r="AB40" s="215">
        <v>4.91</v>
      </c>
      <c r="AC40" s="215">
        <v>0</v>
      </c>
      <c r="AD40" s="215">
        <v>0</v>
      </c>
      <c r="AE40" s="215">
        <v>6.1</v>
      </c>
      <c r="AF40" s="215">
        <v>120</v>
      </c>
      <c r="AG40" s="215">
        <v>1835.3</v>
      </c>
      <c r="AH40" s="215">
        <v>0.98</v>
      </c>
      <c r="AI40" s="215">
        <v>12</v>
      </c>
      <c r="AJ40" s="215">
        <v>0</v>
      </c>
      <c r="AK40" s="266">
        <v>0</v>
      </c>
      <c r="AL40" s="311">
        <f>AK40*Conversions!$D$4*1000000</f>
        <v>0</v>
      </c>
      <c r="AM40" s="225">
        <v>0</v>
      </c>
      <c r="AN40" s="302">
        <f>AK40*Conversions!$D$5*1000000</f>
        <v>0</v>
      </c>
      <c r="AO40">
        <f t="shared" si="8"/>
        <v>36</v>
      </c>
    </row>
    <row r="41" spans="1:41" x14ac:dyDescent="0.25">
      <c r="A41">
        <v>1818511</v>
      </c>
      <c r="B41">
        <v>5</v>
      </c>
      <c r="C41" t="s">
        <v>617</v>
      </c>
      <c r="D41" t="s">
        <v>679</v>
      </c>
      <c r="E41" t="s">
        <v>680</v>
      </c>
      <c r="F41" t="s">
        <v>681</v>
      </c>
      <c r="G41">
        <v>21.3</v>
      </c>
      <c r="H41">
        <v>-158.09</v>
      </c>
      <c r="I41" s="225">
        <v>93700</v>
      </c>
      <c r="J41" s="225">
        <v>39500</v>
      </c>
      <c r="K41" s="225">
        <v>0</v>
      </c>
      <c r="L41" s="225">
        <v>17600</v>
      </c>
      <c r="M41">
        <v>93700</v>
      </c>
      <c r="N41">
        <f>VLOOKUP(D41,Utilization!$B$9:$E$44,4,FALSE)</f>
        <v>1</v>
      </c>
      <c r="O41">
        <f t="shared" si="6"/>
        <v>93700</v>
      </c>
      <c r="P41">
        <f t="shared" si="7"/>
        <v>1.0672358591248667E-5</v>
      </c>
      <c r="Q41" s="215">
        <v>4.2800747065101383</v>
      </c>
      <c r="R41" s="215">
        <v>258.81</v>
      </c>
      <c r="S41" s="215">
        <v>438.91</v>
      </c>
      <c r="T41" s="215">
        <v>861.17</v>
      </c>
      <c r="U41" s="215">
        <v>862.94</v>
      </c>
      <c r="V41" s="215">
        <v>48.44</v>
      </c>
      <c r="W41" s="215">
        <v>64.819999999999993</v>
      </c>
      <c r="X41" s="215">
        <v>14.68</v>
      </c>
      <c r="Y41" s="215">
        <v>2.2499999999999999E-2</v>
      </c>
      <c r="Z41" s="215">
        <v>7.93</v>
      </c>
      <c r="AA41" s="215">
        <v>3.54</v>
      </c>
      <c r="AB41" s="215">
        <v>4.33</v>
      </c>
      <c r="AC41" s="215">
        <v>0</v>
      </c>
      <c r="AD41" s="215">
        <v>0</v>
      </c>
      <c r="AE41" s="215">
        <v>0</v>
      </c>
      <c r="AF41" s="215">
        <v>160</v>
      </c>
      <c r="AG41" s="215">
        <v>790</v>
      </c>
      <c r="AH41" s="215">
        <v>0</v>
      </c>
      <c r="AI41" s="215">
        <v>0</v>
      </c>
      <c r="AJ41" s="215">
        <v>0</v>
      </c>
      <c r="AK41" s="266">
        <v>0</v>
      </c>
      <c r="AL41" s="311">
        <f>AK41*Conversions!$D$4*1000000</f>
        <v>0</v>
      </c>
      <c r="AM41" s="225">
        <v>0</v>
      </c>
      <c r="AN41" s="302">
        <f>AK41*Conversions!$D$5*1000000</f>
        <v>0</v>
      </c>
      <c r="AO41">
        <f t="shared" si="8"/>
        <v>36</v>
      </c>
    </row>
    <row r="42" spans="1:41" x14ac:dyDescent="0.25">
      <c r="A42">
        <v>863411</v>
      </c>
      <c r="B42">
        <v>5</v>
      </c>
      <c r="C42" t="s">
        <v>617</v>
      </c>
      <c r="D42" t="s">
        <v>618</v>
      </c>
      <c r="E42" t="s">
        <v>623</v>
      </c>
      <c r="F42" t="s">
        <v>624</v>
      </c>
      <c r="G42">
        <v>60.68</v>
      </c>
      <c r="H42">
        <v>-151.37</v>
      </c>
      <c r="I42" s="225">
        <v>72000</v>
      </c>
      <c r="J42" s="225">
        <v>19000</v>
      </c>
      <c r="K42" s="225">
        <v>0</v>
      </c>
      <c r="L42" s="225">
        <v>12500</v>
      </c>
      <c r="M42">
        <v>72000</v>
      </c>
      <c r="N42">
        <f>VLOOKUP(D42,Utilization!$B$9:$E$44,4,FALSE)</f>
        <v>0.75653623262731418</v>
      </c>
      <c r="O42">
        <f t="shared" si="6"/>
        <v>54470.608749166619</v>
      </c>
      <c r="P42">
        <f t="shared" si="7"/>
        <v>1.0507447675379363E-5</v>
      </c>
      <c r="Q42" s="215">
        <v>4.6043472222222217</v>
      </c>
      <c r="R42" s="215">
        <v>265.38</v>
      </c>
      <c r="S42" s="215">
        <v>648.03</v>
      </c>
      <c r="T42" s="215">
        <v>14.9</v>
      </c>
      <c r="U42" s="215">
        <v>342.4</v>
      </c>
      <c r="V42" s="215">
        <v>25.28</v>
      </c>
      <c r="W42" s="215">
        <v>25.28</v>
      </c>
      <c r="X42" s="215">
        <v>7.97</v>
      </c>
      <c r="Y42" s="215">
        <v>2E-3</v>
      </c>
      <c r="Z42" s="215">
        <v>5.52</v>
      </c>
      <c r="AA42" s="215">
        <v>7.2</v>
      </c>
      <c r="AB42" s="215">
        <v>2</v>
      </c>
      <c r="AC42" s="215">
        <v>8.2900000000000005E-3</v>
      </c>
      <c r="AD42" s="215">
        <v>2.9600000000000001E-2</v>
      </c>
      <c r="AE42" s="215">
        <v>22.86</v>
      </c>
      <c r="AF42" s="215">
        <v>467.36</v>
      </c>
      <c r="AG42" s="215">
        <v>1130</v>
      </c>
      <c r="AH42" s="215">
        <v>3.66</v>
      </c>
      <c r="AI42" s="215">
        <v>0</v>
      </c>
      <c r="AJ42" s="215">
        <v>0</v>
      </c>
      <c r="AK42" s="215">
        <v>0</v>
      </c>
      <c r="AL42" s="311">
        <f>AK42*Conversions!$D$4*1000000</f>
        <v>0</v>
      </c>
      <c r="AM42" s="215">
        <v>0</v>
      </c>
      <c r="AN42" s="302">
        <f>AK42*Conversions!$D$5*1000000</f>
        <v>0</v>
      </c>
      <c r="AO42">
        <f t="shared" si="8"/>
        <v>36</v>
      </c>
    </row>
    <row r="43" spans="1:41" x14ac:dyDescent="0.25">
      <c r="A43">
        <v>4985411</v>
      </c>
      <c r="B43">
        <v>5</v>
      </c>
      <c r="C43" t="s">
        <v>617</v>
      </c>
      <c r="D43" t="s">
        <v>880</v>
      </c>
      <c r="E43" t="s">
        <v>885</v>
      </c>
      <c r="F43" t="s">
        <v>886</v>
      </c>
      <c r="G43">
        <v>47.25</v>
      </c>
      <c r="H43">
        <v>-122.39</v>
      </c>
      <c r="I43" s="225">
        <v>39000</v>
      </c>
      <c r="J43" s="225">
        <v>17700</v>
      </c>
      <c r="K43" s="225">
        <v>0</v>
      </c>
      <c r="L43" s="225">
        <v>0</v>
      </c>
      <c r="M43">
        <v>39000</v>
      </c>
      <c r="N43">
        <f>VLOOKUP(D43,Utilization!$B$9:$E$44,4,FALSE)</f>
        <v>1</v>
      </c>
      <c r="O43">
        <f t="shared" si="6"/>
        <v>39000</v>
      </c>
      <c r="P43">
        <f t="shared" si="7"/>
        <v>2.564102564102564E-5</v>
      </c>
      <c r="Q43" s="215">
        <v>4.9294871794871788</v>
      </c>
      <c r="R43" s="215">
        <v>74.569999999999993</v>
      </c>
      <c r="S43" s="215">
        <v>114.69</v>
      </c>
      <c r="T43" s="215">
        <v>4.8899999999999997</v>
      </c>
      <c r="U43" s="215">
        <v>133.75</v>
      </c>
      <c r="V43" s="215">
        <v>25.61</v>
      </c>
      <c r="W43" s="215">
        <v>26.22</v>
      </c>
      <c r="X43" s="215">
        <v>42.35</v>
      </c>
      <c r="Y43" s="215">
        <v>5.5000000000000003E-4</v>
      </c>
      <c r="Z43" s="215">
        <v>8.69</v>
      </c>
      <c r="AA43" s="215">
        <v>5.69</v>
      </c>
      <c r="AB43" s="215">
        <v>7.7700000000000001E-6</v>
      </c>
      <c r="AC43" s="215">
        <v>0.51</v>
      </c>
      <c r="AD43" s="215">
        <v>1.83</v>
      </c>
      <c r="AE43" s="215">
        <v>0</v>
      </c>
      <c r="AF43" s="215">
        <v>170.45</v>
      </c>
      <c r="AG43" s="215">
        <v>2837</v>
      </c>
      <c r="AH43" s="215">
        <v>0</v>
      </c>
      <c r="AI43" s="215">
        <v>0</v>
      </c>
      <c r="AJ43" s="215">
        <v>0</v>
      </c>
      <c r="AK43" s="266">
        <v>0</v>
      </c>
      <c r="AL43" s="311">
        <f>AK43*Conversions!$D$4*1000000</f>
        <v>0</v>
      </c>
      <c r="AM43" s="225">
        <v>0</v>
      </c>
      <c r="AN43" s="302">
        <f>AK43*Conversions!$D$5*1000000</f>
        <v>0</v>
      </c>
      <c r="AO43">
        <f t="shared" si="8"/>
        <v>36</v>
      </c>
    </row>
    <row r="44" spans="1:41" x14ac:dyDescent="0.25">
      <c r="A44" s="225">
        <v>5683611</v>
      </c>
      <c r="B44" s="225">
        <v>5</v>
      </c>
      <c r="C44" s="225" t="s">
        <v>617</v>
      </c>
      <c r="D44" s="225" t="s">
        <v>634</v>
      </c>
      <c r="E44" s="225" t="s">
        <v>656</v>
      </c>
      <c r="F44" s="225" t="s">
        <v>657</v>
      </c>
      <c r="G44" s="225">
        <v>33.9</v>
      </c>
      <c r="H44" s="225">
        <v>-118.15</v>
      </c>
      <c r="I44" s="225">
        <v>0</v>
      </c>
      <c r="J44" s="225">
        <v>0</v>
      </c>
      <c r="K44" s="225">
        <v>0</v>
      </c>
      <c r="L44" s="225">
        <v>0</v>
      </c>
      <c r="M44" s="225">
        <v>88000</v>
      </c>
      <c r="N44" s="225">
        <f>VLOOKUP(D44,Utilization!$B$9:$E$44,4,FALSE)</f>
        <v>0.95687171402016358</v>
      </c>
      <c r="O44" s="225">
        <f t="shared" si="6"/>
        <v>84204.710833774399</v>
      </c>
      <c r="P44" s="225">
        <f t="shared" si="7"/>
        <v>1.0873542204774586E-5</v>
      </c>
      <c r="Q44" s="215">
        <v>5.055113636363636</v>
      </c>
      <c r="R44" s="266">
        <v>40.98</v>
      </c>
      <c r="S44" s="266">
        <v>73.83</v>
      </c>
      <c r="T44" s="266">
        <v>12.07</v>
      </c>
      <c r="U44" s="266">
        <v>68.19</v>
      </c>
      <c r="V44" s="266">
        <v>46.78</v>
      </c>
      <c r="W44" s="266">
        <v>49.67</v>
      </c>
      <c r="X44" s="266">
        <v>2.64</v>
      </c>
      <c r="Y44" s="266">
        <v>0</v>
      </c>
      <c r="Z44" s="266">
        <v>0.27</v>
      </c>
      <c r="AA44" s="266">
        <v>1.69</v>
      </c>
      <c r="AB44" s="266">
        <v>0.28000000000000003</v>
      </c>
      <c r="AC44" s="266">
        <v>0.14000000000000001</v>
      </c>
      <c r="AD44" s="266">
        <v>3.4099999999999998E-2</v>
      </c>
      <c r="AE44" s="266">
        <v>39.6</v>
      </c>
      <c r="AF44" s="266">
        <v>469.31</v>
      </c>
      <c r="AG44" s="266">
        <v>74.069999999999993</v>
      </c>
      <c r="AH44" s="266">
        <v>4.3099999999999996</v>
      </c>
      <c r="AI44" s="266">
        <v>4.9000000000000004</v>
      </c>
      <c r="AJ44" s="266">
        <v>0</v>
      </c>
      <c r="AK44" s="266">
        <v>16.760822000000001</v>
      </c>
      <c r="AL44" s="314">
        <f>AK44*Conversions!$D$4*1000000</f>
        <v>1036003.1686419999</v>
      </c>
      <c r="AM44" s="266">
        <v>0.13275000000000001</v>
      </c>
      <c r="AN44" s="313">
        <f>AK44*Conversions!$D$5*1000000</f>
        <v>1.7992742417000003</v>
      </c>
      <c r="AO44">
        <f t="shared" si="8"/>
        <v>36</v>
      </c>
    </row>
    <row r="45" spans="1:41" x14ac:dyDescent="0.25">
      <c r="A45">
        <v>6476111</v>
      </c>
      <c r="B45">
        <v>3</v>
      </c>
      <c r="C45" t="s">
        <v>625</v>
      </c>
      <c r="D45" t="s">
        <v>828</v>
      </c>
      <c r="E45" t="s">
        <v>866</v>
      </c>
      <c r="F45" t="s">
        <v>867</v>
      </c>
      <c r="G45">
        <v>31.77</v>
      </c>
      <c r="H45">
        <v>-106.39</v>
      </c>
      <c r="I45" s="225">
        <v>125000</v>
      </c>
      <c r="J45" s="225">
        <v>34700</v>
      </c>
      <c r="K45" s="225">
        <v>0</v>
      </c>
      <c r="L45" s="225">
        <v>0</v>
      </c>
      <c r="M45">
        <v>125000</v>
      </c>
      <c r="N45">
        <f>VLOOKUP(D45,Utilization!$B$9:$E$44,4,FALSE)</f>
        <v>0.9875985727971196</v>
      </c>
      <c r="O45">
        <f t="shared" si="6"/>
        <v>123449.82159963995</v>
      </c>
      <c r="P45">
        <f t="shared" si="7"/>
        <v>7.9007885823769569E-6</v>
      </c>
      <c r="Q45" s="215">
        <v>5.3816000000000006</v>
      </c>
      <c r="R45" s="215">
        <v>212.46</v>
      </c>
      <c r="S45" s="215">
        <v>598.02</v>
      </c>
      <c r="T45" s="215">
        <v>67.680000000000007</v>
      </c>
      <c r="U45" s="215">
        <v>627.84</v>
      </c>
      <c r="V45" s="215">
        <v>154.52000000000001</v>
      </c>
      <c r="W45" s="215">
        <v>156.28</v>
      </c>
      <c r="X45" s="215">
        <v>0</v>
      </c>
      <c r="Y45" s="215">
        <v>4.7000000000000002E-3</v>
      </c>
      <c r="Z45" s="215">
        <v>11.23</v>
      </c>
      <c r="AA45" s="215">
        <v>19.59</v>
      </c>
      <c r="AB45" s="215">
        <v>3</v>
      </c>
      <c r="AC45" s="215">
        <v>3.52</v>
      </c>
      <c r="AD45" s="215">
        <v>2.6</v>
      </c>
      <c r="AE45" s="215">
        <v>779.4</v>
      </c>
      <c r="AF45" s="215">
        <v>6743.8</v>
      </c>
      <c r="AG45" s="215">
        <v>2825.2</v>
      </c>
      <c r="AH45" s="215">
        <v>781.4</v>
      </c>
      <c r="AI45" s="215">
        <v>129.19999999999999</v>
      </c>
      <c r="AJ45" s="215">
        <v>0</v>
      </c>
      <c r="AK45" s="266">
        <v>0</v>
      </c>
      <c r="AL45" s="311">
        <f>AK45*Conversions!$D$4*1000000</f>
        <v>0</v>
      </c>
      <c r="AM45" s="225">
        <v>0</v>
      </c>
      <c r="AN45" s="302">
        <f>AK45*Conversions!$D$5*1000000</f>
        <v>0</v>
      </c>
      <c r="AO45">
        <f t="shared" si="8"/>
        <v>131</v>
      </c>
    </row>
    <row r="46" spans="1:41" x14ac:dyDescent="0.25">
      <c r="A46" s="225">
        <v>4195511</v>
      </c>
      <c r="B46" s="225">
        <v>5</v>
      </c>
      <c r="C46" s="225" t="s">
        <v>617</v>
      </c>
      <c r="D46" s="225" t="s">
        <v>634</v>
      </c>
      <c r="E46" s="225" t="s">
        <v>648</v>
      </c>
      <c r="F46" s="225" t="s">
        <v>636</v>
      </c>
      <c r="G46" s="225">
        <v>35.39</v>
      </c>
      <c r="H46" s="225">
        <v>-119.04</v>
      </c>
      <c r="I46" s="225">
        <v>24300</v>
      </c>
      <c r="J46" s="225">
        <v>14000</v>
      </c>
      <c r="K46" s="225">
        <v>0</v>
      </c>
      <c r="L46" s="225">
        <v>0</v>
      </c>
      <c r="M46" s="225">
        <v>24300</v>
      </c>
      <c r="N46" s="225">
        <f>VLOOKUP(D46,Utilization!$B$9:$E$44,4,FALSE)</f>
        <v>0.95687171402016358</v>
      </c>
      <c r="O46" s="225">
        <f t="shared" si="6"/>
        <v>23251.982650689974</v>
      </c>
      <c r="P46" s="225">
        <f t="shared" si="7"/>
        <v>3.9377436790953232E-5</v>
      </c>
      <c r="Q46" s="215">
        <v>5.7265102880658443</v>
      </c>
      <c r="R46" s="266">
        <v>8.1</v>
      </c>
      <c r="S46" s="266">
        <v>82.11</v>
      </c>
      <c r="T46" s="266">
        <v>0.52</v>
      </c>
      <c r="U46" s="266">
        <v>18.079999999999998</v>
      </c>
      <c r="V46" s="266">
        <v>4.83</v>
      </c>
      <c r="W46" s="266">
        <v>4.93</v>
      </c>
      <c r="X46" s="266">
        <v>0</v>
      </c>
      <c r="Y46" s="266">
        <v>3.7200000000000003E-5</v>
      </c>
      <c r="Z46" s="266">
        <v>1.22</v>
      </c>
      <c r="AA46" s="266">
        <v>1.1299999999999999</v>
      </c>
      <c r="AB46" s="266">
        <v>8.2600000000000005E-6</v>
      </c>
      <c r="AC46" s="266">
        <v>8.3400000000000002E-3</v>
      </c>
      <c r="AD46" s="266">
        <v>2.98E-2</v>
      </c>
      <c r="AE46" s="266">
        <v>3.95</v>
      </c>
      <c r="AF46" s="266">
        <v>5</v>
      </c>
      <c r="AG46" s="266">
        <v>2.4900000000000002</v>
      </c>
      <c r="AH46" s="266">
        <v>3.83</v>
      </c>
      <c r="AI46" s="266">
        <v>0</v>
      </c>
      <c r="AJ46" s="266">
        <v>0</v>
      </c>
      <c r="AK46" s="266">
        <v>0</v>
      </c>
      <c r="AL46" s="314">
        <f>AK46*Conversions!$D$4*1000000</f>
        <v>0</v>
      </c>
      <c r="AM46" s="266">
        <v>0</v>
      </c>
      <c r="AN46" s="313">
        <f>AK46*Conversions!$D$5*1000000</f>
        <v>0</v>
      </c>
      <c r="AO46">
        <f t="shared" si="8"/>
        <v>36</v>
      </c>
    </row>
    <row r="47" spans="1:41" x14ac:dyDescent="0.25">
      <c r="A47">
        <v>7355411</v>
      </c>
      <c r="B47">
        <v>3</v>
      </c>
      <c r="C47" t="s">
        <v>625</v>
      </c>
      <c r="D47" t="s">
        <v>709</v>
      </c>
      <c r="E47" t="s">
        <v>718</v>
      </c>
      <c r="F47" t="s">
        <v>719</v>
      </c>
      <c r="G47">
        <v>29.93</v>
      </c>
      <c r="H47">
        <v>-89.94</v>
      </c>
      <c r="I47" s="225">
        <v>135000</v>
      </c>
      <c r="J47" s="225">
        <v>50000</v>
      </c>
      <c r="K47" s="225">
        <v>0</v>
      </c>
      <c r="L47" s="225">
        <v>0</v>
      </c>
      <c r="M47">
        <v>125000</v>
      </c>
      <c r="N47">
        <f>VLOOKUP(D47,Utilization!$B$9:$E$44,4,FALSE)</f>
        <v>0.98291670808070764</v>
      </c>
      <c r="O47">
        <f t="shared" si="6"/>
        <v>122864.58851008845</v>
      </c>
      <c r="P47">
        <f t="shared" si="7"/>
        <v>7.8633336646456609E-6</v>
      </c>
      <c r="Q47" s="215">
        <v>5.8481481481481481</v>
      </c>
      <c r="R47" s="215">
        <v>276.83999999999997</v>
      </c>
      <c r="S47" s="215">
        <v>433.22</v>
      </c>
      <c r="T47" s="215">
        <v>207.71</v>
      </c>
      <c r="U47" s="215">
        <v>710.27</v>
      </c>
      <c r="V47" s="215">
        <v>289.93</v>
      </c>
      <c r="W47" s="215">
        <v>289.93</v>
      </c>
      <c r="X47" s="215">
        <v>29.58</v>
      </c>
      <c r="Y47" s="215">
        <v>4.0000000000000001E-3</v>
      </c>
      <c r="Z47" s="215">
        <v>31.27</v>
      </c>
      <c r="AA47" s="215">
        <v>43.74</v>
      </c>
      <c r="AB47" s="215">
        <v>6</v>
      </c>
      <c r="AC47" s="215">
        <v>8.1600000000000006E-2</v>
      </c>
      <c r="AD47" s="215">
        <v>1.22</v>
      </c>
      <c r="AE47" s="215">
        <v>0</v>
      </c>
      <c r="AF47" s="215">
        <v>3856</v>
      </c>
      <c r="AG47" s="215">
        <v>1893.16</v>
      </c>
      <c r="AH47" s="215">
        <v>0</v>
      </c>
      <c r="AI47" s="215">
        <v>44.66</v>
      </c>
      <c r="AJ47" s="215">
        <v>578</v>
      </c>
      <c r="AK47" s="266">
        <v>0</v>
      </c>
      <c r="AL47" s="311">
        <f>AK47*Conversions!$D$4*1000000</f>
        <v>0</v>
      </c>
      <c r="AM47" s="225">
        <v>0</v>
      </c>
      <c r="AN47" s="302">
        <f>AK47*Conversions!$D$5*1000000</f>
        <v>0</v>
      </c>
      <c r="AO47">
        <f t="shared" si="8"/>
        <v>131</v>
      </c>
    </row>
    <row r="48" spans="1:41" x14ac:dyDescent="0.25">
      <c r="A48">
        <v>947811</v>
      </c>
      <c r="B48">
        <v>5</v>
      </c>
      <c r="C48" t="s">
        <v>617</v>
      </c>
      <c r="D48" t="s">
        <v>679</v>
      </c>
      <c r="E48" t="s">
        <v>682</v>
      </c>
      <c r="F48" t="s">
        <v>681</v>
      </c>
      <c r="G48">
        <v>21.3</v>
      </c>
      <c r="H48">
        <v>-158.11000000000001</v>
      </c>
      <c r="I48" s="225">
        <v>54000</v>
      </c>
      <c r="J48" s="225">
        <v>30000</v>
      </c>
      <c r="K48" s="225">
        <v>0</v>
      </c>
      <c r="L48" s="225">
        <v>0</v>
      </c>
      <c r="M48">
        <v>54000</v>
      </c>
      <c r="N48">
        <f>VLOOKUP(D48,Utilization!$B$9:$E$44,4,FALSE)</f>
        <v>1</v>
      </c>
      <c r="O48">
        <f t="shared" si="6"/>
        <v>54000</v>
      </c>
      <c r="P48">
        <f t="shared" si="7"/>
        <v>1.8518518518518518E-5</v>
      </c>
      <c r="Q48" s="215">
        <v>5.8509629629629636</v>
      </c>
      <c r="R48" s="215">
        <v>111.63</v>
      </c>
      <c r="S48" s="215">
        <v>1202.6300000000001</v>
      </c>
      <c r="T48" s="215">
        <v>634.85</v>
      </c>
      <c r="U48" s="215">
        <v>408.73</v>
      </c>
      <c r="V48" s="215">
        <v>77.540000000000006</v>
      </c>
      <c r="W48" s="215">
        <v>96.55</v>
      </c>
      <c r="X48" s="215">
        <v>19.420000000000002</v>
      </c>
      <c r="Y48" s="215">
        <v>0.21</v>
      </c>
      <c r="Z48" s="215">
        <v>2.04</v>
      </c>
      <c r="AA48" s="215">
        <v>3.37</v>
      </c>
      <c r="AB48" s="215">
        <v>3.33</v>
      </c>
      <c r="AC48" s="215">
        <v>0</v>
      </c>
      <c r="AD48" s="215">
        <v>0</v>
      </c>
      <c r="AE48" s="215">
        <v>0</v>
      </c>
      <c r="AF48" s="215">
        <v>0</v>
      </c>
      <c r="AG48" s="215">
        <v>4100</v>
      </c>
      <c r="AH48" s="215">
        <v>0</v>
      </c>
      <c r="AI48" s="215">
        <v>411</v>
      </c>
      <c r="AJ48" s="215">
        <v>0</v>
      </c>
      <c r="AK48" s="266">
        <v>0</v>
      </c>
      <c r="AL48" s="311">
        <f>AK48*Conversions!$D$4*1000000</f>
        <v>0</v>
      </c>
      <c r="AM48" s="225">
        <v>0</v>
      </c>
      <c r="AN48" s="302">
        <f>AK48*Conversions!$D$5*1000000</f>
        <v>0</v>
      </c>
      <c r="AO48">
        <f t="shared" si="8"/>
        <v>36</v>
      </c>
    </row>
    <row r="49" spans="1:41" x14ac:dyDescent="0.25">
      <c r="A49">
        <v>7558611</v>
      </c>
      <c r="B49">
        <v>4</v>
      </c>
      <c r="C49" t="s">
        <v>668</v>
      </c>
      <c r="D49" t="s">
        <v>868</v>
      </c>
      <c r="E49" t="s">
        <v>873</v>
      </c>
      <c r="F49" t="s">
        <v>874</v>
      </c>
      <c r="G49">
        <v>40.79</v>
      </c>
      <c r="H49">
        <v>-111.9</v>
      </c>
      <c r="I49" s="225">
        <v>60000</v>
      </c>
      <c r="J49" s="225">
        <v>0</v>
      </c>
      <c r="K49" s="225">
        <v>0</v>
      </c>
      <c r="L49" s="225">
        <v>0</v>
      </c>
      <c r="M49">
        <v>60000</v>
      </c>
      <c r="N49">
        <f>VLOOKUP(D49,Utilization!$B$9:$E$44,4,FALSE)</f>
        <v>1</v>
      </c>
      <c r="O49">
        <f t="shared" si="6"/>
        <v>60000</v>
      </c>
      <c r="P49">
        <f t="shared" si="7"/>
        <v>1.6666666666666667E-5</v>
      </c>
      <c r="Q49" s="215">
        <v>6.0666666666666664</v>
      </c>
      <c r="R49" s="215">
        <v>321.8</v>
      </c>
      <c r="S49" s="215">
        <v>268.95</v>
      </c>
      <c r="T49" s="215">
        <v>795.31</v>
      </c>
      <c r="U49" s="215">
        <v>383.73</v>
      </c>
      <c r="V49" s="215">
        <v>70.14</v>
      </c>
      <c r="W49" s="215">
        <v>126.07</v>
      </c>
      <c r="X49" s="215">
        <v>4.0199999999999996</v>
      </c>
      <c r="Y49" s="215">
        <v>4.0600000000000002E-3</v>
      </c>
      <c r="Z49" s="215">
        <v>16.57</v>
      </c>
      <c r="AA49" s="215">
        <v>19.649999999999999</v>
      </c>
      <c r="AB49" s="215">
        <v>33</v>
      </c>
      <c r="AC49" s="215">
        <v>1.8599999999999998E-2</v>
      </c>
      <c r="AD49" s="215">
        <v>6.6500000000000004E-2</v>
      </c>
      <c r="AE49" s="215">
        <v>195.27</v>
      </c>
      <c r="AF49" s="215">
        <v>2783.21</v>
      </c>
      <c r="AG49" s="215">
        <v>680</v>
      </c>
      <c r="AH49" s="215">
        <v>99.49</v>
      </c>
      <c r="AI49" s="215">
        <v>430</v>
      </c>
      <c r="AJ49" s="215">
        <v>0</v>
      </c>
      <c r="AK49" s="266">
        <v>0</v>
      </c>
      <c r="AL49" s="311">
        <f>AK49*Conversions!$D$4*1000000</f>
        <v>0</v>
      </c>
      <c r="AM49" s="225">
        <v>0</v>
      </c>
      <c r="AN49" s="302">
        <f>AK49*Conversions!$D$5*1000000</f>
        <v>0</v>
      </c>
      <c r="AO49">
        <f t="shared" si="8"/>
        <v>36</v>
      </c>
    </row>
    <row r="50" spans="1:41" x14ac:dyDescent="0.25">
      <c r="A50">
        <v>6532511</v>
      </c>
      <c r="B50">
        <v>1</v>
      </c>
      <c r="C50" t="s">
        <v>672</v>
      </c>
      <c r="D50" t="s">
        <v>814</v>
      </c>
      <c r="E50" t="s">
        <v>817</v>
      </c>
      <c r="F50" t="s">
        <v>818</v>
      </c>
      <c r="G50">
        <v>41.96</v>
      </c>
      <c r="H50">
        <v>-78.63</v>
      </c>
      <c r="I50" s="225">
        <v>10000</v>
      </c>
      <c r="J50" s="225">
        <v>0</v>
      </c>
      <c r="K50" s="225">
        <v>0</v>
      </c>
      <c r="L50" s="225">
        <v>0</v>
      </c>
      <c r="M50">
        <v>10000</v>
      </c>
      <c r="N50">
        <f>VLOOKUP(D50,Utilization!$B$9:$E$44,4,FALSE)</f>
        <v>1</v>
      </c>
      <c r="O50">
        <f t="shared" si="6"/>
        <v>10000</v>
      </c>
      <c r="P50">
        <f t="shared" si="7"/>
        <v>1E-4</v>
      </c>
      <c r="Q50" s="215">
        <v>6.1</v>
      </c>
      <c r="R50" s="215">
        <v>96.07</v>
      </c>
      <c r="S50" s="215">
        <v>217.81</v>
      </c>
      <c r="T50" s="215">
        <v>1018.69</v>
      </c>
      <c r="U50" s="215">
        <v>295.83999999999997</v>
      </c>
      <c r="V50" s="215">
        <v>20.170000000000002</v>
      </c>
      <c r="W50" s="215">
        <v>20.79</v>
      </c>
      <c r="X50" s="215">
        <v>0</v>
      </c>
      <c r="Y50" s="215">
        <v>6.3699999999999998E-3</v>
      </c>
      <c r="Z50" s="215">
        <v>1.31</v>
      </c>
      <c r="AA50" s="215">
        <v>1.1100000000000001</v>
      </c>
      <c r="AB50" s="215">
        <v>5.56</v>
      </c>
      <c r="AC50" s="215">
        <v>10.26</v>
      </c>
      <c r="AD50" s="215">
        <v>20.010000000000002</v>
      </c>
      <c r="AE50" s="215">
        <v>1.06</v>
      </c>
      <c r="AF50" s="215">
        <v>23.19</v>
      </c>
      <c r="AG50" s="215">
        <v>777.6</v>
      </c>
      <c r="AH50" s="215">
        <v>0.65</v>
      </c>
      <c r="AI50" s="215">
        <v>3.39E-2</v>
      </c>
      <c r="AJ50" s="215">
        <v>3.1500000000000001E-4</v>
      </c>
      <c r="AK50" s="266">
        <v>0</v>
      </c>
      <c r="AL50" s="311">
        <f>AK50*Conversions!$D$4*1000000</f>
        <v>0</v>
      </c>
      <c r="AM50" s="225">
        <v>0</v>
      </c>
      <c r="AN50" s="302">
        <f>AK50*Conversions!$D$5*1000000</f>
        <v>0</v>
      </c>
      <c r="AO50">
        <f t="shared" si="8"/>
        <v>36</v>
      </c>
    </row>
    <row r="51" spans="1:41" x14ac:dyDescent="0.25">
      <c r="A51">
        <v>8105511</v>
      </c>
      <c r="B51">
        <v>3</v>
      </c>
      <c r="C51" t="s">
        <v>625</v>
      </c>
      <c r="D51" t="s">
        <v>783</v>
      </c>
      <c r="E51" t="s">
        <v>790</v>
      </c>
      <c r="F51" t="s">
        <v>791</v>
      </c>
      <c r="G51">
        <v>35.49</v>
      </c>
      <c r="H51">
        <v>-108.42</v>
      </c>
      <c r="I51" s="225">
        <v>40000</v>
      </c>
      <c r="J51" s="225">
        <v>0</v>
      </c>
      <c r="K51" s="225">
        <v>0</v>
      </c>
      <c r="L51" s="225">
        <v>0</v>
      </c>
      <c r="M51">
        <v>40000</v>
      </c>
      <c r="N51">
        <f>VLOOKUP(D51,Utilization!$B$9:$E$44,4,FALSE)</f>
        <v>0.88243526941917427</v>
      </c>
      <c r="O51">
        <f t="shared" si="6"/>
        <v>35297.41077676697</v>
      </c>
      <c r="P51">
        <f t="shared" si="7"/>
        <v>2.2060881735479357E-5</v>
      </c>
      <c r="Q51" s="215">
        <v>6.125</v>
      </c>
      <c r="R51" s="215">
        <v>107.52</v>
      </c>
      <c r="S51" s="215">
        <v>34.29</v>
      </c>
      <c r="T51" s="215">
        <v>48.79</v>
      </c>
      <c r="U51" s="215">
        <v>330.99</v>
      </c>
      <c r="V51" s="215">
        <v>23.09</v>
      </c>
      <c r="W51" s="215">
        <v>35.119999999999997</v>
      </c>
      <c r="X51" s="215">
        <v>13.17</v>
      </c>
      <c r="Y51" s="215">
        <v>7.3999999999999999E-4</v>
      </c>
      <c r="Z51" s="215">
        <v>3.52</v>
      </c>
      <c r="AA51" s="215">
        <v>6.88</v>
      </c>
      <c r="AB51" s="215">
        <v>0</v>
      </c>
      <c r="AC51" s="215">
        <v>0</v>
      </c>
      <c r="AD51" s="215">
        <v>0</v>
      </c>
      <c r="AE51" s="215">
        <v>0</v>
      </c>
      <c r="AF51" s="215">
        <v>5906.17</v>
      </c>
      <c r="AG51" s="215">
        <v>2661</v>
      </c>
      <c r="AH51" s="215">
        <v>0</v>
      </c>
      <c r="AI51" s="215">
        <v>0</v>
      </c>
      <c r="AJ51" s="215">
        <v>0</v>
      </c>
      <c r="AK51" s="266">
        <v>0</v>
      </c>
      <c r="AL51" s="311">
        <f>AK51*Conversions!$D$4*1000000</f>
        <v>0</v>
      </c>
      <c r="AM51" s="225">
        <v>0</v>
      </c>
      <c r="AN51" s="302">
        <f>AK51*Conversions!$D$5*1000000</f>
        <v>0</v>
      </c>
      <c r="AO51">
        <f t="shared" si="8"/>
        <v>36</v>
      </c>
    </row>
    <row r="52" spans="1:41" x14ac:dyDescent="0.25">
      <c r="A52">
        <v>8240011</v>
      </c>
      <c r="B52">
        <v>3</v>
      </c>
      <c r="C52" t="s">
        <v>625</v>
      </c>
      <c r="D52" t="s">
        <v>709</v>
      </c>
      <c r="E52" t="s">
        <v>737</v>
      </c>
      <c r="F52" t="s">
        <v>738</v>
      </c>
      <c r="G52">
        <v>30.52</v>
      </c>
      <c r="H52">
        <v>-91.74</v>
      </c>
      <c r="I52" s="225">
        <v>83000</v>
      </c>
      <c r="J52" s="225">
        <v>36000</v>
      </c>
      <c r="K52" s="225">
        <v>0</v>
      </c>
      <c r="L52" s="225">
        <v>0</v>
      </c>
      <c r="M52">
        <v>83000</v>
      </c>
      <c r="N52">
        <f>VLOOKUP(D52,Utilization!$B$9:$E$44,4,FALSE)</f>
        <v>0.98291670808070764</v>
      </c>
      <c r="O52">
        <f t="shared" si="6"/>
        <v>81582.086770698734</v>
      </c>
      <c r="P52">
        <f t="shared" si="7"/>
        <v>1.1842369976875995E-5</v>
      </c>
      <c r="Q52" s="215">
        <v>6.4879518072289155</v>
      </c>
      <c r="R52" s="215">
        <v>309.67</v>
      </c>
      <c r="S52" s="215">
        <v>455.22</v>
      </c>
      <c r="T52" s="215">
        <v>400.77</v>
      </c>
      <c r="U52" s="215">
        <v>435.22</v>
      </c>
      <c r="V52" s="215">
        <v>226.57</v>
      </c>
      <c r="W52" s="215">
        <v>230.07</v>
      </c>
      <c r="X52" s="215">
        <v>1.26</v>
      </c>
      <c r="Y52" s="215">
        <v>1.2700000000000001E-3</v>
      </c>
      <c r="Z52" s="215">
        <v>15.52</v>
      </c>
      <c r="AA52" s="215">
        <v>16.440000000000001</v>
      </c>
      <c r="AB52" s="215">
        <v>1.4</v>
      </c>
      <c r="AC52" s="215">
        <v>0.5</v>
      </c>
      <c r="AD52" s="215">
        <v>2.25</v>
      </c>
      <c r="AE52" s="215">
        <v>81.400000000000006</v>
      </c>
      <c r="AF52" s="215">
        <v>819.2</v>
      </c>
      <c r="AG52" s="215">
        <v>3561.64</v>
      </c>
      <c r="AH52" s="215">
        <v>6.54</v>
      </c>
      <c r="AI52" s="215">
        <v>101.7</v>
      </c>
      <c r="AJ52" s="215">
        <v>36.83</v>
      </c>
      <c r="AK52" s="266">
        <v>0</v>
      </c>
      <c r="AL52" s="311">
        <f>AK52*Conversions!$D$4*1000000</f>
        <v>0</v>
      </c>
      <c r="AM52" s="225">
        <v>0</v>
      </c>
      <c r="AN52" s="302">
        <f>AK52*Conversions!$D$5*1000000</f>
        <v>0</v>
      </c>
      <c r="AO52">
        <f t="shared" si="8"/>
        <v>36</v>
      </c>
    </row>
    <row r="53" spans="1:41" x14ac:dyDescent="0.25">
      <c r="A53">
        <v>7156111</v>
      </c>
      <c r="B53">
        <v>2</v>
      </c>
      <c r="C53" t="s">
        <v>683</v>
      </c>
      <c r="D53" t="s">
        <v>825</v>
      </c>
      <c r="E53" t="s">
        <v>826</v>
      </c>
      <c r="F53" t="s">
        <v>827</v>
      </c>
      <c r="G53">
        <v>35.08</v>
      </c>
      <c r="H53">
        <v>-90.08</v>
      </c>
      <c r="I53" s="225">
        <v>195000</v>
      </c>
      <c r="J53" s="225">
        <v>0</v>
      </c>
      <c r="K53" s="225">
        <v>0</v>
      </c>
      <c r="L53" s="225">
        <v>0</v>
      </c>
      <c r="M53">
        <v>195000</v>
      </c>
      <c r="N53">
        <f>VLOOKUP(D53,Utilization!$B$9:$E$44,4,FALSE)</f>
        <v>1</v>
      </c>
      <c r="O53">
        <f t="shared" si="6"/>
        <v>195000</v>
      </c>
      <c r="P53">
        <f t="shared" si="7"/>
        <v>5.1282051282051279E-6</v>
      </c>
      <c r="Q53" s="215">
        <v>6.521179487179487</v>
      </c>
      <c r="R53" s="215">
        <v>211.19</v>
      </c>
      <c r="S53" s="215">
        <v>584.73</v>
      </c>
      <c r="T53" s="215">
        <v>66.430000000000007</v>
      </c>
      <c r="U53" s="215">
        <v>531.62</v>
      </c>
      <c r="V53" s="215">
        <v>129.81</v>
      </c>
      <c r="W53" s="215">
        <v>129.81</v>
      </c>
      <c r="X53" s="215">
        <v>5.95</v>
      </c>
      <c r="Y53" s="215">
        <v>3.04E-2</v>
      </c>
      <c r="Z53" s="215">
        <v>8.6999999999999993</v>
      </c>
      <c r="AA53" s="215">
        <v>12.49</v>
      </c>
      <c r="AB53" s="215">
        <v>5.18</v>
      </c>
      <c r="AC53" s="215">
        <v>3.06</v>
      </c>
      <c r="AD53" s="215">
        <v>11.82</v>
      </c>
      <c r="AE53" s="215">
        <v>234.32</v>
      </c>
      <c r="AF53" s="215">
        <v>1015.28</v>
      </c>
      <c r="AG53" s="215">
        <v>4556.58</v>
      </c>
      <c r="AH53" s="215">
        <v>18.829999999999998</v>
      </c>
      <c r="AI53" s="215">
        <v>73.239999999999995</v>
      </c>
      <c r="AJ53" s="215">
        <v>0.63</v>
      </c>
      <c r="AK53" s="266">
        <v>0</v>
      </c>
      <c r="AL53" s="311">
        <f>AK53*Conversions!$D$4*1000000</f>
        <v>0</v>
      </c>
      <c r="AM53" s="225">
        <v>0</v>
      </c>
      <c r="AN53" s="302">
        <f>AK53*Conversions!$D$5*1000000</f>
        <v>0</v>
      </c>
      <c r="AO53">
        <f t="shared" si="8"/>
        <v>131</v>
      </c>
    </row>
    <row r="54" spans="1:41" x14ac:dyDescent="0.25">
      <c r="A54" s="225">
        <v>1099511</v>
      </c>
      <c r="B54" s="225">
        <v>4</v>
      </c>
      <c r="C54" s="225" t="s">
        <v>668</v>
      </c>
      <c r="D54" s="225" t="s">
        <v>669</v>
      </c>
      <c r="E54" s="225" t="s">
        <v>670</v>
      </c>
      <c r="F54" s="225" t="s">
        <v>671</v>
      </c>
      <c r="G54" s="225">
        <v>39.799999999999997</v>
      </c>
      <c r="H54" s="225">
        <v>-104.94</v>
      </c>
      <c r="I54" s="225">
        <v>98000</v>
      </c>
      <c r="J54" s="225">
        <v>34200</v>
      </c>
      <c r="K54" s="225">
        <v>0</v>
      </c>
      <c r="L54" s="225">
        <v>0</v>
      </c>
      <c r="M54" s="225">
        <v>93000</v>
      </c>
      <c r="N54" s="225">
        <f>VLOOKUP(D54,Utilization!$B$9:$E$44,4,FALSE)</f>
        <v>1</v>
      </c>
      <c r="O54" s="225">
        <f t="shared" si="6"/>
        <v>93000</v>
      </c>
      <c r="P54" s="225">
        <f t="shared" si="7"/>
        <v>1.075268817204301E-5</v>
      </c>
      <c r="Q54" s="215">
        <v>6.8778163265306125</v>
      </c>
      <c r="R54" s="266">
        <v>354.8</v>
      </c>
      <c r="S54" s="266">
        <v>315.18</v>
      </c>
      <c r="T54" s="266">
        <v>233.75</v>
      </c>
      <c r="U54" s="266">
        <v>670.42</v>
      </c>
      <c r="V54" s="266">
        <v>240.51</v>
      </c>
      <c r="W54" s="266">
        <v>240.6</v>
      </c>
      <c r="X54" s="266">
        <v>2.16</v>
      </c>
      <c r="Y54" s="266">
        <v>2.7300000000000001E-2</v>
      </c>
      <c r="Z54" s="266">
        <v>6.97</v>
      </c>
      <c r="AA54" s="266">
        <v>9.81</v>
      </c>
      <c r="AB54" s="266">
        <v>8.3000000000000007</v>
      </c>
      <c r="AC54" s="266">
        <v>0</v>
      </c>
      <c r="AD54" s="266">
        <v>0</v>
      </c>
      <c r="AE54" s="266">
        <v>0</v>
      </c>
      <c r="AF54" s="266">
        <v>5005.55</v>
      </c>
      <c r="AG54" s="266">
        <v>2474</v>
      </c>
      <c r="AH54" s="266">
        <v>0</v>
      </c>
      <c r="AI54" s="266">
        <v>0</v>
      </c>
      <c r="AJ54" s="266">
        <v>0</v>
      </c>
      <c r="AK54" s="266">
        <v>0</v>
      </c>
      <c r="AL54" s="314">
        <f>AK54*Conversions!$D$4*1000000</f>
        <v>0</v>
      </c>
      <c r="AM54" s="225">
        <v>0</v>
      </c>
      <c r="AN54" s="313">
        <f>AK54*Conversions!$D$5*1000000</f>
        <v>0</v>
      </c>
      <c r="AO54">
        <f t="shared" si="8"/>
        <v>36</v>
      </c>
    </row>
    <row r="55" spans="1:41" x14ac:dyDescent="0.25">
      <c r="A55">
        <v>8236511</v>
      </c>
      <c r="B55">
        <v>4</v>
      </c>
      <c r="C55" t="s">
        <v>668</v>
      </c>
      <c r="D55" t="s">
        <v>868</v>
      </c>
      <c r="E55" t="s">
        <v>876</v>
      </c>
      <c r="F55" t="s">
        <v>872</v>
      </c>
      <c r="G55">
        <v>40.86</v>
      </c>
      <c r="H55">
        <v>-111.91</v>
      </c>
      <c r="I55" s="225">
        <v>6250</v>
      </c>
      <c r="J55" s="225">
        <v>6000</v>
      </c>
      <c r="K55" s="225">
        <v>0</v>
      </c>
      <c r="L55" s="225">
        <v>0</v>
      </c>
      <c r="M55">
        <v>6250</v>
      </c>
      <c r="N55">
        <f>VLOOKUP(D55,Utilization!$B$9:$E$44,4,FALSE)</f>
        <v>1</v>
      </c>
      <c r="O55">
        <f t="shared" si="6"/>
        <v>6250</v>
      </c>
      <c r="P55">
        <f t="shared" si="7"/>
        <v>1.6000000000000001E-4</v>
      </c>
      <c r="Q55" s="215">
        <v>6.952</v>
      </c>
      <c r="R55" s="215">
        <v>26.08</v>
      </c>
      <c r="S55" s="215">
        <v>55.84</v>
      </c>
      <c r="T55" s="215">
        <v>1.45</v>
      </c>
      <c r="U55" s="215">
        <v>24.52</v>
      </c>
      <c r="V55" s="215">
        <v>3.86</v>
      </c>
      <c r="W55" s="215">
        <v>7.58</v>
      </c>
      <c r="X55" s="215">
        <v>0.88</v>
      </c>
      <c r="Y55" s="215">
        <v>6.4199999999999999E-4</v>
      </c>
      <c r="Z55" s="215">
        <v>0.98</v>
      </c>
      <c r="AA55" s="215">
        <v>0.7</v>
      </c>
      <c r="AB55" s="215">
        <v>3.8999999999999999E-4</v>
      </c>
      <c r="AC55" s="215">
        <v>0.03</v>
      </c>
      <c r="AD55" s="215">
        <v>0.11</v>
      </c>
      <c r="AE55" s="215">
        <v>0</v>
      </c>
      <c r="AF55" s="215">
        <v>40.200000000000003</v>
      </c>
      <c r="AG55" s="215">
        <v>66.53</v>
      </c>
      <c r="AH55" s="215">
        <v>0</v>
      </c>
      <c r="AI55" s="215">
        <v>0</v>
      </c>
      <c r="AJ55" s="215">
        <v>0</v>
      </c>
      <c r="AK55" s="266">
        <v>0</v>
      </c>
      <c r="AL55" s="311">
        <f>AK55*Conversions!$D$4*1000000</f>
        <v>0</v>
      </c>
      <c r="AM55" s="225">
        <v>0</v>
      </c>
      <c r="AN55" s="302">
        <f>AK55*Conversions!$D$5*1000000</f>
        <v>0</v>
      </c>
      <c r="AO55">
        <f t="shared" si="8"/>
        <v>36</v>
      </c>
    </row>
    <row r="56" spans="1:41" x14ac:dyDescent="0.25">
      <c r="A56">
        <v>4781911</v>
      </c>
      <c r="B56">
        <v>1</v>
      </c>
      <c r="C56" t="s">
        <v>672</v>
      </c>
      <c r="D56" t="s">
        <v>893</v>
      </c>
      <c r="E56" t="s">
        <v>894</v>
      </c>
      <c r="F56" t="s">
        <v>895</v>
      </c>
      <c r="G56">
        <v>40.6</v>
      </c>
      <c r="H56">
        <v>-80.63</v>
      </c>
      <c r="I56" s="225">
        <v>20000</v>
      </c>
      <c r="J56" s="225">
        <v>8400</v>
      </c>
      <c r="K56" s="225">
        <v>0</v>
      </c>
      <c r="L56" s="225">
        <v>0</v>
      </c>
      <c r="M56">
        <v>19400</v>
      </c>
      <c r="N56">
        <f>VLOOKUP(D56,Utilization!$B$9:$E$44,4,FALSE)</f>
        <v>1</v>
      </c>
      <c r="O56">
        <f t="shared" si="6"/>
        <v>19400</v>
      </c>
      <c r="P56">
        <f t="shared" si="7"/>
        <v>5.1546391752577322E-5</v>
      </c>
      <c r="Q56" s="215">
        <v>7.1902050000000006</v>
      </c>
      <c r="R56" s="215">
        <v>123.4</v>
      </c>
      <c r="S56" s="215">
        <v>121.82</v>
      </c>
      <c r="T56" s="215">
        <v>18.61</v>
      </c>
      <c r="U56" s="215">
        <v>113.79</v>
      </c>
      <c r="V56" s="215">
        <v>3.05</v>
      </c>
      <c r="W56" s="215">
        <v>3.05</v>
      </c>
      <c r="X56" s="215">
        <v>4.9800000000000004</v>
      </c>
      <c r="Y56" s="215">
        <v>9.7399999999999996E-5</v>
      </c>
      <c r="Z56" s="215">
        <v>0.89</v>
      </c>
      <c r="AA56" s="215">
        <v>0.81</v>
      </c>
      <c r="AB56" s="215">
        <v>0</v>
      </c>
      <c r="AC56" s="215">
        <v>2.18E-2</v>
      </c>
      <c r="AD56" s="215">
        <v>7.7899999999999997E-2</v>
      </c>
      <c r="AE56" s="215">
        <v>0</v>
      </c>
      <c r="AF56" s="215">
        <v>36.090000000000003</v>
      </c>
      <c r="AG56" s="215">
        <v>106.01</v>
      </c>
      <c r="AH56" s="215">
        <v>0</v>
      </c>
      <c r="AI56" s="215">
        <v>0</v>
      </c>
      <c r="AJ56" s="215">
        <v>0</v>
      </c>
      <c r="AK56" s="266">
        <v>0</v>
      </c>
      <c r="AL56" s="311">
        <f>AK56*Conversions!$D$4*1000000</f>
        <v>0</v>
      </c>
      <c r="AM56" s="225">
        <v>0</v>
      </c>
      <c r="AN56" s="302">
        <f>AK56*Conversions!$D$5*1000000</f>
        <v>0</v>
      </c>
      <c r="AO56">
        <f t="shared" si="8"/>
        <v>36</v>
      </c>
    </row>
    <row r="57" spans="1:41" x14ac:dyDescent="0.25">
      <c r="A57">
        <v>4865011</v>
      </c>
      <c r="B57">
        <v>4</v>
      </c>
      <c r="C57" t="s">
        <v>668</v>
      </c>
      <c r="D57" t="s">
        <v>896</v>
      </c>
      <c r="E57" t="s">
        <v>899</v>
      </c>
      <c r="F57" t="s">
        <v>900</v>
      </c>
      <c r="G57">
        <v>43.84</v>
      </c>
      <c r="H57">
        <v>-104.21</v>
      </c>
      <c r="I57" s="225">
        <v>12500</v>
      </c>
      <c r="J57" s="225">
        <v>1500</v>
      </c>
      <c r="K57" s="225">
        <v>0</v>
      </c>
      <c r="L57" s="225">
        <v>0</v>
      </c>
      <c r="M57">
        <v>12500</v>
      </c>
      <c r="N57">
        <f>VLOOKUP(D57,Utilization!$B$9:$E$44,4,FALSE)</f>
        <v>0.97832630945213728</v>
      </c>
      <c r="O57">
        <f t="shared" si="6"/>
        <v>12229.078868151715</v>
      </c>
      <c r="P57">
        <f t="shared" si="7"/>
        <v>7.8266104756170981E-5</v>
      </c>
      <c r="Q57" s="215">
        <v>7.22</v>
      </c>
      <c r="R57" s="215">
        <v>44.74</v>
      </c>
      <c r="S57" s="215">
        <v>77.8</v>
      </c>
      <c r="T57" s="215">
        <v>323.62</v>
      </c>
      <c r="U57" s="215">
        <v>88.21</v>
      </c>
      <c r="V57" s="215">
        <v>86.56</v>
      </c>
      <c r="W57" s="215">
        <v>97.32</v>
      </c>
      <c r="X57" s="215">
        <v>0</v>
      </c>
      <c r="Y57" s="215">
        <v>0</v>
      </c>
      <c r="Z57" s="215">
        <v>2.56</v>
      </c>
      <c r="AA57" s="215">
        <v>6.78</v>
      </c>
      <c r="AB57" s="215">
        <v>0</v>
      </c>
      <c r="AC57" s="215">
        <v>0</v>
      </c>
      <c r="AD57" s="215">
        <v>0</v>
      </c>
      <c r="AE57" s="215">
        <v>0</v>
      </c>
      <c r="AF57" s="215">
        <v>0</v>
      </c>
      <c r="AG57" s="215">
        <v>124.2</v>
      </c>
      <c r="AH57" s="215">
        <v>0</v>
      </c>
      <c r="AI57" s="215">
        <v>0</v>
      </c>
      <c r="AJ57" s="215">
        <v>0</v>
      </c>
      <c r="AK57" s="266">
        <v>0</v>
      </c>
      <c r="AL57" s="311">
        <f>AK57*Conversions!$D$4*1000000</f>
        <v>0</v>
      </c>
      <c r="AM57" s="225">
        <v>0</v>
      </c>
      <c r="AN57" s="302">
        <f>AK57*Conversions!$D$5*1000000</f>
        <v>0</v>
      </c>
      <c r="AO57">
        <f t="shared" si="8"/>
        <v>36</v>
      </c>
    </row>
    <row r="58" spans="1:41" x14ac:dyDescent="0.25">
      <c r="A58">
        <v>4954911</v>
      </c>
      <c r="B58">
        <v>4</v>
      </c>
      <c r="C58" t="s">
        <v>668</v>
      </c>
      <c r="D58" t="s">
        <v>896</v>
      </c>
      <c r="E58" t="s">
        <v>901</v>
      </c>
      <c r="F58" t="s">
        <v>902</v>
      </c>
      <c r="G58">
        <v>42.85</v>
      </c>
      <c r="H58">
        <v>-106.24</v>
      </c>
      <c r="I58" s="225">
        <v>22500</v>
      </c>
      <c r="J58" s="225">
        <v>6000</v>
      </c>
      <c r="K58" s="225">
        <v>0</v>
      </c>
      <c r="L58" s="225">
        <v>0</v>
      </c>
      <c r="M58">
        <v>22500</v>
      </c>
      <c r="N58">
        <f>VLOOKUP(D58,Utilization!$B$9:$E$44,4,FALSE)</f>
        <v>0.97832630945213728</v>
      </c>
      <c r="O58">
        <f t="shared" si="6"/>
        <v>22012.34196267309</v>
      </c>
      <c r="P58">
        <f t="shared" si="7"/>
        <v>4.3481169308983878E-5</v>
      </c>
      <c r="Q58" s="215">
        <v>7.2888888888888888</v>
      </c>
      <c r="R58" s="215">
        <v>136.03</v>
      </c>
      <c r="S58" s="215">
        <v>257.25</v>
      </c>
      <c r="T58" s="215">
        <v>274.20999999999998</v>
      </c>
      <c r="U58" s="215">
        <v>234.75</v>
      </c>
      <c r="V58" s="215">
        <v>51.9</v>
      </c>
      <c r="W58" s="215">
        <v>56.86</v>
      </c>
      <c r="X58" s="215">
        <v>0.38</v>
      </c>
      <c r="Y58" s="215">
        <v>5.3499999999999997E-3</v>
      </c>
      <c r="Z58" s="215">
        <v>1.19</v>
      </c>
      <c r="AA58" s="215">
        <v>3.98</v>
      </c>
      <c r="AB58" s="215">
        <v>5.32</v>
      </c>
      <c r="AC58" s="215">
        <v>0</v>
      </c>
      <c r="AD58" s="215">
        <v>0</v>
      </c>
      <c r="AE58" s="215">
        <v>0</v>
      </c>
      <c r="AF58" s="215">
        <v>0</v>
      </c>
      <c r="AG58" s="215">
        <v>2018.07</v>
      </c>
      <c r="AH58" s="215">
        <v>0</v>
      </c>
      <c r="AI58" s="215">
        <v>5</v>
      </c>
      <c r="AJ58" s="215">
        <v>0</v>
      </c>
      <c r="AK58" s="266">
        <v>0</v>
      </c>
      <c r="AL58" s="311">
        <f>AK58*Conversions!$D$4*1000000</f>
        <v>0</v>
      </c>
      <c r="AM58" s="225">
        <v>0</v>
      </c>
      <c r="AN58" s="302">
        <f>AK58*Conversions!$D$5*1000000</f>
        <v>0</v>
      </c>
      <c r="AO58">
        <f t="shared" si="8"/>
        <v>36</v>
      </c>
    </row>
    <row r="59" spans="1:41" x14ac:dyDescent="0.25">
      <c r="A59">
        <v>4958311</v>
      </c>
      <c r="B59">
        <v>5</v>
      </c>
      <c r="C59" t="s">
        <v>617</v>
      </c>
      <c r="D59" t="s">
        <v>880</v>
      </c>
      <c r="E59" t="s">
        <v>883</v>
      </c>
      <c r="F59" t="s">
        <v>884</v>
      </c>
      <c r="G59">
        <v>48.83</v>
      </c>
      <c r="H59">
        <v>-122.69</v>
      </c>
      <c r="I59" s="225">
        <v>100000</v>
      </c>
      <c r="J59" s="225">
        <v>46400</v>
      </c>
      <c r="K59" s="225">
        <v>0</v>
      </c>
      <c r="L59" s="225">
        <v>0</v>
      </c>
      <c r="M59">
        <v>100000</v>
      </c>
      <c r="N59">
        <f>VLOOKUP(D59,Utilization!$B$9:$E$44,4,FALSE)</f>
        <v>1</v>
      </c>
      <c r="O59">
        <f t="shared" si="6"/>
        <v>100000</v>
      </c>
      <c r="P59">
        <f t="shared" si="7"/>
        <v>1.0000000000000001E-5</v>
      </c>
      <c r="Q59" s="215">
        <v>7.2970000000000006</v>
      </c>
      <c r="R59" s="215">
        <v>237</v>
      </c>
      <c r="S59" s="215">
        <v>860</v>
      </c>
      <c r="T59" s="215">
        <v>108</v>
      </c>
      <c r="U59" s="215">
        <v>788</v>
      </c>
      <c r="V59" s="215">
        <v>53</v>
      </c>
      <c r="W59" s="215">
        <v>59</v>
      </c>
      <c r="X59" s="215">
        <v>6</v>
      </c>
      <c r="Y59" s="215">
        <v>1.7600000000000001E-2</v>
      </c>
      <c r="Z59" s="215">
        <v>3.03</v>
      </c>
      <c r="AA59" s="215">
        <v>3.42</v>
      </c>
      <c r="AB59" s="215">
        <v>10.9</v>
      </c>
      <c r="AC59" s="215">
        <v>4.48E-2</v>
      </c>
      <c r="AD59" s="215">
        <v>0.16</v>
      </c>
      <c r="AE59" s="215">
        <v>292</v>
      </c>
      <c r="AF59" s="215">
        <v>883</v>
      </c>
      <c r="AG59" s="215">
        <v>4730</v>
      </c>
      <c r="AH59" s="215">
        <v>164</v>
      </c>
      <c r="AI59" s="215">
        <v>18</v>
      </c>
      <c r="AJ59" s="215">
        <v>12</v>
      </c>
      <c r="AK59" s="266">
        <v>0</v>
      </c>
      <c r="AL59" s="311">
        <f>AK59*Conversions!$D$4*1000000</f>
        <v>0</v>
      </c>
      <c r="AM59" s="225">
        <v>0</v>
      </c>
      <c r="AN59" s="302">
        <f>AK59*Conversions!$D$5*1000000</f>
        <v>0</v>
      </c>
      <c r="AO59">
        <f t="shared" si="8"/>
        <v>131</v>
      </c>
    </row>
    <row r="60" spans="1:41" x14ac:dyDescent="0.25">
      <c r="A60">
        <v>8245611</v>
      </c>
      <c r="B60">
        <v>2</v>
      </c>
      <c r="C60" t="s">
        <v>683</v>
      </c>
      <c r="D60" t="s">
        <v>744</v>
      </c>
      <c r="E60" t="s">
        <v>745</v>
      </c>
      <c r="F60" t="s">
        <v>746</v>
      </c>
      <c r="G60">
        <v>42.28</v>
      </c>
      <c r="H60">
        <v>-83.15</v>
      </c>
      <c r="I60" s="225">
        <v>106000</v>
      </c>
      <c r="J60" s="225">
        <v>52300</v>
      </c>
      <c r="K60" s="225">
        <v>0</v>
      </c>
      <c r="L60" s="225">
        <v>0</v>
      </c>
      <c r="M60">
        <v>106000</v>
      </c>
      <c r="N60">
        <f>VLOOKUP(D60,Utilization!$B$9:$E$44,4,FALSE)</f>
        <v>1</v>
      </c>
      <c r="O60">
        <f t="shared" si="6"/>
        <v>106000</v>
      </c>
      <c r="P60">
        <f t="shared" si="7"/>
        <v>9.4339622641509439E-6</v>
      </c>
      <c r="Q60" s="215">
        <v>7.3349056603773581</v>
      </c>
      <c r="R60" s="215">
        <v>122.31</v>
      </c>
      <c r="S60" s="215">
        <v>678.93</v>
      </c>
      <c r="T60" s="215">
        <v>96.25</v>
      </c>
      <c r="U60" s="215">
        <v>411.5</v>
      </c>
      <c r="V60" s="215">
        <v>72.290000000000006</v>
      </c>
      <c r="W60" s="215">
        <v>79.650000000000006</v>
      </c>
      <c r="X60" s="215">
        <v>6.5</v>
      </c>
      <c r="Y60" s="215">
        <v>1.06E-3</v>
      </c>
      <c r="Z60" s="215">
        <v>10.15</v>
      </c>
      <c r="AA60" s="215">
        <v>9.57</v>
      </c>
      <c r="AB60" s="215">
        <v>9.76</v>
      </c>
      <c r="AC60" s="215">
        <v>0.39</v>
      </c>
      <c r="AD60" s="215">
        <v>0.77</v>
      </c>
      <c r="AE60" s="215">
        <v>34.07</v>
      </c>
      <c r="AF60" s="215">
        <v>53818.46</v>
      </c>
      <c r="AG60" s="215">
        <v>4151</v>
      </c>
      <c r="AH60" s="215">
        <v>1.2999999999999999E-3</v>
      </c>
      <c r="AI60" s="215">
        <v>3820</v>
      </c>
      <c r="AJ60" s="215">
        <v>0</v>
      </c>
      <c r="AK60" s="266">
        <v>0</v>
      </c>
      <c r="AL60" s="311">
        <f>AK60*Conversions!$D$4*1000000</f>
        <v>0</v>
      </c>
      <c r="AM60" s="225">
        <v>0</v>
      </c>
      <c r="AN60" s="302">
        <f>AK60*Conversions!$D$5*1000000</f>
        <v>0</v>
      </c>
      <c r="AO60">
        <f t="shared" si="8"/>
        <v>131</v>
      </c>
    </row>
    <row r="61" spans="1:41" x14ac:dyDescent="0.25">
      <c r="A61">
        <v>4941011</v>
      </c>
      <c r="B61">
        <v>3</v>
      </c>
      <c r="C61" t="s">
        <v>625</v>
      </c>
      <c r="D61" t="s">
        <v>828</v>
      </c>
      <c r="E61" t="s">
        <v>853</v>
      </c>
      <c r="F61" t="s">
        <v>854</v>
      </c>
      <c r="G61">
        <v>29.72</v>
      </c>
      <c r="H61">
        <v>-95.2</v>
      </c>
      <c r="I61" s="225">
        <v>117000</v>
      </c>
      <c r="J61" s="225">
        <v>41000</v>
      </c>
      <c r="K61" s="225">
        <v>12000</v>
      </c>
      <c r="L61" s="225">
        <v>0</v>
      </c>
      <c r="M61">
        <v>117000</v>
      </c>
      <c r="N61">
        <f>VLOOKUP(D61,Utilization!$B$9:$E$44,4,FALSE)</f>
        <v>0.9875985727971196</v>
      </c>
      <c r="O61">
        <f t="shared" si="6"/>
        <v>115549.03301726299</v>
      </c>
      <c r="P61">
        <f t="shared" si="7"/>
        <v>8.4410134427104247E-6</v>
      </c>
      <c r="Q61" s="215">
        <v>7.4273504273504267</v>
      </c>
      <c r="R61" s="215">
        <v>283.52</v>
      </c>
      <c r="S61" s="215">
        <v>684.85</v>
      </c>
      <c r="T61" s="215">
        <v>818.49</v>
      </c>
      <c r="U61" s="215">
        <v>444.82</v>
      </c>
      <c r="V61" s="215">
        <v>358.43</v>
      </c>
      <c r="W61" s="215">
        <v>459.97</v>
      </c>
      <c r="X61" s="215">
        <v>1.75</v>
      </c>
      <c r="Y61" s="215">
        <v>0</v>
      </c>
      <c r="Z61" s="215">
        <v>9.83</v>
      </c>
      <c r="AA61" s="215">
        <v>30.46</v>
      </c>
      <c r="AB61" s="215">
        <v>27</v>
      </c>
      <c r="AC61" s="215">
        <v>0</v>
      </c>
      <c r="AD61" s="215">
        <v>0</v>
      </c>
      <c r="AE61" s="215">
        <v>42.44</v>
      </c>
      <c r="AF61" s="215">
        <v>734</v>
      </c>
      <c r="AG61" s="215">
        <v>10315</v>
      </c>
      <c r="AH61" s="215">
        <v>42.3</v>
      </c>
      <c r="AI61" s="215">
        <v>4672.2</v>
      </c>
      <c r="AJ61" s="215">
        <v>0</v>
      </c>
      <c r="AK61" s="266">
        <v>0</v>
      </c>
      <c r="AL61" s="311">
        <f>AK61*Conversions!$D$4*1000000</f>
        <v>0</v>
      </c>
      <c r="AM61" s="225">
        <v>0</v>
      </c>
      <c r="AN61" s="302">
        <f>AK61*Conversions!$D$5*1000000</f>
        <v>0</v>
      </c>
      <c r="AO61">
        <f t="shared" si="8"/>
        <v>131</v>
      </c>
    </row>
    <row r="62" spans="1:41" x14ac:dyDescent="0.25">
      <c r="A62">
        <v>1061411</v>
      </c>
      <c r="B62">
        <v>3</v>
      </c>
      <c r="C62" t="s">
        <v>625</v>
      </c>
      <c r="D62" t="s">
        <v>626</v>
      </c>
      <c r="E62" t="s">
        <v>627</v>
      </c>
      <c r="F62" t="s">
        <v>628</v>
      </c>
      <c r="G62">
        <v>30.78</v>
      </c>
      <c r="H62">
        <v>-88.05</v>
      </c>
      <c r="I62" s="225">
        <v>85000</v>
      </c>
      <c r="J62" s="225">
        <v>28000</v>
      </c>
      <c r="K62" s="225">
        <v>0</v>
      </c>
      <c r="L62" s="225">
        <v>30000</v>
      </c>
      <c r="M62">
        <v>85000</v>
      </c>
      <c r="N62">
        <f>VLOOKUP(D62,Utilization!$B$9:$E$44,4,FALSE)</f>
        <v>1</v>
      </c>
      <c r="O62">
        <f t="shared" si="6"/>
        <v>85000</v>
      </c>
      <c r="P62">
        <f t="shared" si="7"/>
        <v>1.1764705882352942E-5</v>
      </c>
      <c r="Q62" s="215">
        <v>7.4353647058823533</v>
      </c>
      <c r="R62" s="215">
        <v>269.55</v>
      </c>
      <c r="S62" s="215">
        <v>352.62</v>
      </c>
      <c r="T62" s="215">
        <v>7.68</v>
      </c>
      <c r="U62" s="215">
        <v>298.49</v>
      </c>
      <c r="V62" s="215">
        <v>54.66</v>
      </c>
      <c r="W62" s="215">
        <v>55.48</v>
      </c>
      <c r="X62" s="215">
        <v>0</v>
      </c>
      <c r="Y62" s="215">
        <v>0</v>
      </c>
      <c r="Z62" s="215">
        <v>9.0299999999999994</v>
      </c>
      <c r="AA62" s="215">
        <v>14.05</v>
      </c>
      <c r="AB62" s="215">
        <v>0</v>
      </c>
      <c r="AC62" s="215">
        <v>0</v>
      </c>
      <c r="AD62" s="215">
        <v>0</v>
      </c>
      <c r="AE62" s="215">
        <v>30.18</v>
      </c>
      <c r="AF62" s="215">
        <v>0</v>
      </c>
      <c r="AG62" s="215">
        <v>1047.68</v>
      </c>
      <c r="AH62" s="215">
        <v>42.76</v>
      </c>
      <c r="AI62" s="215">
        <v>40</v>
      </c>
      <c r="AJ62" s="215">
        <v>0</v>
      </c>
      <c r="AK62" s="215">
        <v>0</v>
      </c>
      <c r="AL62" s="311">
        <f>AK62*Conversions!$D$4*1000000</f>
        <v>0</v>
      </c>
      <c r="AM62" s="215">
        <v>0</v>
      </c>
      <c r="AN62" s="302">
        <f>AK62*Conversions!$D$5*1000000</f>
        <v>0</v>
      </c>
      <c r="AO62">
        <f t="shared" si="8"/>
        <v>36</v>
      </c>
    </row>
    <row r="63" spans="1:41" x14ac:dyDescent="0.25">
      <c r="A63">
        <v>7874511</v>
      </c>
      <c r="B63">
        <v>1</v>
      </c>
      <c r="C63" t="s">
        <v>672</v>
      </c>
      <c r="D63" t="s">
        <v>814</v>
      </c>
      <c r="E63" t="s">
        <v>823</v>
      </c>
      <c r="F63" t="s">
        <v>824</v>
      </c>
      <c r="G63">
        <v>39.82</v>
      </c>
      <c r="H63">
        <v>-75.400000000000006</v>
      </c>
      <c r="I63" s="225">
        <v>185000</v>
      </c>
      <c r="J63" s="225">
        <v>78700</v>
      </c>
      <c r="K63" s="225">
        <v>0</v>
      </c>
      <c r="L63" s="225">
        <v>21500</v>
      </c>
      <c r="M63">
        <v>185000</v>
      </c>
      <c r="N63">
        <f>VLOOKUP(D63,Utilization!$B$9:$E$44,4,FALSE)</f>
        <v>1</v>
      </c>
      <c r="O63">
        <f t="shared" si="6"/>
        <v>185000</v>
      </c>
      <c r="P63">
        <f t="shared" si="7"/>
        <v>5.4054054054054052E-6</v>
      </c>
      <c r="Q63" s="215">
        <v>7.4821621621621608</v>
      </c>
      <c r="R63" s="215">
        <v>424.68</v>
      </c>
      <c r="S63" s="215">
        <v>240.91</v>
      </c>
      <c r="T63" s="215">
        <v>141.87</v>
      </c>
      <c r="U63" s="215">
        <v>655.62</v>
      </c>
      <c r="V63" s="215">
        <v>227.96</v>
      </c>
      <c r="W63" s="215">
        <v>227.96</v>
      </c>
      <c r="X63" s="215">
        <v>6.4</v>
      </c>
      <c r="Y63" s="215">
        <v>3.09E-2</v>
      </c>
      <c r="Z63" s="215">
        <v>46.54</v>
      </c>
      <c r="AA63" s="215">
        <v>48.04</v>
      </c>
      <c r="AB63" s="215">
        <v>8.3000000000000007</v>
      </c>
      <c r="AC63" s="215">
        <v>0</v>
      </c>
      <c r="AD63" s="215">
        <v>0</v>
      </c>
      <c r="AE63" s="215">
        <v>0</v>
      </c>
      <c r="AF63" s="215">
        <v>0</v>
      </c>
      <c r="AG63" s="215">
        <v>292</v>
      </c>
      <c r="AH63" s="215">
        <v>0</v>
      </c>
      <c r="AI63" s="215">
        <v>56.6</v>
      </c>
      <c r="AJ63" s="215">
        <v>0</v>
      </c>
      <c r="AK63" s="266">
        <v>0</v>
      </c>
      <c r="AL63" s="311">
        <f>AK63*Conversions!$D$4*1000000</f>
        <v>0</v>
      </c>
      <c r="AM63" s="225">
        <v>0</v>
      </c>
      <c r="AN63" s="302">
        <f>AK63*Conversions!$D$5*1000000</f>
        <v>0</v>
      </c>
      <c r="AO63">
        <f t="shared" si="8"/>
        <v>131</v>
      </c>
    </row>
    <row r="64" spans="1:41" x14ac:dyDescent="0.25">
      <c r="A64">
        <v>6652211</v>
      </c>
      <c r="B64">
        <v>1</v>
      </c>
      <c r="C64" t="s">
        <v>672</v>
      </c>
      <c r="D64" t="s">
        <v>814</v>
      </c>
      <c r="E64" t="s">
        <v>819</v>
      </c>
      <c r="F64" t="s">
        <v>820</v>
      </c>
      <c r="G64">
        <v>39.909999999999997</v>
      </c>
      <c r="H64">
        <v>-75.19</v>
      </c>
      <c r="I64" s="225">
        <v>330000</v>
      </c>
      <c r="J64" s="225">
        <v>157400</v>
      </c>
      <c r="K64" s="225">
        <v>0</v>
      </c>
      <c r="L64" s="225">
        <v>0</v>
      </c>
      <c r="M64">
        <v>330000</v>
      </c>
      <c r="N64">
        <f>VLOOKUP(D64,Utilization!$B$9:$E$44,4,FALSE)</f>
        <v>1</v>
      </c>
      <c r="O64">
        <f t="shared" si="6"/>
        <v>330000</v>
      </c>
      <c r="P64">
        <f t="shared" si="7"/>
        <v>3.0303030303030305E-6</v>
      </c>
      <c r="Q64" s="215">
        <v>7.5</v>
      </c>
      <c r="R64" s="215">
        <v>1772.62</v>
      </c>
      <c r="S64" s="215">
        <v>749.36</v>
      </c>
      <c r="T64" s="215">
        <v>297.11</v>
      </c>
      <c r="U64" s="215">
        <v>1315.05</v>
      </c>
      <c r="V64" s="215">
        <v>722.02</v>
      </c>
      <c r="W64" s="215">
        <v>792.74</v>
      </c>
      <c r="X64" s="215">
        <v>4.24</v>
      </c>
      <c r="Y64" s="215">
        <v>2.4E-2</v>
      </c>
      <c r="Z64" s="215">
        <v>95.43</v>
      </c>
      <c r="AA64" s="215">
        <v>155.07</v>
      </c>
      <c r="AB64" s="215">
        <v>8</v>
      </c>
      <c r="AC64" s="215">
        <v>1</v>
      </c>
      <c r="AD64" s="215">
        <v>17.399999999999999</v>
      </c>
      <c r="AE64" s="215">
        <v>0</v>
      </c>
      <c r="AF64" s="215">
        <v>2297.4</v>
      </c>
      <c r="AG64" s="215">
        <v>4955.6000000000004</v>
      </c>
      <c r="AH64" s="215">
        <v>0</v>
      </c>
      <c r="AI64" s="215">
        <v>313.39999999999998</v>
      </c>
      <c r="AJ64" s="215">
        <v>0</v>
      </c>
      <c r="AK64" s="266">
        <v>0</v>
      </c>
      <c r="AL64" s="311">
        <f>AK64*Conversions!$D$4*1000000</f>
        <v>0</v>
      </c>
      <c r="AM64" s="225">
        <v>0</v>
      </c>
      <c r="AN64" s="302">
        <f>AK64*Conversions!$D$5*1000000</f>
        <v>0</v>
      </c>
      <c r="AO64">
        <f t="shared" si="8"/>
        <v>131</v>
      </c>
    </row>
    <row r="65" spans="1:41" x14ac:dyDescent="0.25">
      <c r="A65">
        <v>4957911</v>
      </c>
      <c r="B65">
        <v>5</v>
      </c>
      <c r="C65" t="s">
        <v>617</v>
      </c>
      <c r="D65" t="s">
        <v>880</v>
      </c>
      <c r="E65" t="s">
        <v>881</v>
      </c>
      <c r="F65" t="s">
        <v>882</v>
      </c>
      <c r="G65">
        <v>48.49</v>
      </c>
      <c r="H65">
        <v>-122.56</v>
      </c>
      <c r="I65" s="225">
        <v>120000</v>
      </c>
      <c r="J65" s="225">
        <v>47200</v>
      </c>
      <c r="K65" s="225">
        <v>0</v>
      </c>
      <c r="L65" s="225">
        <v>0</v>
      </c>
      <c r="M65">
        <v>120000</v>
      </c>
      <c r="N65">
        <f>VLOOKUP(D65,Utilization!$B$9:$E$44,4,FALSE)</f>
        <v>1</v>
      </c>
      <c r="O65">
        <f t="shared" si="6"/>
        <v>120000</v>
      </c>
      <c r="P65">
        <f t="shared" si="7"/>
        <v>8.3333333333333337E-6</v>
      </c>
      <c r="Q65" s="215">
        <v>7.5116666666666667</v>
      </c>
      <c r="R65" s="215">
        <v>598</v>
      </c>
      <c r="S65" s="215">
        <v>697</v>
      </c>
      <c r="T65" s="215">
        <v>315</v>
      </c>
      <c r="U65" s="215">
        <v>1882</v>
      </c>
      <c r="V65" s="215">
        <v>144</v>
      </c>
      <c r="W65" s="215">
        <v>154</v>
      </c>
      <c r="X65" s="215">
        <v>0</v>
      </c>
      <c r="Y65" s="215">
        <v>1.0500000000000001E-2</v>
      </c>
      <c r="Z65" s="215">
        <v>45.76</v>
      </c>
      <c r="AA65" s="215">
        <v>34.700000000000003</v>
      </c>
      <c r="AB65" s="215">
        <v>1.03</v>
      </c>
      <c r="AC65" s="215">
        <v>1.1599999999999999</v>
      </c>
      <c r="AD65" s="215">
        <v>12</v>
      </c>
      <c r="AE65" s="215">
        <v>922</v>
      </c>
      <c r="AF65" s="215">
        <v>2817</v>
      </c>
      <c r="AG65" s="215">
        <v>1911</v>
      </c>
      <c r="AH65" s="215">
        <v>151</v>
      </c>
      <c r="AI65" s="215">
        <v>51</v>
      </c>
      <c r="AJ65" s="215">
        <v>0</v>
      </c>
      <c r="AK65" s="266">
        <v>0</v>
      </c>
      <c r="AL65" s="311">
        <f>AK65*Conversions!$D$4*1000000</f>
        <v>0</v>
      </c>
      <c r="AM65" s="225">
        <v>0</v>
      </c>
      <c r="AN65" s="302">
        <f>AK65*Conversions!$D$5*1000000</f>
        <v>0</v>
      </c>
      <c r="AO65">
        <f t="shared" si="8"/>
        <v>131</v>
      </c>
    </row>
    <row r="66" spans="1:41" x14ac:dyDescent="0.25">
      <c r="A66">
        <v>7923611</v>
      </c>
      <c r="B66">
        <v>2</v>
      </c>
      <c r="C66" t="s">
        <v>683</v>
      </c>
      <c r="D66" t="s">
        <v>768</v>
      </c>
      <c r="E66" t="s">
        <v>769</v>
      </c>
      <c r="F66" t="s">
        <v>770</v>
      </c>
      <c r="G66">
        <v>46.85</v>
      </c>
      <c r="H66">
        <v>-100.88</v>
      </c>
      <c r="I66" s="225">
        <v>58000</v>
      </c>
      <c r="J66" s="225">
        <v>0</v>
      </c>
      <c r="K66" s="225">
        <v>0</v>
      </c>
      <c r="L66" s="225">
        <v>0</v>
      </c>
      <c r="M66">
        <v>58000</v>
      </c>
      <c r="N66">
        <f>VLOOKUP(D66,Utilization!$B$9:$E$44,4,FALSE)</f>
        <v>1</v>
      </c>
      <c r="O66">
        <f t="shared" si="6"/>
        <v>58000</v>
      </c>
      <c r="P66">
        <f t="shared" si="7"/>
        <v>1.7241379310344828E-5</v>
      </c>
      <c r="Q66" s="215">
        <v>7.6189655172413797</v>
      </c>
      <c r="R66" s="215">
        <v>574.70000000000005</v>
      </c>
      <c r="S66" s="215">
        <v>508.6</v>
      </c>
      <c r="T66" s="215">
        <v>379.5</v>
      </c>
      <c r="U66" s="215">
        <v>575.1</v>
      </c>
      <c r="V66" s="215">
        <v>211.35</v>
      </c>
      <c r="W66" s="215">
        <v>255.05</v>
      </c>
      <c r="X66" s="215">
        <v>34.6</v>
      </c>
      <c r="Y66" s="215">
        <v>2.5499999999999998E-2</v>
      </c>
      <c r="Z66" s="215">
        <v>40.21</v>
      </c>
      <c r="AA66" s="215">
        <v>60.43</v>
      </c>
      <c r="AB66" s="215">
        <v>4.5999999999999996</v>
      </c>
      <c r="AC66" s="215">
        <v>0</v>
      </c>
      <c r="AD66" s="215">
        <v>0</v>
      </c>
      <c r="AE66" s="215">
        <v>200</v>
      </c>
      <c r="AF66" s="215">
        <v>600</v>
      </c>
      <c r="AG66" s="215">
        <v>3000</v>
      </c>
      <c r="AH66" s="215">
        <v>0</v>
      </c>
      <c r="AI66" s="215">
        <v>103</v>
      </c>
      <c r="AJ66" s="215">
        <v>400</v>
      </c>
      <c r="AK66" s="266">
        <v>0</v>
      </c>
      <c r="AL66" s="311">
        <f>AK66*Conversions!$D$4*1000000</f>
        <v>0</v>
      </c>
      <c r="AM66" s="225">
        <v>0</v>
      </c>
      <c r="AN66" s="302">
        <f>AK66*Conversions!$D$5*1000000</f>
        <v>0</v>
      </c>
      <c r="AO66">
        <f t="shared" si="8"/>
        <v>36</v>
      </c>
    </row>
    <row r="67" spans="1:41" x14ac:dyDescent="0.25">
      <c r="A67">
        <v>4864411</v>
      </c>
      <c r="B67">
        <v>2</v>
      </c>
      <c r="C67" t="s">
        <v>683</v>
      </c>
      <c r="D67" t="s">
        <v>890</v>
      </c>
      <c r="E67" t="s">
        <v>891</v>
      </c>
      <c r="F67" t="s">
        <v>892</v>
      </c>
      <c r="G67">
        <v>46.69</v>
      </c>
      <c r="H67">
        <v>-92.07</v>
      </c>
      <c r="I67" s="225">
        <v>33250</v>
      </c>
      <c r="J67" s="225">
        <v>19500</v>
      </c>
      <c r="K67" s="225">
        <v>0</v>
      </c>
      <c r="L67" s="225">
        <v>0</v>
      </c>
      <c r="M67">
        <v>33250</v>
      </c>
      <c r="N67">
        <f>VLOOKUP(D67,Utilization!$B$9:$E$44,4,FALSE)</f>
        <v>1</v>
      </c>
      <c r="O67">
        <f t="shared" si="6"/>
        <v>33250</v>
      </c>
      <c r="P67">
        <f t="shared" si="7"/>
        <v>3.0075187969924811E-5</v>
      </c>
      <c r="Q67" s="215">
        <v>7.8049624060150373</v>
      </c>
      <c r="R67" s="215">
        <v>199.9</v>
      </c>
      <c r="S67" s="215">
        <v>319.97000000000003</v>
      </c>
      <c r="T67" s="215">
        <v>247.12</v>
      </c>
      <c r="U67" s="215">
        <v>377.73</v>
      </c>
      <c r="V67" s="215">
        <v>122.78</v>
      </c>
      <c r="W67" s="215">
        <v>155.12</v>
      </c>
      <c r="X67" s="215">
        <v>0.45</v>
      </c>
      <c r="Y67" s="215">
        <v>7.18E-4</v>
      </c>
      <c r="Z67" s="215">
        <v>5.5</v>
      </c>
      <c r="AA67" s="215">
        <v>6.37</v>
      </c>
      <c r="AB67" s="215">
        <v>1.9</v>
      </c>
      <c r="AC67" s="215">
        <v>0</v>
      </c>
      <c r="AD67" s="215">
        <v>0</v>
      </c>
      <c r="AE67" s="215">
        <v>0</v>
      </c>
      <c r="AF67" s="215">
        <v>0</v>
      </c>
      <c r="AG67" s="215">
        <v>3290.6</v>
      </c>
      <c r="AH67" s="215">
        <v>0</v>
      </c>
      <c r="AI67" s="215">
        <v>0</v>
      </c>
      <c r="AJ67" s="215">
        <v>0</v>
      </c>
      <c r="AK67" s="266">
        <v>0</v>
      </c>
      <c r="AL67" s="311">
        <f>AK67*Conversions!$D$4*1000000</f>
        <v>0</v>
      </c>
      <c r="AM67" s="225">
        <v>0</v>
      </c>
      <c r="AN67" s="302">
        <f>AK67*Conversions!$D$5*1000000</f>
        <v>0</v>
      </c>
      <c r="AO67">
        <f t="shared" si="8"/>
        <v>36</v>
      </c>
    </row>
    <row r="68" spans="1:41" x14ac:dyDescent="0.25">
      <c r="A68">
        <v>7206411</v>
      </c>
      <c r="B68">
        <v>3</v>
      </c>
      <c r="C68" t="s">
        <v>625</v>
      </c>
      <c r="D68" t="s">
        <v>709</v>
      </c>
      <c r="E68" t="s">
        <v>716</v>
      </c>
      <c r="F68" t="s">
        <v>717</v>
      </c>
      <c r="G68">
        <v>30.47</v>
      </c>
      <c r="H68">
        <v>-91.2</v>
      </c>
      <c r="I68" s="225">
        <v>56050</v>
      </c>
      <c r="J68" s="225">
        <v>25650</v>
      </c>
      <c r="K68" s="225">
        <v>0</v>
      </c>
      <c r="L68" s="225">
        <v>0</v>
      </c>
      <c r="M68">
        <v>56050</v>
      </c>
      <c r="N68">
        <f>VLOOKUP(D68,Utilization!$B$9:$E$44,4,FALSE)</f>
        <v>0.98291670808070764</v>
      </c>
      <c r="O68">
        <f t="shared" ref="O68:O99" si="9">M68*N68</f>
        <v>55092.481487923666</v>
      </c>
      <c r="P68">
        <f t="shared" ref="P68:P99" si="10">IFERROR(N68/M68,0)</f>
        <v>1.7536426549165166E-5</v>
      </c>
      <c r="Q68" s="215">
        <v>7.9848349687778768</v>
      </c>
      <c r="R68" s="215">
        <v>166.44</v>
      </c>
      <c r="S68" s="215">
        <v>195.16</v>
      </c>
      <c r="T68" s="215">
        <v>96.13</v>
      </c>
      <c r="U68" s="215">
        <v>299.82</v>
      </c>
      <c r="V68" s="215">
        <v>66.66</v>
      </c>
      <c r="W68" s="215">
        <v>66.66</v>
      </c>
      <c r="X68" s="215">
        <v>0</v>
      </c>
      <c r="Y68" s="215">
        <v>6.0000000000000002E-5</v>
      </c>
      <c r="Z68" s="215">
        <v>4.49</v>
      </c>
      <c r="AA68" s="215">
        <v>6.32</v>
      </c>
      <c r="AB68" s="215">
        <v>6.3E-2</v>
      </c>
      <c r="AC68" s="215">
        <v>6.8000000000000005E-2</v>
      </c>
      <c r="AD68" s="215">
        <v>4.9000000000000002E-2</v>
      </c>
      <c r="AE68" s="215">
        <v>30.86</v>
      </c>
      <c r="AF68" s="215">
        <v>1011.22</v>
      </c>
      <c r="AG68" s="215">
        <v>763.24</v>
      </c>
      <c r="AH68" s="215">
        <v>4.9400000000000004</v>
      </c>
      <c r="AI68" s="215">
        <v>768.35</v>
      </c>
      <c r="AJ68" s="215">
        <v>340.88</v>
      </c>
      <c r="AK68" s="266">
        <v>0</v>
      </c>
      <c r="AL68" s="311">
        <f>AK68*Conversions!$D$4*1000000</f>
        <v>0</v>
      </c>
      <c r="AM68" s="225">
        <v>0</v>
      </c>
      <c r="AN68" s="302">
        <f>AK68*Conversions!$D$5*1000000</f>
        <v>0</v>
      </c>
      <c r="AO68">
        <f t="shared" ref="AO68:AO99" si="11">IF(M68&lt;100000,36,131)</f>
        <v>36</v>
      </c>
    </row>
    <row r="69" spans="1:41" x14ac:dyDescent="0.25">
      <c r="A69">
        <v>7873611</v>
      </c>
      <c r="B69">
        <v>1</v>
      </c>
      <c r="C69" t="s">
        <v>672</v>
      </c>
      <c r="D69" t="s">
        <v>814</v>
      </c>
      <c r="E69" t="s">
        <v>821</v>
      </c>
      <c r="F69" t="s">
        <v>822</v>
      </c>
      <c r="G69">
        <v>39.81</v>
      </c>
      <c r="H69">
        <v>-75.42</v>
      </c>
      <c r="I69" s="225">
        <v>175000</v>
      </c>
      <c r="J69" s="225">
        <v>26400</v>
      </c>
      <c r="K69" s="225">
        <v>0</v>
      </c>
      <c r="L69" s="225">
        <v>0</v>
      </c>
      <c r="M69">
        <v>175000</v>
      </c>
      <c r="N69">
        <f>VLOOKUP(D69,Utilization!$B$9:$E$44,4,FALSE)</f>
        <v>1</v>
      </c>
      <c r="O69">
        <f t="shared" si="9"/>
        <v>175000</v>
      </c>
      <c r="P69">
        <f t="shared" si="10"/>
        <v>5.7142857142857145E-6</v>
      </c>
      <c r="Q69" s="215">
        <v>8.0560342857142846</v>
      </c>
      <c r="R69" s="215">
        <v>530.11</v>
      </c>
      <c r="S69" s="215">
        <v>331.48</v>
      </c>
      <c r="T69" s="215">
        <v>2043.68</v>
      </c>
      <c r="U69" s="215">
        <v>1490.44</v>
      </c>
      <c r="V69" s="215">
        <v>673.72</v>
      </c>
      <c r="W69" s="215">
        <v>673.72</v>
      </c>
      <c r="X69" s="215">
        <v>5.94</v>
      </c>
      <c r="Y69" s="215">
        <v>0.03</v>
      </c>
      <c r="Z69" s="215">
        <v>85.22</v>
      </c>
      <c r="AA69" s="215">
        <v>65.290000000000006</v>
      </c>
      <c r="AB69" s="215">
        <v>19</v>
      </c>
      <c r="AC69" s="215">
        <v>3.5200000000000002E-2</v>
      </c>
      <c r="AD69" s="215">
        <v>0.13</v>
      </c>
      <c r="AE69" s="215">
        <v>0.19</v>
      </c>
      <c r="AF69" s="215">
        <v>6.16</v>
      </c>
      <c r="AG69" s="215">
        <v>1020</v>
      </c>
      <c r="AH69" s="215">
        <v>6.0100000000000001E-2</v>
      </c>
      <c r="AI69" s="215">
        <v>14</v>
      </c>
      <c r="AJ69" s="215">
        <v>0</v>
      </c>
      <c r="AK69" s="266">
        <v>0</v>
      </c>
      <c r="AL69" s="311">
        <f>AK69*Conversions!$D$4*1000000</f>
        <v>0</v>
      </c>
      <c r="AM69" s="225">
        <v>0</v>
      </c>
      <c r="AN69" s="302">
        <f>AK69*Conversions!$D$5*1000000</f>
        <v>0</v>
      </c>
      <c r="AO69">
        <f t="shared" si="11"/>
        <v>131</v>
      </c>
    </row>
    <row r="70" spans="1:41" x14ac:dyDescent="0.25">
      <c r="A70">
        <v>3967111</v>
      </c>
      <c r="B70">
        <v>3</v>
      </c>
      <c r="C70" t="s">
        <v>625</v>
      </c>
      <c r="D70" t="s">
        <v>828</v>
      </c>
      <c r="E70" t="s">
        <v>831</v>
      </c>
      <c r="F70" t="s">
        <v>832</v>
      </c>
      <c r="G70">
        <v>29.37</v>
      </c>
      <c r="H70">
        <v>-94.9</v>
      </c>
      <c r="I70" s="225">
        <v>80000</v>
      </c>
      <c r="J70" s="225">
        <v>0</v>
      </c>
      <c r="K70" s="225">
        <v>0</v>
      </c>
      <c r="L70" s="225">
        <v>0</v>
      </c>
      <c r="M70">
        <v>76000</v>
      </c>
      <c r="N70">
        <f>VLOOKUP(D70,Utilization!$B$9:$E$44,4,FALSE)</f>
        <v>0.9875985727971196</v>
      </c>
      <c r="O70">
        <f t="shared" si="9"/>
        <v>75057.491532581087</v>
      </c>
      <c r="P70">
        <f t="shared" si="10"/>
        <v>1.2994718063119994E-5</v>
      </c>
      <c r="Q70" s="215">
        <v>8.0762499999999999</v>
      </c>
      <c r="R70" s="215">
        <v>352.07</v>
      </c>
      <c r="S70" s="215">
        <v>263.83999999999997</v>
      </c>
      <c r="T70" s="215">
        <v>35.15</v>
      </c>
      <c r="U70" s="215">
        <v>296.74</v>
      </c>
      <c r="V70" s="215">
        <v>104.54</v>
      </c>
      <c r="W70" s="215">
        <v>104.54</v>
      </c>
      <c r="X70" s="215">
        <v>0.71</v>
      </c>
      <c r="Y70" s="215">
        <v>1.1000000000000001E-3</v>
      </c>
      <c r="Z70" s="215">
        <v>4.63</v>
      </c>
      <c r="AA70" s="215">
        <v>8.1199999999999992</v>
      </c>
      <c r="AB70" s="215">
        <v>1.3</v>
      </c>
      <c r="AC70" s="215">
        <v>7.8700000000000006E-2</v>
      </c>
      <c r="AD70" s="215">
        <v>0.28000000000000003</v>
      </c>
      <c r="AE70" s="215">
        <v>0</v>
      </c>
      <c r="AF70" s="215">
        <v>1654.4</v>
      </c>
      <c r="AG70" s="215">
        <v>1097.8</v>
      </c>
      <c r="AH70" s="215">
        <v>0</v>
      </c>
      <c r="AI70" s="215">
        <v>40.4</v>
      </c>
      <c r="AJ70" s="215">
        <v>0</v>
      </c>
      <c r="AK70" s="266">
        <v>0</v>
      </c>
      <c r="AL70" s="311">
        <f>AK70*Conversions!$D$4*1000000</f>
        <v>0</v>
      </c>
      <c r="AM70" s="225">
        <v>0</v>
      </c>
      <c r="AN70" s="302">
        <f>AK70*Conversions!$D$5*1000000</f>
        <v>0</v>
      </c>
      <c r="AO70">
        <f t="shared" si="11"/>
        <v>36</v>
      </c>
    </row>
    <row r="71" spans="1:41" x14ac:dyDescent="0.25">
      <c r="A71">
        <v>7201311</v>
      </c>
      <c r="B71">
        <v>1</v>
      </c>
      <c r="C71" t="s">
        <v>672</v>
      </c>
      <c r="D71" t="s">
        <v>771</v>
      </c>
      <c r="E71" t="s">
        <v>772</v>
      </c>
      <c r="F71" t="s">
        <v>773</v>
      </c>
      <c r="G71">
        <v>39.840000000000003</v>
      </c>
      <c r="H71">
        <v>-75.25</v>
      </c>
      <c r="I71" s="225">
        <v>185000</v>
      </c>
      <c r="J71" s="225">
        <v>90000</v>
      </c>
      <c r="K71" s="225">
        <v>27000</v>
      </c>
      <c r="L71" s="225">
        <v>0</v>
      </c>
      <c r="M71">
        <v>185000</v>
      </c>
      <c r="N71">
        <f>VLOOKUP(D71,Utilization!$B$9:$E$44,4,FALSE)</f>
        <v>0.72627737226277367</v>
      </c>
      <c r="O71">
        <f t="shared" si="9"/>
        <v>134361.31386861313</v>
      </c>
      <c r="P71">
        <f t="shared" si="10"/>
        <v>3.9258236338528303E-6</v>
      </c>
      <c r="Q71" s="215">
        <v>8.3271486486486488</v>
      </c>
      <c r="R71" s="215">
        <v>100.55</v>
      </c>
      <c r="S71" s="215">
        <v>308.42</v>
      </c>
      <c r="T71" s="215">
        <v>76.98</v>
      </c>
      <c r="U71" s="215">
        <v>654.70000000000005</v>
      </c>
      <c r="V71" s="215">
        <v>238.01</v>
      </c>
      <c r="W71" s="215">
        <v>238.01</v>
      </c>
      <c r="X71" s="215">
        <v>5.37</v>
      </c>
      <c r="Y71" s="215">
        <v>4.2500000000000003E-2</v>
      </c>
      <c r="Z71" s="215">
        <v>9.4499999999999993</v>
      </c>
      <c r="AA71" s="215">
        <v>9.93</v>
      </c>
      <c r="AB71" s="215">
        <v>5.45</v>
      </c>
      <c r="AC71" s="215">
        <v>1.06E-2</v>
      </c>
      <c r="AD71" s="215">
        <v>8.81</v>
      </c>
      <c r="AE71" s="215">
        <v>0</v>
      </c>
      <c r="AF71" s="215">
        <v>8183.6</v>
      </c>
      <c r="AG71" s="215">
        <v>6069</v>
      </c>
      <c r="AH71" s="215">
        <v>360</v>
      </c>
      <c r="AI71" s="215">
        <v>66.400000000000006</v>
      </c>
      <c r="AJ71" s="215">
        <v>0</v>
      </c>
      <c r="AK71" s="266">
        <v>0</v>
      </c>
      <c r="AL71" s="311">
        <f>AK71*Conversions!$D$4*1000000</f>
        <v>0</v>
      </c>
      <c r="AM71" s="225">
        <v>0</v>
      </c>
      <c r="AN71" s="302">
        <f>AK71*Conversions!$D$5*1000000</f>
        <v>0</v>
      </c>
      <c r="AO71">
        <f t="shared" si="11"/>
        <v>131</v>
      </c>
    </row>
    <row r="72" spans="1:41" x14ac:dyDescent="0.25">
      <c r="A72">
        <v>7996711</v>
      </c>
      <c r="B72">
        <v>2</v>
      </c>
      <c r="C72" t="s">
        <v>683</v>
      </c>
      <c r="D72" t="s">
        <v>803</v>
      </c>
      <c r="E72" t="s">
        <v>806</v>
      </c>
      <c r="F72" t="s">
        <v>807</v>
      </c>
      <c r="G72">
        <v>34.630000000000003</v>
      </c>
      <c r="H72">
        <v>-97.16</v>
      </c>
      <c r="I72" s="225">
        <v>52500</v>
      </c>
      <c r="J72" s="225">
        <v>15500</v>
      </c>
      <c r="K72" s="225">
        <v>0</v>
      </c>
      <c r="L72" s="225">
        <v>5500</v>
      </c>
      <c r="M72">
        <v>52500</v>
      </c>
      <c r="N72">
        <f>VLOOKUP(D72,Utilization!$B$9:$E$44,4,FALSE)</f>
        <v>0.97695410024966389</v>
      </c>
      <c r="O72">
        <f t="shared" si="9"/>
        <v>51290.090263107355</v>
      </c>
      <c r="P72">
        <f t="shared" si="10"/>
        <v>1.8608649528565026E-5</v>
      </c>
      <c r="Q72" s="215">
        <v>8.3792190476190491</v>
      </c>
      <c r="R72" s="215">
        <v>357.73</v>
      </c>
      <c r="S72" s="215">
        <v>1120.8800000000001</v>
      </c>
      <c r="T72" s="215">
        <v>810.36</v>
      </c>
      <c r="U72" s="215">
        <v>442.63</v>
      </c>
      <c r="V72" s="215">
        <v>70.78</v>
      </c>
      <c r="W72" s="215">
        <v>70.78</v>
      </c>
      <c r="X72" s="215">
        <v>2.5000000000000001E-3</v>
      </c>
      <c r="Y72" s="215">
        <v>0</v>
      </c>
      <c r="Z72" s="215">
        <v>5.93</v>
      </c>
      <c r="AA72" s="215">
        <v>10.19</v>
      </c>
      <c r="AB72" s="215">
        <v>0</v>
      </c>
      <c r="AC72" s="215">
        <v>1.9800000000000002E-2</v>
      </c>
      <c r="AD72" s="215">
        <v>7.0800000000000002E-2</v>
      </c>
      <c r="AE72" s="215">
        <v>0</v>
      </c>
      <c r="AF72" s="215">
        <v>456</v>
      </c>
      <c r="AG72" s="215">
        <v>5908</v>
      </c>
      <c r="AH72" s="215">
        <v>0</v>
      </c>
      <c r="AI72" s="215">
        <v>182</v>
      </c>
      <c r="AJ72" s="215">
        <v>406</v>
      </c>
      <c r="AK72" s="266">
        <v>0</v>
      </c>
      <c r="AL72" s="311">
        <f>AK72*Conversions!$D$4*1000000</f>
        <v>0</v>
      </c>
      <c r="AM72" s="225">
        <v>0</v>
      </c>
      <c r="AN72" s="302">
        <f>AK72*Conversions!$D$5*1000000</f>
        <v>0</v>
      </c>
      <c r="AO72">
        <f t="shared" si="11"/>
        <v>36</v>
      </c>
    </row>
    <row r="73" spans="1:41" x14ac:dyDescent="0.25">
      <c r="A73">
        <v>7301411</v>
      </c>
      <c r="B73">
        <v>4</v>
      </c>
      <c r="C73" t="s">
        <v>668</v>
      </c>
      <c r="D73" t="s">
        <v>868</v>
      </c>
      <c r="E73" t="s">
        <v>871</v>
      </c>
      <c r="F73" t="s">
        <v>872</v>
      </c>
      <c r="G73">
        <v>40.880000000000003</v>
      </c>
      <c r="H73">
        <v>-111.9</v>
      </c>
      <c r="I73" s="225">
        <v>29450</v>
      </c>
      <c r="J73" s="225">
        <v>0</v>
      </c>
      <c r="K73" s="225">
        <v>0</v>
      </c>
      <c r="L73" s="225">
        <v>0</v>
      </c>
      <c r="M73">
        <v>29450</v>
      </c>
      <c r="N73">
        <f>VLOOKUP(D73,Utilization!$B$9:$E$44,4,FALSE)</f>
        <v>1</v>
      </c>
      <c r="O73">
        <f t="shared" si="9"/>
        <v>29450</v>
      </c>
      <c r="P73">
        <f t="shared" si="10"/>
        <v>3.3955857385398982E-5</v>
      </c>
      <c r="Q73" s="215">
        <v>8.3820033955857376</v>
      </c>
      <c r="R73" s="215">
        <v>416.09</v>
      </c>
      <c r="S73" s="215">
        <v>193.37</v>
      </c>
      <c r="T73" s="215">
        <v>131.03</v>
      </c>
      <c r="U73" s="215">
        <v>208.46</v>
      </c>
      <c r="V73" s="215">
        <v>51.79</v>
      </c>
      <c r="W73" s="215">
        <v>54.45</v>
      </c>
      <c r="X73" s="215">
        <v>17.760000000000002</v>
      </c>
      <c r="Y73" s="215">
        <v>9.1799999999999998E-4</v>
      </c>
      <c r="Z73" s="215">
        <v>16.670000000000002</v>
      </c>
      <c r="AA73" s="215">
        <v>12.75</v>
      </c>
      <c r="AB73" s="215">
        <v>1.9</v>
      </c>
      <c r="AC73" s="215">
        <v>0</v>
      </c>
      <c r="AD73" s="215">
        <v>0</v>
      </c>
      <c r="AE73" s="215">
        <v>0</v>
      </c>
      <c r="AF73" s="215">
        <v>0</v>
      </c>
      <c r="AG73" s="215">
        <v>0</v>
      </c>
      <c r="AH73" s="215">
        <v>0</v>
      </c>
      <c r="AI73" s="215">
        <v>0</v>
      </c>
      <c r="AJ73" s="215">
        <v>0</v>
      </c>
      <c r="AK73" s="266">
        <v>0</v>
      </c>
      <c r="AL73" s="311">
        <f>AK73*Conversions!$D$4*1000000</f>
        <v>0</v>
      </c>
      <c r="AM73" s="225">
        <v>0</v>
      </c>
      <c r="AN73" s="302">
        <f>AK73*Conversions!$D$5*1000000</f>
        <v>0</v>
      </c>
      <c r="AO73">
        <f t="shared" si="11"/>
        <v>36</v>
      </c>
    </row>
    <row r="74" spans="1:41" x14ac:dyDescent="0.25">
      <c r="A74">
        <v>7381811</v>
      </c>
      <c r="B74">
        <v>3</v>
      </c>
      <c r="C74" t="s">
        <v>625</v>
      </c>
      <c r="D74" t="s">
        <v>709</v>
      </c>
      <c r="E74" t="s">
        <v>722</v>
      </c>
      <c r="F74" t="s">
        <v>723</v>
      </c>
      <c r="G74">
        <v>32.47</v>
      </c>
      <c r="H74">
        <v>-93.79</v>
      </c>
      <c r="I74" s="225">
        <v>35000</v>
      </c>
      <c r="J74" s="225">
        <v>1500</v>
      </c>
      <c r="K74" s="225">
        <v>0</v>
      </c>
      <c r="L74" s="225">
        <v>8500</v>
      </c>
      <c r="M74">
        <v>35000</v>
      </c>
      <c r="N74">
        <f>VLOOKUP(D74,Utilization!$B$9:$E$44,4,FALSE)</f>
        <v>0.98291670808070764</v>
      </c>
      <c r="O74">
        <f t="shared" si="9"/>
        <v>34402.084782824764</v>
      </c>
      <c r="P74">
        <f t="shared" si="10"/>
        <v>2.8083334516591648E-5</v>
      </c>
      <c r="Q74" s="215">
        <v>8.4003485714285713</v>
      </c>
      <c r="R74" s="215">
        <v>444.19</v>
      </c>
      <c r="S74" s="215">
        <v>748.95</v>
      </c>
      <c r="T74" s="215">
        <v>114.68</v>
      </c>
      <c r="U74" s="215">
        <v>402.59</v>
      </c>
      <c r="V74" s="215">
        <v>128.19</v>
      </c>
      <c r="W74" s="215">
        <v>134.26</v>
      </c>
      <c r="X74" s="215">
        <v>7.0000000000000007E-2</v>
      </c>
      <c r="Y74" s="215">
        <v>0</v>
      </c>
      <c r="Z74" s="215">
        <v>20.51</v>
      </c>
      <c r="AA74" s="215">
        <v>30.24</v>
      </c>
      <c r="AB74" s="215">
        <v>1.9400000000000001E-5</v>
      </c>
      <c r="AC74" s="215">
        <v>0</v>
      </c>
      <c r="AD74" s="215">
        <v>0</v>
      </c>
      <c r="AE74" s="215">
        <v>0</v>
      </c>
      <c r="AF74" s="215">
        <v>0</v>
      </c>
      <c r="AG74" s="215">
        <v>7393.36</v>
      </c>
      <c r="AH74" s="215">
        <v>0</v>
      </c>
      <c r="AI74" s="215">
        <v>21.65</v>
      </c>
      <c r="AJ74" s="215">
        <v>0</v>
      </c>
      <c r="AK74" s="266">
        <v>0</v>
      </c>
      <c r="AL74" s="311">
        <f>AK74*Conversions!$D$4*1000000</f>
        <v>0</v>
      </c>
      <c r="AM74" s="225">
        <v>0</v>
      </c>
      <c r="AN74" s="302">
        <f>AK74*Conversions!$D$5*1000000</f>
        <v>0</v>
      </c>
      <c r="AO74">
        <f t="shared" si="11"/>
        <v>36</v>
      </c>
    </row>
    <row r="75" spans="1:41" x14ac:dyDescent="0.25">
      <c r="A75">
        <v>7441411</v>
      </c>
      <c r="B75">
        <v>3</v>
      </c>
      <c r="C75" t="s">
        <v>625</v>
      </c>
      <c r="D75" t="s">
        <v>626</v>
      </c>
      <c r="E75" t="s">
        <v>629</v>
      </c>
      <c r="F75" t="s">
        <v>630</v>
      </c>
      <c r="G75">
        <v>33.200000000000003</v>
      </c>
      <c r="H75">
        <v>-87.6</v>
      </c>
      <c r="I75" s="225">
        <v>72000</v>
      </c>
      <c r="J75" s="225">
        <v>15000</v>
      </c>
      <c r="K75" s="225">
        <v>32000</v>
      </c>
      <c r="L75" s="225">
        <v>15000</v>
      </c>
      <c r="M75">
        <v>35000</v>
      </c>
      <c r="N75">
        <f>VLOOKUP(D75,Utilization!$B$9:$E$44,4,FALSE)</f>
        <v>1</v>
      </c>
      <c r="O75">
        <f t="shared" si="9"/>
        <v>35000</v>
      </c>
      <c r="P75">
        <f t="shared" si="10"/>
        <v>2.8571428571428571E-5</v>
      </c>
      <c r="Q75" s="215">
        <v>8.4029999999999987</v>
      </c>
      <c r="R75" s="215">
        <v>177.85</v>
      </c>
      <c r="S75" s="215">
        <v>147.78</v>
      </c>
      <c r="T75" s="215">
        <v>431.45</v>
      </c>
      <c r="U75" s="215">
        <v>187.17</v>
      </c>
      <c r="V75" s="215">
        <v>39.43</v>
      </c>
      <c r="W75" s="215">
        <v>40.32</v>
      </c>
      <c r="X75" s="215">
        <v>2.9</v>
      </c>
      <c r="Y75" s="215">
        <v>3.68E-4</v>
      </c>
      <c r="Z75" s="215">
        <v>8.8699999999999992</v>
      </c>
      <c r="AA75" s="215">
        <v>9.14</v>
      </c>
      <c r="AB75" s="215">
        <v>25.52</v>
      </c>
      <c r="AC75" s="215">
        <v>8.2500000000000004E-2</v>
      </c>
      <c r="AD75" s="215">
        <v>0.28999999999999998</v>
      </c>
      <c r="AE75" s="215">
        <v>0</v>
      </c>
      <c r="AF75" s="215">
        <v>97.27</v>
      </c>
      <c r="AG75" s="215">
        <v>2000</v>
      </c>
      <c r="AH75" s="215">
        <v>0</v>
      </c>
      <c r="AI75" s="215">
        <v>0</v>
      </c>
      <c r="AJ75" s="215">
        <v>600</v>
      </c>
      <c r="AK75" s="215">
        <v>0</v>
      </c>
      <c r="AL75" s="311">
        <f>AK75*Conversions!$D$4*1000000</f>
        <v>0</v>
      </c>
      <c r="AM75" s="215">
        <v>0</v>
      </c>
      <c r="AN75" s="302">
        <f>AK75*Conversions!$D$5*1000000</f>
        <v>0</v>
      </c>
      <c r="AO75">
        <f t="shared" si="11"/>
        <v>36</v>
      </c>
    </row>
    <row r="76" spans="1:41" x14ac:dyDescent="0.25">
      <c r="A76">
        <v>4787811</v>
      </c>
      <c r="B76">
        <v>4</v>
      </c>
      <c r="C76" t="s">
        <v>668</v>
      </c>
      <c r="D76" t="s">
        <v>896</v>
      </c>
      <c r="E76" t="s">
        <v>897</v>
      </c>
      <c r="F76" t="s">
        <v>898</v>
      </c>
      <c r="G76">
        <v>41.12</v>
      </c>
      <c r="H76">
        <v>-104.78</v>
      </c>
      <c r="I76" s="225">
        <v>52000</v>
      </c>
      <c r="J76" s="225">
        <v>26000</v>
      </c>
      <c r="K76" s="225">
        <v>14000</v>
      </c>
      <c r="L76" s="225">
        <v>0</v>
      </c>
      <c r="M76">
        <v>52000</v>
      </c>
      <c r="N76">
        <f>VLOOKUP(D76,Utilization!$B$9:$E$44,4,FALSE)</f>
        <v>0.97832630945213728</v>
      </c>
      <c r="O76">
        <f t="shared" si="9"/>
        <v>50872.968091511138</v>
      </c>
      <c r="P76">
        <f t="shared" si="10"/>
        <v>1.8813967489464178E-5</v>
      </c>
      <c r="Q76" s="215">
        <v>8.4808750000000011</v>
      </c>
      <c r="R76" s="215">
        <v>188.61</v>
      </c>
      <c r="S76" s="215">
        <v>430.58</v>
      </c>
      <c r="T76" s="215">
        <v>249.29</v>
      </c>
      <c r="U76" s="215">
        <v>347.08</v>
      </c>
      <c r="V76" s="215">
        <v>128.59</v>
      </c>
      <c r="W76" s="215">
        <v>153.04</v>
      </c>
      <c r="X76" s="215">
        <v>0.79</v>
      </c>
      <c r="Y76" s="215">
        <v>2.1000000000000001E-2</v>
      </c>
      <c r="Z76" s="215">
        <v>4.09</v>
      </c>
      <c r="AA76" s="215">
        <v>3.78</v>
      </c>
      <c r="AB76" s="215">
        <v>4.9000000000000004</v>
      </c>
      <c r="AC76" s="215">
        <v>7.5499999999999998E-2</v>
      </c>
      <c r="AD76" s="215">
        <v>0.27</v>
      </c>
      <c r="AE76" s="215">
        <v>0</v>
      </c>
      <c r="AF76" s="215">
        <v>80</v>
      </c>
      <c r="AG76" s="215">
        <v>1736</v>
      </c>
      <c r="AH76" s="215">
        <v>0</v>
      </c>
      <c r="AI76" s="215">
        <v>8</v>
      </c>
      <c r="AJ76" s="215">
        <v>5</v>
      </c>
      <c r="AK76" s="266">
        <v>0</v>
      </c>
      <c r="AL76" s="311">
        <f>AK76*Conversions!$D$4*1000000</f>
        <v>0</v>
      </c>
      <c r="AM76" s="225">
        <v>0</v>
      </c>
      <c r="AN76" s="302">
        <f>AK76*Conversions!$D$5*1000000</f>
        <v>0</v>
      </c>
      <c r="AO76">
        <f t="shared" si="11"/>
        <v>36</v>
      </c>
    </row>
    <row r="77" spans="1:41" x14ac:dyDescent="0.25">
      <c r="A77">
        <v>993611</v>
      </c>
      <c r="B77">
        <v>3</v>
      </c>
      <c r="C77" t="s">
        <v>625</v>
      </c>
      <c r="D77" t="s">
        <v>631</v>
      </c>
      <c r="E77" t="s">
        <v>632</v>
      </c>
      <c r="F77" t="s">
        <v>633</v>
      </c>
      <c r="G77">
        <v>33.200000000000003</v>
      </c>
      <c r="H77">
        <v>-92.67</v>
      </c>
      <c r="I77" s="225">
        <v>70000</v>
      </c>
      <c r="J77" s="225">
        <v>27075</v>
      </c>
      <c r="K77" s="225">
        <v>0</v>
      </c>
      <c r="L77" s="225">
        <v>0</v>
      </c>
      <c r="M77">
        <v>70000</v>
      </c>
      <c r="N77">
        <f>VLOOKUP(D77,Utilization!$B$9:$E$44,4,FALSE)</f>
        <v>1</v>
      </c>
      <c r="O77">
        <f t="shared" si="9"/>
        <v>70000</v>
      </c>
      <c r="P77">
        <f t="shared" si="10"/>
        <v>1.4285714285714285E-5</v>
      </c>
      <c r="Q77" s="215">
        <v>8.4930714285714295</v>
      </c>
      <c r="R77" s="215">
        <v>180.95</v>
      </c>
      <c r="S77" s="215">
        <v>933.49</v>
      </c>
      <c r="T77" s="215">
        <v>42.37</v>
      </c>
      <c r="U77" s="215">
        <v>184.57</v>
      </c>
      <c r="V77" s="215">
        <v>63.93</v>
      </c>
      <c r="W77" s="215">
        <v>64.13</v>
      </c>
      <c r="X77" s="215">
        <v>14.57</v>
      </c>
      <c r="Y77" s="215">
        <v>1.8499999999999999E-2</v>
      </c>
      <c r="Z77" s="215">
        <v>9.18</v>
      </c>
      <c r="AA77" s="215">
        <v>19.170000000000002</v>
      </c>
      <c r="AB77" s="215">
        <v>0</v>
      </c>
      <c r="AC77" s="215">
        <v>0</v>
      </c>
      <c r="AD77" s="215">
        <v>0</v>
      </c>
      <c r="AE77" s="215">
        <v>0</v>
      </c>
      <c r="AF77" s="215">
        <v>1418</v>
      </c>
      <c r="AG77" s="215">
        <v>3268</v>
      </c>
      <c r="AH77" s="215">
        <v>0</v>
      </c>
      <c r="AI77" s="215">
        <v>1108</v>
      </c>
      <c r="AJ77" s="215">
        <v>478</v>
      </c>
      <c r="AK77" s="215">
        <v>0</v>
      </c>
      <c r="AL77" s="311">
        <f>AK77*Conversions!$D$4*1000000</f>
        <v>0</v>
      </c>
      <c r="AM77" s="215">
        <v>0</v>
      </c>
      <c r="AN77" s="302">
        <f>AK77*Conversions!$D$5*1000000</f>
        <v>0</v>
      </c>
      <c r="AO77">
        <f t="shared" si="11"/>
        <v>36</v>
      </c>
    </row>
    <row r="78" spans="1:41" x14ac:dyDescent="0.25">
      <c r="A78">
        <v>5651911</v>
      </c>
      <c r="B78">
        <v>3</v>
      </c>
      <c r="C78" t="s">
        <v>625</v>
      </c>
      <c r="D78" t="s">
        <v>828</v>
      </c>
      <c r="E78" t="s">
        <v>857</v>
      </c>
      <c r="F78" t="s">
        <v>858</v>
      </c>
      <c r="G78">
        <v>32.26</v>
      </c>
      <c r="H78">
        <v>-101.41</v>
      </c>
      <c r="I78" s="225">
        <v>70000</v>
      </c>
      <c r="J78" s="225">
        <v>24000</v>
      </c>
      <c r="K78" s="225">
        <v>0</v>
      </c>
      <c r="L78" s="225">
        <v>0</v>
      </c>
      <c r="M78">
        <v>70000</v>
      </c>
      <c r="N78">
        <f>VLOOKUP(D78,Utilization!$B$9:$E$44,4,FALSE)</f>
        <v>0.9875985727971196</v>
      </c>
      <c r="O78">
        <f t="shared" si="9"/>
        <v>69131.900095798366</v>
      </c>
      <c r="P78">
        <f t="shared" si="10"/>
        <v>1.4108551039958852E-5</v>
      </c>
      <c r="Q78" s="215">
        <v>8.4985714285714309</v>
      </c>
      <c r="R78" s="215">
        <v>305.14</v>
      </c>
      <c r="S78" s="215">
        <v>265.7</v>
      </c>
      <c r="T78" s="215">
        <v>1507.82</v>
      </c>
      <c r="U78" s="215">
        <v>478.17</v>
      </c>
      <c r="V78" s="215">
        <v>77.430000000000007</v>
      </c>
      <c r="W78" s="215">
        <v>165.55</v>
      </c>
      <c r="X78" s="215">
        <v>9.16</v>
      </c>
      <c r="Y78" s="215">
        <v>1.2999999999999999E-3</v>
      </c>
      <c r="Z78" s="215">
        <v>8.01</v>
      </c>
      <c r="AA78" s="215">
        <v>10.029999999999999</v>
      </c>
      <c r="AB78" s="215">
        <v>1.21</v>
      </c>
      <c r="AC78" s="215">
        <v>0</v>
      </c>
      <c r="AD78" s="215">
        <v>0</v>
      </c>
      <c r="AE78" s="215">
        <v>0</v>
      </c>
      <c r="AF78" s="215">
        <v>4852</v>
      </c>
      <c r="AG78" s="215">
        <v>6901.4</v>
      </c>
      <c r="AH78" s="215">
        <v>0</v>
      </c>
      <c r="AI78" s="215">
        <v>0</v>
      </c>
      <c r="AJ78" s="215">
        <v>0</v>
      </c>
      <c r="AK78" s="266">
        <v>0</v>
      </c>
      <c r="AL78" s="311">
        <f>AK78*Conversions!$D$4*1000000</f>
        <v>0</v>
      </c>
      <c r="AM78" s="225">
        <v>0</v>
      </c>
      <c r="AN78" s="302">
        <f>AK78*Conversions!$D$5*1000000</f>
        <v>0</v>
      </c>
      <c r="AO78">
        <f t="shared" si="11"/>
        <v>36</v>
      </c>
    </row>
    <row r="79" spans="1:41" x14ac:dyDescent="0.25">
      <c r="A79">
        <v>13573011</v>
      </c>
      <c r="B79">
        <v>2</v>
      </c>
      <c r="C79" t="s">
        <v>683</v>
      </c>
      <c r="D79" t="s">
        <v>795</v>
      </c>
      <c r="E79" t="s">
        <v>796</v>
      </c>
      <c r="F79" t="s">
        <v>797</v>
      </c>
      <c r="G79">
        <v>40.770000000000003</v>
      </c>
      <c r="H79">
        <v>-81.41</v>
      </c>
      <c r="I79" s="225">
        <v>78000</v>
      </c>
      <c r="J79" s="225">
        <v>33200</v>
      </c>
      <c r="K79" s="225">
        <v>0</v>
      </c>
      <c r="L79" s="225">
        <v>0</v>
      </c>
      <c r="M79">
        <v>78000</v>
      </c>
      <c r="N79">
        <f>VLOOKUP(D79,Utilization!$B$9:$E$44,4,FALSE)</f>
        <v>1</v>
      </c>
      <c r="O79">
        <f t="shared" si="9"/>
        <v>78000</v>
      </c>
      <c r="P79">
        <f t="shared" si="10"/>
        <v>1.282051282051282E-5</v>
      </c>
      <c r="Q79" s="215">
        <v>8.5403846153846175</v>
      </c>
      <c r="R79" s="215">
        <v>175.91</v>
      </c>
      <c r="S79" s="215">
        <v>223.83</v>
      </c>
      <c r="T79" s="215">
        <v>93.4</v>
      </c>
      <c r="U79" s="215">
        <v>284.52999999999997</v>
      </c>
      <c r="V79" s="215">
        <v>188.39</v>
      </c>
      <c r="W79" s="215">
        <v>191.71</v>
      </c>
      <c r="X79" s="215">
        <v>7.76</v>
      </c>
      <c r="Y79" s="215">
        <v>1.1999999999999999E-3</v>
      </c>
      <c r="Z79" s="215">
        <v>3.93</v>
      </c>
      <c r="AA79" s="215">
        <v>7.37</v>
      </c>
      <c r="AB79" s="215">
        <v>1.57</v>
      </c>
      <c r="AC79" s="215">
        <v>1.29</v>
      </c>
      <c r="AD79" s="215">
        <v>0.91</v>
      </c>
      <c r="AE79" s="215">
        <v>157.07</v>
      </c>
      <c r="AF79" s="215">
        <v>399.9</v>
      </c>
      <c r="AG79" s="215">
        <v>1.72E-2</v>
      </c>
      <c r="AH79" s="215">
        <v>129.62</v>
      </c>
      <c r="AI79" s="215">
        <v>1.5299999999999999E-2</v>
      </c>
      <c r="AJ79" s="215">
        <v>0</v>
      </c>
      <c r="AK79" s="266">
        <v>0</v>
      </c>
      <c r="AL79" s="311">
        <f>AK79*Conversions!$D$4*1000000</f>
        <v>0</v>
      </c>
      <c r="AM79" s="225">
        <v>0</v>
      </c>
      <c r="AN79" s="302">
        <f>AK79*Conversions!$D$5*1000000</f>
        <v>0</v>
      </c>
      <c r="AO79">
        <f t="shared" si="11"/>
        <v>36</v>
      </c>
    </row>
    <row r="80" spans="1:41" x14ac:dyDescent="0.25">
      <c r="A80">
        <v>4030511</v>
      </c>
      <c r="B80">
        <v>3</v>
      </c>
      <c r="C80" t="s">
        <v>625</v>
      </c>
      <c r="D80" t="s">
        <v>828</v>
      </c>
      <c r="E80" t="s">
        <v>833</v>
      </c>
      <c r="F80" t="s">
        <v>834</v>
      </c>
      <c r="G80">
        <v>35.950000000000003</v>
      </c>
      <c r="H80">
        <v>-101.87</v>
      </c>
      <c r="I80" s="225">
        <v>170000</v>
      </c>
      <c r="J80" s="225">
        <v>53200</v>
      </c>
      <c r="K80" s="225">
        <v>0</v>
      </c>
      <c r="L80" s="225">
        <v>29500</v>
      </c>
      <c r="M80">
        <v>170000</v>
      </c>
      <c r="N80">
        <f>VLOOKUP(D80,Utilization!$B$9:$E$44,4,FALSE)</f>
        <v>0.9875985727971196</v>
      </c>
      <c r="O80">
        <f t="shared" si="9"/>
        <v>167891.75737551032</v>
      </c>
      <c r="P80">
        <f t="shared" si="10"/>
        <v>5.8094033693948212E-6</v>
      </c>
      <c r="Q80" s="215">
        <v>8.596552941176471</v>
      </c>
      <c r="R80" s="215">
        <v>549.5</v>
      </c>
      <c r="S80" s="215">
        <v>933.63</v>
      </c>
      <c r="T80" s="215">
        <v>207.88</v>
      </c>
      <c r="U80" s="215">
        <v>861.08</v>
      </c>
      <c r="V80" s="215">
        <v>311.86</v>
      </c>
      <c r="W80" s="215">
        <v>359.78</v>
      </c>
      <c r="X80" s="215">
        <v>68.63</v>
      </c>
      <c r="Y80" s="215">
        <v>3.15E-2</v>
      </c>
      <c r="Z80" s="215">
        <v>16.350000000000001</v>
      </c>
      <c r="AA80" s="215">
        <v>21.98</v>
      </c>
      <c r="AB80" s="215">
        <v>5.6</v>
      </c>
      <c r="AC80" s="215">
        <v>6.13</v>
      </c>
      <c r="AD80" s="215">
        <v>18.2</v>
      </c>
      <c r="AE80" s="215">
        <v>228.2</v>
      </c>
      <c r="AF80" s="215">
        <v>1595.2</v>
      </c>
      <c r="AG80" s="215">
        <v>1169.4000000000001</v>
      </c>
      <c r="AH80" s="215">
        <v>18.399999999999999</v>
      </c>
      <c r="AI80" s="215">
        <v>11400.6</v>
      </c>
      <c r="AJ80" s="215">
        <v>0</v>
      </c>
      <c r="AK80" s="266">
        <v>0</v>
      </c>
      <c r="AL80" s="311">
        <f>AK80*Conversions!$D$4*1000000</f>
        <v>0</v>
      </c>
      <c r="AM80" s="225">
        <v>0</v>
      </c>
      <c r="AN80" s="302">
        <f>AK80*Conversions!$D$5*1000000</f>
        <v>0</v>
      </c>
      <c r="AO80">
        <f t="shared" si="11"/>
        <v>131</v>
      </c>
    </row>
    <row r="81" spans="1:41" x14ac:dyDescent="0.25">
      <c r="A81">
        <v>8166011</v>
      </c>
      <c r="B81">
        <v>2</v>
      </c>
      <c r="C81" t="s">
        <v>683</v>
      </c>
      <c r="D81" t="s">
        <v>693</v>
      </c>
      <c r="E81" t="s">
        <v>696</v>
      </c>
      <c r="F81" t="s">
        <v>697</v>
      </c>
      <c r="G81">
        <v>37.92</v>
      </c>
      <c r="H81">
        <v>-87.91</v>
      </c>
      <c r="I81" s="225">
        <v>26500</v>
      </c>
      <c r="J81" s="225">
        <v>11000</v>
      </c>
      <c r="K81" s="225">
        <v>0</v>
      </c>
      <c r="L81" s="225">
        <v>0</v>
      </c>
      <c r="M81">
        <v>26500</v>
      </c>
      <c r="N81">
        <f>VLOOKUP(D81,Utilization!$B$9:$E$44,4,FALSE)</f>
        <v>1</v>
      </c>
      <c r="O81">
        <f t="shared" si="9"/>
        <v>26500</v>
      </c>
      <c r="P81">
        <f t="shared" si="10"/>
        <v>3.7735849056603776E-5</v>
      </c>
      <c r="Q81" s="215">
        <v>8.6056603773584897</v>
      </c>
      <c r="R81" s="215">
        <v>155.34</v>
      </c>
      <c r="S81" s="215">
        <v>138.35</v>
      </c>
      <c r="T81" s="215">
        <v>450.49</v>
      </c>
      <c r="U81" s="215">
        <v>137.54</v>
      </c>
      <c r="V81" s="215">
        <v>42.28</v>
      </c>
      <c r="W81" s="215">
        <v>42.3</v>
      </c>
      <c r="X81" s="215">
        <v>1.41E-2</v>
      </c>
      <c r="Y81" s="215">
        <v>1.7099999999999999E-6</v>
      </c>
      <c r="Z81" s="215">
        <v>2.44</v>
      </c>
      <c r="AA81" s="215">
        <v>3.42</v>
      </c>
      <c r="AB81" s="215">
        <v>0</v>
      </c>
      <c r="AC81" s="215">
        <v>5.8100000000000003E-4</v>
      </c>
      <c r="AD81" s="215">
        <v>2.0699999999999998E-3</v>
      </c>
      <c r="AE81" s="215">
        <v>0</v>
      </c>
      <c r="AF81" s="215">
        <v>11.9</v>
      </c>
      <c r="AG81" s="215">
        <v>129.04</v>
      </c>
      <c r="AH81" s="215">
        <v>0</v>
      </c>
      <c r="AI81" s="215">
        <v>9</v>
      </c>
      <c r="AJ81" s="215">
        <v>22</v>
      </c>
      <c r="AK81" s="266">
        <v>0</v>
      </c>
      <c r="AL81" s="311">
        <f>AK81*Conversions!$D$4*1000000</f>
        <v>0</v>
      </c>
      <c r="AM81" s="225">
        <v>0</v>
      </c>
      <c r="AN81" s="302">
        <f>AK81*Conversions!$D$5*1000000</f>
        <v>0</v>
      </c>
      <c r="AO81">
        <f t="shared" si="11"/>
        <v>36</v>
      </c>
    </row>
    <row r="82" spans="1:41" x14ac:dyDescent="0.25">
      <c r="A82">
        <v>7247711</v>
      </c>
      <c r="B82">
        <v>2</v>
      </c>
      <c r="C82" t="s">
        <v>683</v>
      </c>
      <c r="D82" t="s">
        <v>693</v>
      </c>
      <c r="E82" t="s">
        <v>694</v>
      </c>
      <c r="F82" t="s">
        <v>695</v>
      </c>
      <c r="G82">
        <v>41.66</v>
      </c>
      <c r="H82">
        <v>-87.47</v>
      </c>
      <c r="I82" s="225">
        <v>3923500</v>
      </c>
      <c r="J82" s="225">
        <v>183825</v>
      </c>
      <c r="K82" s="225">
        <v>31050</v>
      </c>
      <c r="L82" s="225">
        <v>0</v>
      </c>
      <c r="M82">
        <v>384750</v>
      </c>
      <c r="N82">
        <f>VLOOKUP(D82,Utilization!$B$9:$E$44,4,FALSE)</f>
        <v>1</v>
      </c>
      <c r="O82">
        <f t="shared" si="9"/>
        <v>384750</v>
      </c>
      <c r="P82">
        <f t="shared" si="10"/>
        <v>2.5990903183885641E-6</v>
      </c>
      <c r="Q82" s="215">
        <v>8.624350707276669</v>
      </c>
      <c r="R82" s="215">
        <v>1291.0999999999999</v>
      </c>
      <c r="S82" s="215">
        <v>2117.5700000000002</v>
      </c>
      <c r="T82" s="215">
        <v>697.31</v>
      </c>
      <c r="U82" s="215">
        <v>2547.75</v>
      </c>
      <c r="V82" s="215">
        <v>426.93</v>
      </c>
      <c r="W82" s="215">
        <v>426.93</v>
      </c>
      <c r="X82" s="215">
        <v>16.57</v>
      </c>
      <c r="Y82" s="215">
        <v>4.2700000000000002E-2</v>
      </c>
      <c r="Z82" s="215">
        <v>38.869999999999997</v>
      </c>
      <c r="AA82" s="215">
        <v>51.58</v>
      </c>
      <c r="AB82" s="215">
        <v>2.4300000000000002</v>
      </c>
      <c r="AC82" s="215">
        <v>6.9000000000000006E-2</v>
      </c>
      <c r="AD82" s="215">
        <v>5.9999999999999995E-4</v>
      </c>
      <c r="AE82" s="215">
        <v>37.479999999999997</v>
      </c>
      <c r="AF82" s="215">
        <v>360.83</v>
      </c>
      <c r="AG82" s="215">
        <v>2594.6</v>
      </c>
      <c r="AH82" s="215">
        <v>0</v>
      </c>
      <c r="AI82" s="215">
        <v>3379.15</v>
      </c>
      <c r="AJ82" s="215">
        <v>35</v>
      </c>
      <c r="AK82" s="266">
        <v>0</v>
      </c>
      <c r="AL82" s="311">
        <f>AK82*Conversions!$D$4*1000000</f>
        <v>0</v>
      </c>
      <c r="AM82" s="225">
        <v>0</v>
      </c>
      <c r="AN82" s="302">
        <f>AK82*Conversions!$D$5*1000000</f>
        <v>0</v>
      </c>
      <c r="AO82">
        <f t="shared" si="11"/>
        <v>131</v>
      </c>
    </row>
    <row r="83" spans="1:41" x14ac:dyDescent="0.25">
      <c r="A83">
        <v>8178511</v>
      </c>
      <c r="B83">
        <v>4</v>
      </c>
      <c r="C83" t="s">
        <v>668</v>
      </c>
      <c r="D83" t="s">
        <v>868</v>
      </c>
      <c r="E83" t="s">
        <v>875</v>
      </c>
      <c r="F83" t="s">
        <v>874</v>
      </c>
      <c r="G83">
        <v>40.82</v>
      </c>
      <c r="H83">
        <v>-111.92</v>
      </c>
      <c r="I83" s="225">
        <v>45000</v>
      </c>
      <c r="J83" s="225">
        <v>25600</v>
      </c>
      <c r="K83" s="225">
        <v>7200</v>
      </c>
      <c r="L83" s="225">
        <v>0</v>
      </c>
      <c r="M83">
        <v>45000</v>
      </c>
      <c r="N83">
        <f>VLOOKUP(D83,Utilization!$B$9:$E$44,4,FALSE)</f>
        <v>1</v>
      </c>
      <c r="O83">
        <f t="shared" si="9"/>
        <v>45000</v>
      </c>
      <c r="P83">
        <f t="shared" si="10"/>
        <v>2.2222222222222223E-5</v>
      </c>
      <c r="Q83" s="215">
        <v>8.6755555555555546</v>
      </c>
      <c r="R83" s="215">
        <v>1427.46</v>
      </c>
      <c r="S83" s="215">
        <v>442.36</v>
      </c>
      <c r="T83" s="215">
        <v>24.31</v>
      </c>
      <c r="U83" s="215">
        <v>319.57</v>
      </c>
      <c r="V83" s="215">
        <v>38.32</v>
      </c>
      <c r="W83" s="215">
        <v>47.29</v>
      </c>
      <c r="X83" s="215">
        <v>7.54</v>
      </c>
      <c r="Y83" s="215">
        <v>1.1800000000000001E-3</v>
      </c>
      <c r="Z83" s="215">
        <v>11.27</v>
      </c>
      <c r="AA83" s="215">
        <v>9.82</v>
      </c>
      <c r="AB83" s="215">
        <v>4.3</v>
      </c>
      <c r="AC83" s="215">
        <v>0</v>
      </c>
      <c r="AD83" s="215">
        <v>0</v>
      </c>
      <c r="AE83" s="215">
        <v>0</v>
      </c>
      <c r="AF83" s="215">
        <v>0</v>
      </c>
      <c r="AG83" s="215">
        <v>1750</v>
      </c>
      <c r="AH83" s="215">
        <v>0</v>
      </c>
      <c r="AI83" s="215">
        <v>0</v>
      </c>
      <c r="AJ83" s="215">
        <v>10</v>
      </c>
      <c r="AK83" s="266">
        <v>0</v>
      </c>
      <c r="AL83" s="311">
        <f>AK83*Conversions!$D$4*1000000</f>
        <v>0</v>
      </c>
      <c r="AM83" s="225">
        <v>0</v>
      </c>
      <c r="AN83" s="302">
        <f>AK83*Conversions!$D$5*1000000</f>
        <v>0</v>
      </c>
      <c r="AO83">
        <f t="shared" si="11"/>
        <v>36</v>
      </c>
    </row>
    <row r="84" spans="1:41" x14ac:dyDescent="0.25">
      <c r="A84">
        <v>4033811</v>
      </c>
      <c r="B84">
        <v>3</v>
      </c>
      <c r="C84" t="s">
        <v>625</v>
      </c>
      <c r="D84" t="s">
        <v>828</v>
      </c>
      <c r="E84" t="s">
        <v>831</v>
      </c>
      <c r="F84" t="s">
        <v>832</v>
      </c>
      <c r="G84">
        <v>29.36</v>
      </c>
      <c r="H84">
        <v>-94.91</v>
      </c>
      <c r="I84" s="225">
        <v>245000</v>
      </c>
      <c r="J84" s="225">
        <v>130000</v>
      </c>
      <c r="K84" s="225">
        <v>50000</v>
      </c>
      <c r="L84" s="225">
        <v>0</v>
      </c>
      <c r="M84">
        <v>245000</v>
      </c>
      <c r="N84">
        <f>VLOOKUP(D84,Utilization!$B$9:$E$44,4,FALSE)</f>
        <v>0.9875985727971196</v>
      </c>
      <c r="O84">
        <f t="shared" si="9"/>
        <v>241961.65033529431</v>
      </c>
      <c r="P84">
        <f t="shared" si="10"/>
        <v>4.0310145828453861E-6</v>
      </c>
      <c r="Q84" s="215">
        <v>8.6777959183673463</v>
      </c>
      <c r="R84" s="215">
        <v>270.04000000000002</v>
      </c>
      <c r="S84" s="215">
        <v>612.79999999999995</v>
      </c>
      <c r="T84" s="215">
        <v>216.15</v>
      </c>
      <c r="U84" s="215">
        <v>367.9</v>
      </c>
      <c r="V84" s="215">
        <v>185.44</v>
      </c>
      <c r="W84" s="215">
        <v>213.72</v>
      </c>
      <c r="X84" s="215">
        <v>27.66</v>
      </c>
      <c r="Y84" s="215">
        <v>4.7800000000000002E-2</v>
      </c>
      <c r="Z84" s="215">
        <v>18.760000000000002</v>
      </c>
      <c r="AA84" s="215">
        <v>24.3</v>
      </c>
      <c r="AB84" s="215">
        <v>8</v>
      </c>
      <c r="AC84" s="215">
        <v>6.66</v>
      </c>
      <c r="AD84" s="215">
        <v>21.2</v>
      </c>
      <c r="AE84" s="215">
        <v>364.2</v>
      </c>
      <c r="AF84" s="215">
        <v>1833.6</v>
      </c>
      <c r="AG84" s="215">
        <v>3243.8</v>
      </c>
      <c r="AH84" s="215">
        <v>29.2</v>
      </c>
      <c r="AI84" s="215">
        <v>962</v>
      </c>
      <c r="AJ84" s="215">
        <v>6.2</v>
      </c>
      <c r="AK84" s="266">
        <v>0</v>
      </c>
      <c r="AL84" s="311">
        <f>AK84*Conversions!$D$4*1000000</f>
        <v>0</v>
      </c>
      <c r="AM84" s="225">
        <v>0</v>
      </c>
      <c r="AN84" s="302">
        <f>AK84*Conversions!$D$5*1000000</f>
        <v>0</v>
      </c>
      <c r="AO84">
        <f t="shared" si="11"/>
        <v>131</v>
      </c>
    </row>
    <row r="85" spans="1:41" x14ac:dyDescent="0.25">
      <c r="A85">
        <v>5763911</v>
      </c>
      <c r="B85">
        <v>3</v>
      </c>
      <c r="C85" t="s">
        <v>625</v>
      </c>
      <c r="D85" t="s">
        <v>828</v>
      </c>
      <c r="E85" t="s">
        <v>860</v>
      </c>
      <c r="F85" t="s">
        <v>861</v>
      </c>
      <c r="G85">
        <v>32.36</v>
      </c>
      <c r="H85">
        <v>-95.28</v>
      </c>
      <c r="I85" s="225">
        <v>60000</v>
      </c>
      <c r="J85" s="225">
        <v>15000</v>
      </c>
      <c r="K85" s="225">
        <v>6500</v>
      </c>
      <c r="L85" s="225">
        <v>0</v>
      </c>
      <c r="M85">
        <v>60000</v>
      </c>
      <c r="N85">
        <f>VLOOKUP(D85,Utilization!$B$9:$E$44,4,FALSE)</f>
        <v>0.9875985727971196</v>
      </c>
      <c r="O85">
        <f t="shared" si="9"/>
        <v>59255.914367827179</v>
      </c>
      <c r="P85">
        <f t="shared" si="10"/>
        <v>1.6459976213285328E-5</v>
      </c>
      <c r="Q85" s="215">
        <v>8.7366666666666681</v>
      </c>
      <c r="R85" s="215">
        <v>199.72</v>
      </c>
      <c r="S85" s="215">
        <v>354.29</v>
      </c>
      <c r="T85" s="215">
        <v>386.69</v>
      </c>
      <c r="U85" s="215">
        <v>428.3</v>
      </c>
      <c r="V85" s="215">
        <v>33.58</v>
      </c>
      <c r="W85" s="215">
        <v>46</v>
      </c>
      <c r="X85" s="215">
        <v>0.11</v>
      </c>
      <c r="Y85" s="215">
        <v>1.6999999999999999E-3</v>
      </c>
      <c r="Z85" s="215">
        <v>9.9600000000000009</v>
      </c>
      <c r="AA85" s="215">
        <v>8.35</v>
      </c>
      <c r="AB85" s="215">
        <v>0</v>
      </c>
      <c r="AC85" s="215">
        <v>0</v>
      </c>
      <c r="AD85" s="215">
        <v>0</v>
      </c>
      <c r="AE85" s="215">
        <v>0</v>
      </c>
      <c r="AF85" s="215">
        <v>0</v>
      </c>
      <c r="AG85" s="215">
        <v>2618</v>
      </c>
      <c r="AH85" s="215">
        <v>0</v>
      </c>
      <c r="AI85" s="215">
        <v>0</v>
      </c>
      <c r="AJ85" s="215">
        <v>0</v>
      </c>
      <c r="AK85" s="266">
        <v>0</v>
      </c>
      <c r="AL85" s="311">
        <f>AK85*Conversions!$D$4*1000000</f>
        <v>0</v>
      </c>
      <c r="AM85" s="225">
        <v>0</v>
      </c>
      <c r="AN85" s="302">
        <f>AK85*Conversions!$D$5*1000000</f>
        <v>0</v>
      </c>
      <c r="AO85">
        <f t="shared" si="11"/>
        <v>36</v>
      </c>
    </row>
    <row r="86" spans="1:41" x14ac:dyDescent="0.25">
      <c r="A86">
        <v>4966711</v>
      </c>
      <c r="B86">
        <v>1</v>
      </c>
      <c r="C86" t="s">
        <v>672</v>
      </c>
      <c r="D86" t="s">
        <v>814</v>
      </c>
      <c r="E86" t="s">
        <v>815</v>
      </c>
      <c r="F86" t="s">
        <v>816</v>
      </c>
      <c r="G86">
        <v>41.82</v>
      </c>
      <c r="H86">
        <v>-79.12</v>
      </c>
      <c r="I86" s="225">
        <v>66700</v>
      </c>
      <c r="J86" s="225">
        <v>27000</v>
      </c>
      <c r="K86" s="225">
        <v>0</v>
      </c>
      <c r="L86" s="225">
        <v>0</v>
      </c>
      <c r="M86">
        <v>66700</v>
      </c>
      <c r="N86">
        <f>VLOOKUP(D86,Utilization!$B$9:$E$44,4,FALSE)</f>
        <v>1</v>
      </c>
      <c r="O86">
        <f t="shared" si="9"/>
        <v>66700</v>
      </c>
      <c r="P86">
        <f t="shared" si="10"/>
        <v>1.4992503748125937E-5</v>
      </c>
      <c r="Q86" s="215">
        <v>8.7511244377811082</v>
      </c>
      <c r="R86" s="215">
        <v>252.7</v>
      </c>
      <c r="S86" s="215">
        <v>387.2</v>
      </c>
      <c r="T86" s="215">
        <v>992.04</v>
      </c>
      <c r="U86" s="215">
        <v>370.46</v>
      </c>
      <c r="V86" s="215">
        <v>116.66</v>
      </c>
      <c r="W86" s="215">
        <v>116.66</v>
      </c>
      <c r="X86" s="215">
        <v>9.26</v>
      </c>
      <c r="Y86" s="215">
        <v>5.0799999999999999E-4</v>
      </c>
      <c r="Z86" s="215">
        <v>15.24</v>
      </c>
      <c r="AA86" s="215">
        <v>12.69</v>
      </c>
      <c r="AB86" s="215">
        <v>0.37</v>
      </c>
      <c r="AC86" s="215">
        <v>6.0999999999999999E-2</v>
      </c>
      <c r="AD86" s="215">
        <v>0.45</v>
      </c>
      <c r="AE86" s="215">
        <v>0</v>
      </c>
      <c r="AF86" s="215">
        <v>32.200000000000003</v>
      </c>
      <c r="AG86" s="215">
        <v>600</v>
      </c>
      <c r="AH86" s="215">
        <v>0</v>
      </c>
      <c r="AI86" s="215">
        <v>0</v>
      </c>
      <c r="AJ86" s="215">
        <v>0</v>
      </c>
      <c r="AK86" s="266">
        <v>0</v>
      </c>
      <c r="AL86" s="311">
        <f>AK86*Conversions!$D$4*1000000</f>
        <v>0</v>
      </c>
      <c r="AM86" s="225">
        <v>0</v>
      </c>
      <c r="AN86" s="302">
        <f>AK86*Conversions!$D$5*1000000</f>
        <v>0</v>
      </c>
      <c r="AO86">
        <f t="shared" si="11"/>
        <v>36</v>
      </c>
    </row>
    <row r="87" spans="1:41" x14ac:dyDescent="0.25">
      <c r="A87">
        <v>4168511</v>
      </c>
      <c r="B87">
        <v>3</v>
      </c>
      <c r="C87" t="s">
        <v>625</v>
      </c>
      <c r="D87" t="s">
        <v>828</v>
      </c>
      <c r="E87" t="s">
        <v>837</v>
      </c>
      <c r="F87" t="s">
        <v>838</v>
      </c>
      <c r="G87">
        <v>29.72</v>
      </c>
      <c r="H87">
        <v>-95.12</v>
      </c>
      <c r="I87" s="225">
        <v>327000</v>
      </c>
      <c r="J87" s="225">
        <v>173100</v>
      </c>
      <c r="K87" s="225">
        <v>81600</v>
      </c>
      <c r="L87" s="225">
        <v>53400</v>
      </c>
      <c r="M87">
        <v>327000</v>
      </c>
      <c r="N87">
        <f>VLOOKUP(D87,Utilization!$B$9:$E$44,4,FALSE)</f>
        <v>0.9875985727971196</v>
      </c>
      <c r="O87">
        <f t="shared" si="9"/>
        <v>322944.73330465809</v>
      </c>
      <c r="P87">
        <f t="shared" si="10"/>
        <v>3.0201791217037297E-6</v>
      </c>
      <c r="Q87" s="215">
        <v>8.774898776758409</v>
      </c>
      <c r="R87" s="215">
        <v>1288.18</v>
      </c>
      <c r="S87" s="215">
        <v>1401.87</v>
      </c>
      <c r="T87" s="215">
        <v>2775.22</v>
      </c>
      <c r="U87" s="215">
        <v>1967.67</v>
      </c>
      <c r="V87" s="215">
        <v>350.73</v>
      </c>
      <c r="W87" s="215">
        <v>350.75</v>
      </c>
      <c r="X87" s="215">
        <v>2.04</v>
      </c>
      <c r="Y87" s="215">
        <v>1E-4</v>
      </c>
      <c r="Z87" s="215">
        <v>83.78</v>
      </c>
      <c r="AA87" s="215">
        <v>91.19</v>
      </c>
      <c r="AB87" s="215">
        <v>5.9400000000000002E-4</v>
      </c>
      <c r="AC87" s="215">
        <v>0.43</v>
      </c>
      <c r="AD87" s="215">
        <v>1.55</v>
      </c>
      <c r="AE87" s="215">
        <v>4034</v>
      </c>
      <c r="AF87" s="215">
        <v>6377</v>
      </c>
      <c r="AG87" s="215">
        <v>9102</v>
      </c>
      <c r="AH87" s="215">
        <v>9.59</v>
      </c>
      <c r="AI87" s="215">
        <v>60782.8</v>
      </c>
      <c r="AJ87" s="215">
        <v>68</v>
      </c>
      <c r="AK87" s="266">
        <v>0</v>
      </c>
      <c r="AL87" s="311">
        <f>AK87*Conversions!$D$4*1000000</f>
        <v>0</v>
      </c>
      <c r="AM87" s="225">
        <v>0</v>
      </c>
      <c r="AN87" s="302">
        <f>AK87*Conversions!$D$5*1000000</f>
        <v>0</v>
      </c>
      <c r="AO87">
        <f t="shared" si="11"/>
        <v>131</v>
      </c>
    </row>
    <row r="88" spans="1:41" x14ac:dyDescent="0.25">
      <c r="A88">
        <v>7399911</v>
      </c>
      <c r="B88">
        <v>3</v>
      </c>
      <c r="C88" t="s">
        <v>625</v>
      </c>
      <c r="D88" t="s">
        <v>783</v>
      </c>
      <c r="E88" t="s">
        <v>784</v>
      </c>
      <c r="F88" t="s">
        <v>785</v>
      </c>
      <c r="G88">
        <v>32.840000000000003</v>
      </c>
      <c r="H88">
        <v>-104.39</v>
      </c>
      <c r="I88" s="225">
        <v>100000</v>
      </c>
      <c r="J88" s="225">
        <v>25000</v>
      </c>
      <c r="K88" s="225">
        <v>0</v>
      </c>
      <c r="L88" s="225">
        <v>0</v>
      </c>
      <c r="M88">
        <v>100000</v>
      </c>
      <c r="N88">
        <f>VLOOKUP(D88,Utilization!$B$9:$E$44,4,FALSE)</f>
        <v>0.88243526941917427</v>
      </c>
      <c r="O88">
        <f t="shared" si="9"/>
        <v>88243.526941917429</v>
      </c>
      <c r="P88">
        <f t="shared" si="10"/>
        <v>8.8243526941917423E-6</v>
      </c>
      <c r="Q88" s="215">
        <v>8.8930900000000008</v>
      </c>
      <c r="R88" s="215">
        <v>407.88</v>
      </c>
      <c r="S88" s="215">
        <v>1013.62</v>
      </c>
      <c r="T88" s="215">
        <v>46.02</v>
      </c>
      <c r="U88" s="215">
        <v>244.55</v>
      </c>
      <c r="V88" s="215">
        <v>45.04</v>
      </c>
      <c r="W88" s="215">
        <v>45.2</v>
      </c>
      <c r="X88" s="215">
        <v>19</v>
      </c>
      <c r="Y88" s="215">
        <v>2E-3</v>
      </c>
      <c r="Z88" s="215">
        <v>5.84</v>
      </c>
      <c r="AA88" s="215">
        <v>6.85</v>
      </c>
      <c r="AB88" s="215">
        <v>4</v>
      </c>
      <c r="AC88" s="215">
        <v>0.14000000000000001</v>
      </c>
      <c r="AD88" s="215">
        <v>0.5</v>
      </c>
      <c r="AE88" s="215">
        <v>0</v>
      </c>
      <c r="AF88" s="215">
        <v>266</v>
      </c>
      <c r="AG88" s="215">
        <v>15784</v>
      </c>
      <c r="AH88" s="215">
        <v>0</v>
      </c>
      <c r="AI88" s="215">
        <v>0</v>
      </c>
      <c r="AJ88" s="215">
        <v>18</v>
      </c>
      <c r="AK88" s="266">
        <v>0</v>
      </c>
      <c r="AL88" s="311">
        <f>AK88*Conversions!$D$4*1000000</f>
        <v>0</v>
      </c>
      <c r="AM88" s="225">
        <v>0</v>
      </c>
      <c r="AN88" s="302">
        <f>AK88*Conversions!$D$5*1000000</f>
        <v>0</v>
      </c>
      <c r="AO88">
        <f t="shared" si="11"/>
        <v>131</v>
      </c>
    </row>
    <row r="89" spans="1:41" x14ac:dyDescent="0.25">
      <c r="A89">
        <v>5763011</v>
      </c>
      <c r="B89">
        <v>5</v>
      </c>
      <c r="C89" t="s">
        <v>617</v>
      </c>
      <c r="D89" t="s">
        <v>880</v>
      </c>
      <c r="E89" t="s">
        <v>888</v>
      </c>
      <c r="F89" t="s">
        <v>889</v>
      </c>
      <c r="G89">
        <v>48.88</v>
      </c>
      <c r="H89">
        <v>-122.73</v>
      </c>
      <c r="I89" s="225">
        <v>222300</v>
      </c>
      <c r="J89" s="225">
        <v>100700</v>
      </c>
      <c r="K89" s="225">
        <v>55800</v>
      </c>
      <c r="L89" s="225">
        <v>58500</v>
      </c>
      <c r="M89">
        <v>222300</v>
      </c>
      <c r="N89">
        <f>VLOOKUP(D89,Utilization!$B$9:$E$44,4,FALSE)</f>
        <v>1</v>
      </c>
      <c r="O89">
        <f t="shared" si="9"/>
        <v>222300</v>
      </c>
      <c r="P89">
        <f t="shared" si="10"/>
        <v>4.4984255510571299E-6</v>
      </c>
      <c r="Q89" s="215">
        <v>8.9470737741790369</v>
      </c>
      <c r="R89" s="215">
        <v>673</v>
      </c>
      <c r="S89" s="215">
        <v>435</v>
      </c>
      <c r="T89" s="215">
        <v>1007</v>
      </c>
      <c r="U89" s="215">
        <v>1991</v>
      </c>
      <c r="V89" s="215">
        <v>101.72</v>
      </c>
      <c r="W89" s="215">
        <v>131</v>
      </c>
      <c r="X89" s="215">
        <v>37</v>
      </c>
      <c r="Y89" s="215">
        <v>1.0999999999999999E-2</v>
      </c>
      <c r="Z89" s="215">
        <v>7.78</v>
      </c>
      <c r="AA89" s="215">
        <v>14.71</v>
      </c>
      <c r="AB89" s="215">
        <v>5</v>
      </c>
      <c r="AC89" s="215">
        <v>25.46</v>
      </c>
      <c r="AD89" s="215">
        <v>120</v>
      </c>
      <c r="AE89" s="215">
        <v>557</v>
      </c>
      <c r="AF89" s="215">
        <v>2189</v>
      </c>
      <c r="AG89" s="215">
        <v>3517</v>
      </c>
      <c r="AH89" s="215">
        <v>547</v>
      </c>
      <c r="AI89" s="215">
        <v>283</v>
      </c>
      <c r="AJ89" s="215">
        <v>60</v>
      </c>
      <c r="AK89" s="266">
        <v>0</v>
      </c>
      <c r="AL89" s="311">
        <f>AK89*Conversions!$D$4*1000000</f>
        <v>0</v>
      </c>
      <c r="AM89" s="225">
        <v>0</v>
      </c>
      <c r="AN89" s="302">
        <f>AK89*Conversions!$D$5*1000000</f>
        <v>0</v>
      </c>
      <c r="AO89">
        <f t="shared" si="11"/>
        <v>131</v>
      </c>
    </row>
    <row r="90" spans="1:41" x14ac:dyDescent="0.25">
      <c r="A90">
        <v>7449311</v>
      </c>
      <c r="B90">
        <v>3</v>
      </c>
      <c r="C90" t="s">
        <v>625</v>
      </c>
      <c r="D90" t="s">
        <v>709</v>
      </c>
      <c r="E90" t="s">
        <v>724</v>
      </c>
      <c r="F90" t="s">
        <v>725</v>
      </c>
      <c r="G90">
        <v>29.98</v>
      </c>
      <c r="H90">
        <v>-90.39</v>
      </c>
      <c r="I90" s="225">
        <v>250000</v>
      </c>
      <c r="J90" s="225">
        <v>200</v>
      </c>
      <c r="K90" s="225">
        <v>70400</v>
      </c>
      <c r="L90" s="225">
        <v>0</v>
      </c>
      <c r="M90">
        <v>250000</v>
      </c>
      <c r="N90">
        <f>VLOOKUP(D90,Utilization!$B$9:$E$44,4,FALSE)</f>
        <v>0.98291670808070764</v>
      </c>
      <c r="O90">
        <f t="shared" si="9"/>
        <v>245729.1770201769</v>
      </c>
      <c r="P90">
        <f t="shared" si="10"/>
        <v>3.9316668323228305E-6</v>
      </c>
      <c r="Q90" s="215">
        <v>8.9984000000000002</v>
      </c>
      <c r="R90" s="215">
        <v>276.75</v>
      </c>
      <c r="S90" s="215">
        <v>326.52</v>
      </c>
      <c r="T90" s="215">
        <v>317.77999999999997</v>
      </c>
      <c r="U90" s="215">
        <v>476.78</v>
      </c>
      <c r="V90" s="215">
        <v>183.44</v>
      </c>
      <c r="W90" s="215">
        <v>225.83</v>
      </c>
      <c r="X90" s="215">
        <v>22.86</v>
      </c>
      <c r="Y90" s="215">
        <v>4.6899999999999997E-2</v>
      </c>
      <c r="Z90" s="215">
        <v>32.51</v>
      </c>
      <c r="AA90" s="215">
        <v>44.12</v>
      </c>
      <c r="AB90" s="215">
        <v>6.45</v>
      </c>
      <c r="AC90" s="215">
        <v>2.29</v>
      </c>
      <c r="AD90" s="215">
        <v>10.43</v>
      </c>
      <c r="AE90" s="215">
        <v>377</v>
      </c>
      <c r="AF90" s="215">
        <v>840.63</v>
      </c>
      <c r="AG90" s="215">
        <v>1563.95</v>
      </c>
      <c r="AH90" s="215">
        <v>30.28</v>
      </c>
      <c r="AI90" s="215">
        <v>366.92</v>
      </c>
      <c r="AJ90" s="215">
        <v>280</v>
      </c>
      <c r="AK90" s="266">
        <v>0</v>
      </c>
      <c r="AL90" s="311">
        <f>AK90*Conversions!$D$4*1000000</f>
        <v>0</v>
      </c>
      <c r="AM90" s="225">
        <v>0</v>
      </c>
      <c r="AN90" s="302">
        <f>AK90*Conversions!$D$5*1000000</f>
        <v>0</v>
      </c>
      <c r="AO90">
        <f t="shared" si="11"/>
        <v>131</v>
      </c>
    </row>
    <row r="91" spans="1:41" x14ac:dyDescent="0.25">
      <c r="A91">
        <v>5067411</v>
      </c>
      <c r="B91">
        <v>4</v>
      </c>
      <c r="C91" t="s">
        <v>668</v>
      </c>
      <c r="D91" t="s">
        <v>868</v>
      </c>
      <c r="E91" t="s">
        <v>869</v>
      </c>
      <c r="F91" t="s">
        <v>870</v>
      </c>
      <c r="G91">
        <v>40.83</v>
      </c>
      <c r="H91">
        <v>-111.92</v>
      </c>
      <c r="I91" s="225">
        <v>30000</v>
      </c>
      <c r="J91" s="225">
        <v>5000</v>
      </c>
      <c r="K91" s="225">
        <v>0</v>
      </c>
      <c r="L91" s="225">
        <v>0</v>
      </c>
      <c r="M91">
        <v>30000</v>
      </c>
      <c r="N91">
        <f>VLOOKUP(D91,Utilization!$B$9:$E$44,4,FALSE)</f>
        <v>1</v>
      </c>
      <c r="O91">
        <f t="shared" si="9"/>
        <v>30000</v>
      </c>
      <c r="P91">
        <f t="shared" si="10"/>
        <v>3.3333333333333335E-5</v>
      </c>
      <c r="Q91" s="215">
        <v>9.0166666666666675</v>
      </c>
      <c r="R91" s="215">
        <v>147.54</v>
      </c>
      <c r="S91" s="215">
        <v>463.66</v>
      </c>
      <c r="T91" s="215">
        <v>188.71</v>
      </c>
      <c r="U91" s="215">
        <v>195.76</v>
      </c>
      <c r="V91" s="215">
        <v>53.5</v>
      </c>
      <c r="W91" s="215">
        <v>55.1</v>
      </c>
      <c r="X91" s="215">
        <v>99.36</v>
      </c>
      <c r="Y91" s="215">
        <v>5.3700000000000004E-4</v>
      </c>
      <c r="Z91" s="215">
        <v>19.16</v>
      </c>
      <c r="AA91" s="215">
        <v>13.53</v>
      </c>
      <c r="AB91" s="215">
        <v>6.33</v>
      </c>
      <c r="AC91" s="215">
        <v>0</v>
      </c>
      <c r="AD91" s="215">
        <v>0</v>
      </c>
      <c r="AE91" s="215">
        <v>0</v>
      </c>
      <c r="AF91" s="215">
        <v>0</v>
      </c>
      <c r="AG91" s="215">
        <v>223</v>
      </c>
      <c r="AH91" s="215">
        <v>0</v>
      </c>
      <c r="AI91" s="215">
        <v>0</v>
      </c>
      <c r="AJ91" s="215">
        <v>188</v>
      </c>
      <c r="AK91" s="266">
        <v>0</v>
      </c>
      <c r="AL91" s="311">
        <f>AK91*Conversions!$D$4*1000000</f>
        <v>0</v>
      </c>
      <c r="AM91" s="225">
        <v>0</v>
      </c>
      <c r="AN91" s="302">
        <f>AK91*Conversions!$D$5*1000000</f>
        <v>0</v>
      </c>
      <c r="AO91">
        <f t="shared" si="11"/>
        <v>36</v>
      </c>
    </row>
    <row r="92" spans="1:41" x14ac:dyDescent="0.25">
      <c r="A92">
        <v>8385311</v>
      </c>
      <c r="B92">
        <v>4</v>
      </c>
      <c r="C92" t="s">
        <v>668</v>
      </c>
      <c r="D92" t="s">
        <v>760</v>
      </c>
      <c r="E92" t="s">
        <v>764</v>
      </c>
      <c r="F92" t="s">
        <v>765</v>
      </c>
      <c r="G92">
        <v>47.52</v>
      </c>
      <c r="H92">
        <v>-111.29</v>
      </c>
      <c r="I92" s="225">
        <v>9500</v>
      </c>
      <c r="J92" s="225">
        <v>5000</v>
      </c>
      <c r="K92" s="225">
        <v>0</v>
      </c>
      <c r="L92" s="225">
        <v>0</v>
      </c>
      <c r="M92">
        <v>9500</v>
      </c>
      <c r="N92">
        <f>VLOOKUP(D92,Utilization!$B$9:$E$44,4,FALSE)</f>
        <v>1</v>
      </c>
      <c r="O92">
        <f t="shared" si="9"/>
        <v>9500</v>
      </c>
      <c r="P92">
        <f t="shared" si="10"/>
        <v>1.0526315789473685E-4</v>
      </c>
      <c r="Q92" s="215">
        <v>9.0215789473684183</v>
      </c>
      <c r="R92" s="215">
        <v>48.39</v>
      </c>
      <c r="S92" s="215">
        <v>410.28</v>
      </c>
      <c r="T92" s="215">
        <v>17.27</v>
      </c>
      <c r="U92" s="215">
        <v>168.65</v>
      </c>
      <c r="V92" s="215">
        <v>34.43</v>
      </c>
      <c r="W92" s="215">
        <v>46.79</v>
      </c>
      <c r="X92" s="215">
        <v>7.98</v>
      </c>
      <c r="Y92" s="215">
        <v>0</v>
      </c>
      <c r="Z92" s="215">
        <v>1.83</v>
      </c>
      <c r="AA92" s="215">
        <v>2.14</v>
      </c>
      <c r="AB92" s="215">
        <v>0</v>
      </c>
      <c r="AC92" s="215">
        <v>0</v>
      </c>
      <c r="AD92" s="215">
        <v>0</v>
      </c>
      <c r="AE92" s="215">
        <v>0</v>
      </c>
      <c r="AF92" s="215">
        <v>0</v>
      </c>
      <c r="AG92" s="215">
        <v>3060</v>
      </c>
      <c r="AH92" s="215">
        <v>0</v>
      </c>
      <c r="AI92" s="215">
        <v>0</v>
      </c>
      <c r="AJ92" s="215">
        <v>0</v>
      </c>
      <c r="AK92" s="266">
        <v>0</v>
      </c>
      <c r="AL92" s="311">
        <f>AK92*Conversions!$D$4*1000000</f>
        <v>0</v>
      </c>
      <c r="AM92" s="225">
        <v>0</v>
      </c>
      <c r="AN92" s="302">
        <f>AK92*Conversions!$D$5*1000000</f>
        <v>0</v>
      </c>
      <c r="AO92">
        <f t="shared" si="11"/>
        <v>36</v>
      </c>
    </row>
    <row r="93" spans="1:41" x14ac:dyDescent="0.25">
      <c r="A93">
        <v>7940411</v>
      </c>
      <c r="B93">
        <v>2</v>
      </c>
      <c r="C93" t="s">
        <v>683</v>
      </c>
      <c r="D93" t="s">
        <v>684</v>
      </c>
      <c r="E93" t="s">
        <v>687</v>
      </c>
      <c r="F93" t="s">
        <v>688</v>
      </c>
      <c r="G93">
        <v>38.83</v>
      </c>
      <c r="H93">
        <v>-90.06</v>
      </c>
      <c r="I93" s="225">
        <v>356000</v>
      </c>
      <c r="J93" s="225">
        <v>180000</v>
      </c>
      <c r="K93" s="225">
        <v>81000</v>
      </c>
      <c r="L93" s="225">
        <v>52200</v>
      </c>
      <c r="M93">
        <v>306000</v>
      </c>
      <c r="N93">
        <f>VLOOKUP(D93,Utilization!$B$9:$E$44,4,FALSE)</f>
        <v>0.94248151191454399</v>
      </c>
      <c r="O93">
        <f t="shared" si="9"/>
        <v>288399.34264585044</v>
      </c>
      <c r="P93">
        <f t="shared" si="10"/>
        <v>3.0800049408972026E-6</v>
      </c>
      <c r="Q93" s="215">
        <v>9.1148033707865181</v>
      </c>
      <c r="R93" s="215">
        <v>1640.68</v>
      </c>
      <c r="S93" s="215">
        <v>1816.41</v>
      </c>
      <c r="T93" s="215">
        <v>1814.49</v>
      </c>
      <c r="U93" s="215">
        <v>2909.8</v>
      </c>
      <c r="V93" s="215">
        <v>209.09</v>
      </c>
      <c r="W93" s="215">
        <v>373.64</v>
      </c>
      <c r="X93" s="215">
        <v>0.17</v>
      </c>
      <c r="Y93" s="215">
        <v>2.7E-4</v>
      </c>
      <c r="Z93" s="215">
        <v>28.27</v>
      </c>
      <c r="AA93" s="215">
        <v>39.1</v>
      </c>
      <c r="AB93" s="215">
        <v>0.28000000000000003</v>
      </c>
      <c r="AC93" s="215">
        <v>6.0600000000000001E-2</v>
      </c>
      <c r="AD93" s="215">
        <v>0.22</v>
      </c>
      <c r="AE93" s="215">
        <v>16.440000000000001</v>
      </c>
      <c r="AF93" s="215">
        <v>77401.320000000007</v>
      </c>
      <c r="AG93" s="215">
        <v>10605.46</v>
      </c>
      <c r="AH93" s="215">
        <v>19.47</v>
      </c>
      <c r="AI93" s="215">
        <v>0</v>
      </c>
      <c r="AJ93" s="215">
        <v>155</v>
      </c>
      <c r="AK93" s="266">
        <v>0</v>
      </c>
      <c r="AL93" s="311">
        <f>AK93*Conversions!$D$4*1000000</f>
        <v>0</v>
      </c>
      <c r="AM93" s="225">
        <v>0</v>
      </c>
      <c r="AN93" s="302">
        <f>AK93*Conversions!$D$5*1000000</f>
        <v>0</v>
      </c>
      <c r="AO93">
        <f t="shared" si="11"/>
        <v>131</v>
      </c>
    </row>
    <row r="94" spans="1:41" x14ac:dyDescent="0.25">
      <c r="A94">
        <v>8361011</v>
      </c>
      <c r="B94">
        <v>3</v>
      </c>
      <c r="C94" t="s">
        <v>625</v>
      </c>
      <c r="D94" t="s">
        <v>709</v>
      </c>
      <c r="E94" t="s">
        <v>741</v>
      </c>
      <c r="F94" t="s">
        <v>711</v>
      </c>
      <c r="G94">
        <v>30.13</v>
      </c>
      <c r="H94">
        <v>-93.32</v>
      </c>
      <c r="I94" s="225">
        <v>32000</v>
      </c>
      <c r="J94" s="225">
        <v>0</v>
      </c>
      <c r="K94" s="225">
        <v>0</v>
      </c>
      <c r="L94" s="225">
        <v>0</v>
      </c>
      <c r="M94">
        <v>440000</v>
      </c>
      <c r="N94">
        <f>VLOOKUP(D94,Utilization!$B$9:$E$44,4,FALSE)</f>
        <v>0.98291670808070764</v>
      </c>
      <c r="O94">
        <f t="shared" si="9"/>
        <v>432483.35155551136</v>
      </c>
      <c r="P94">
        <f t="shared" si="10"/>
        <v>2.2339016092743355E-6</v>
      </c>
      <c r="Q94" s="215">
        <v>9.1417238636363649</v>
      </c>
      <c r="R94" s="215">
        <v>74.83</v>
      </c>
      <c r="S94" s="215">
        <v>92.98</v>
      </c>
      <c r="T94" s="215">
        <v>2.13</v>
      </c>
      <c r="U94" s="215">
        <v>61.78</v>
      </c>
      <c r="V94" s="215">
        <v>35.04</v>
      </c>
      <c r="W94" s="215">
        <v>35.04</v>
      </c>
      <c r="X94" s="215">
        <v>0</v>
      </c>
      <c r="Y94" s="215">
        <v>0</v>
      </c>
      <c r="Z94" s="215">
        <v>5.76</v>
      </c>
      <c r="AA94" s="215">
        <v>10.24</v>
      </c>
      <c r="AB94" s="215">
        <v>0</v>
      </c>
      <c r="AC94" s="215">
        <v>0</v>
      </c>
      <c r="AD94" s="215">
        <v>0</v>
      </c>
      <c r="AE94" s="215">
        <v>0</v>
      </c>
      <c r="AF94" s="215">
        <v>0</v>
      </c>
      <c r="AG94" s="215">
        <v>669</v>
      </c>
      <c r="AH94" s="215">
        <v>0</v>
      </c>
      <c r="AI94" s="215">
        <v>0</v>
      </c>
      <c r="AJ94" s="215">
        <v>0</v>
      </c>
      <c r="AK94" s="266">
        <v>0</v>
      </c>
      <c r="AL94" s="311">
        <f>AK94*Conversions!$D$4*1000000</f>
        <v>0</v>
      </c>
      <c r="AM94" s="225">
        <v>0</v>
      </c>
      <c r="AN94" s="302">
        <f>AK94*Conversions!$D$5*1000000</f>
        <v>0</v>
      </c>
      <c r="AO94">
        <f t="shared" si="11"/>
        <v>131</v>
      </c>
    </row>
    <row r="95" spans="1:41" x14ac:dyDescent="0.25">
      <c r="A95" s="225">
        <v>588311</v>
      </c>
      <c r="B95" s="225">
        <v>1</v>
      </c>
      <c r="C95" s="225" t="s">
        <v>672</v>
      </c>
      <c r="D95" s="225" t="s">
        <v>673</v>
      </c>
      <c r="E95" s="225" t="s">
        <v>674</v>
      </c>
      <c r="F95" s="225" t="s">
        <v>675</v>
      </c>
      <c r="G95" s="225">
        <v>39.58</v>
      </c>
      <c r="H95" s="225">
        <v>-75.63</v>
      </c>
      <c r="I95" s="225">
        <v>190000</v>
      </c>
      <c r="J95" s="225">
        <v>102000</v>
      </c>
      <c r="K95" s="225">
        <v>0</v>
      </c>
      <c r="L95" s="225">
        <v>18000</v>
      </c>
      <c r="M95" s="225">
        <v>190000</v>
      </c>
      <c r="N95" s="225">
        <f>VLOOKUP(D95,Utilization!$B$9:$E$44,4,FALSE)</f>
        <v>0</v>
      </c>
      <c r="O95" s="225">
        <f t="shared" si="9"/>
        <v>0</v>
      </c>
      <c r="P95" s="225">
        <f t="shared" si="10"/>
        <v>0</v>
      </c>
      <c r="Q95" s="215">
        <v>9.1492736842105256</v>
      </c>
      <c r="R95" s="266">
        <v>617.34</v>
      </c>
      <c r="S95" s="266">
        <v>139.37</v>
      </c>
      <c r="T95" s="266">
        <v>333.17</v>
      </c>
      <c r="U95" s="266">
        <v>1071.52</v>
      </c>
      <c r="V95" s="266">
        <v>281.45</v>
      </c>
      <c r="W95" s="266">
        <v>281.45</v>
      </c>
      <c r="X95" s="266">
        <v>6.75</v>
      </c>
      <c r="Y95" s="266">
        <v>4.4799999999999998E-5</v>
      </c>
      <c r="Z95" s="266">
        <v>99.19</v>
      </c>
      <c r="AA95" s="266">
        <v>65.05</v>
      </c>
      <c r="AB95" s="266">
        <v>3.21</v>
      </c>
      <c r="AC95" s="266">
        <v>0.34</v>
      </c>
      <c r="AD95" s="266">
        <v>17.97</v>
      </c>
      <c r="AE95" s="266">
        <v>0</v>
      </c>
      <c r="AF95" s="266">
        <v>9.36</v>
      </c>
      <c r="AG95" s="266">
        <v>80</v>
      </c>
      <c r="AH95" s="266">
        <v>0</v>
      </c>
      <c r="AI95" s="266">
        <v>440</v>
      </c>
      <c r="AJ95" s="266">
        <v>0</v>
      </c>
      <c r="AK95" s="266">
        <v>0</v>
      </c>
      <c r="AL95" s="314">
        <f>AK95*Conversions!$D$4*1000000</f>
        <v>0</v>
      </c>
      <c r="AM95" s="225">
        <v>0</v>
      </c>
      <c r="AN95" s="313">
        <f>AK95*Conversions!$D$5*1000000</f>
        <v>0</v>
      </c>
      <c r="AO95">
        <f t="shared" si="11"/>
        <v>131</v>
      </c>
    </row>
    <row r="96" spans="1:41" x14ac:dyDescent="0.25">
      <c r="A96">
        <v>8020411</v>
      </c>
      <c r="B96">
        <v>3</v>
      </c>
      <c r="C96" t="s">
        <v>625</v>
      </c>
      <c r="D96" t="s">
        <v>709</v>
      </c>
      <c r="E96" t="s">
        <v>730</v>
      </c>
      <c r="F96" t="s">
        <v>731</v>
      </c>
      <c r="G96">
        <v>29.93</v>
      </c>
      <c r="H96">
        <v>-89.97</v>
      </c>
      <c r="I96" s="225">
        <v>189000</v>
      </c>
      <c r="J96" s="225">
        <v>159500</v>
      </c>
      <c r="K96" s="225">
        <v>28500</v>
      </c>
      <c r="L96" s="225">
        <v>0</v>
      </c>
      <c r="M96">
        <v>189000</v>
      </c>
      <c r="N96">
        <f>VLOOKUP(D96,Utilization!$B$9:$E$44,4,FALSE)</f>
        <v>0.98291670808070764</v>
      </c>
      <c r="O96">
        <f t="shared" si="9"/>
        <v>185771.25782725375</v>
      </c>
      <c r="P96">
        <f t="shared" si="10"/>
        <v>5.2006175030725275E-6</v>
      </c>
      <c r="Q96" s="215">
        <v>9.2486772486772484</v>
      </c>
      <c r="R96" s="215">
        <v>640.64</v>
      </c>
      <c r="S96" s="215">
        <v>545.70000000000005</v>
      </c>
      <c r="T96" s="215">
        <v>189.29</v>
      </c>
      <c r="U96" s="215">
        <v>910.98</v>
      </c>
      <c r="V96" s="215">
        <v>326.26</v>
      </c>
      <c r="W96" s="215">
        <v>326.26</v>
      </c>
      <c r="X96" s="215">
        <v>22.06</v>
      </c>
      <c r="Y96" s="215">
        <v>5.9299999999999999E-2</v>
      </c>
      <c r="Z96" s="215">
        <v>46.27</v>
      </c>
      <c r="AA96" s="215">
        <v>94.04</v>
      </c>
      <c r="AB96" s="215">
        <v>14.23</v>
      </c>
      <c r="AC96" s="215">
        <v>24.09</v>
      </c>
      <c r="AD96" s="215">
        <v>14.81</v>
      </c>
      <c r="AE96" s="215">
        <v>329.68</v>
      </c>
      <c r="AF96" s="215">
        <v>0.38</v>
      </c>
      <c r="AG96" s="215">
        <v>12449.22</v>
      </c>
      <c r="AH96" s="215">
        <v>18.23</v>
      </c>
      <c r="AI96" s="215">
        <v>161.71</v>
      </c>
      <c r="AJ96" s="215">
        <v>195.85</v>
      </c>
      <c r="AK96" s="266">
        <v>0</v>
      </c>
      <c r="AL96" s="311">
        <f>AK96*Conversions!$D$4*1000000</f>
        <v>0</v>
      </c>
      <c r="AM96" s="225">
        <v>0</v>
      </c>
      <c r="AN96" s="302">
        <f>AK96*Conversions!$D$5*1000000</f>
        <v>0</v>
      </c>
      <c r="AO96">
        <f t="shared" si="11"/>
        <v>131</v>
      </c>
    </row>
    <row r="97" spans="1:41" x14ac:dyDescent="0.25">
      <c r="A97">
        <v>7915211</v>
      </c>
      <c r="B97">
        <v>3</v>
      </c>
      <c r="C97" t="s">
        <v>625</v>
      </c>
      <c r="D97" t="s">
        <v>709</v>
      </c>
      <c r="E97" t="s">
        <v>726</v>
      </c>
      <c r="F97" t="s">
        <v>727</v>
      </c>
      <c r="G97">
        <v>30.24</v>
      </c>
      <c r="H97">
        <v>-93.27</v>
      </c>
      <c r="I97" s="225">
        <v>239000</v>
      </c>
      <c r="J97" s="225">
        <v>106200</v>
      </c>
      <c r="K97" s="225">
        <v>61000</v>
      </c>
      <c r="L97" s="225">
        <v>35100</v>
      </c>
      <c r="M97">
        <v>239000</v>
      </c>
      <c r="N97">
        <f>VLOOKUP(D97,Utilization!$B$9:$E$44,4,FALSE)</f>
        <v>0.98291670808070764</v>
      </c>
      <c r="O97">
        <f t="shared" si="9"/>
        <v>234917.09323128912</v>
      </c>
      <c r="P97">
        <f t="shared" si="10"/>
        <v>4.1126222095427099E-6</v>
      </c>
      <c r="Q97" s="215">
        <v>9.2637112970711293</v>
      </c>
      <c r="R97" s="215">
        <v>1032.1099999999999</v>
      </c>
      <c r="S97" s="215">
        <v>1573.81</v>
      </c>
      <c r="T97" s="215">
        <v>784.45</v>
      </c>
      <c r="U97" s="215">
        <v>1006.39</v>
      </c>
      <c r="V97" s="215">
        <v>586.20000000000005</v>
      </c>
      <c r="W97" s="215">
        <v>697.98</v>
      </c>
      <c r="X97" s="215">
        <v>19.23</v>
      </c>
      <c r="Y97" s="215">
        <v>7.7499999999999999E-2</v>
      </c>
      <c r="Z97" s="215">
        <v>34.71</v>
      </c>
      <c r="AA97" s="215">
        <v>86.36</v>
      </c>
      <c r="AB97" s="215">
        <v>45</v>
      </c>
      <c r="AC97" s="215">
        <v>6.8000000000000005E-2</v>
      </c>
      <c r="AD97" s="215">
        <v>3.9300000000000002E-2</v>
      </c>
      <c r="AE97" s="215">
        <v>0</v>
      </c>
      <c r="AF97" s="215">
        <v>0</v>
      </c>
      <c r="AG97" s="215">
        <v>4231.66</v>
      </c>
      <c r="AH97" s="215">
        <v>0</v>
      </c>
      <c r="AI97" s="215">
        <v>695.43</v>
      </c>
      <c r="AJ97" s="215">
        <v>852.43</v>
      </c>
      <c r="AK97" s="266">
        <v>0</v>
      </c>
      <c r="AL97" s="311">
        <f>AK97*Conversions!$D$4*1000000</f>
        <v>0</v>
      </c>
      <c r="AM97" s="225">
        <v>0</v>
      </c>
      <c r="AN97" s="302">
        <f>AK97*Conversions!$D$5*1000000</f>
        <v>0</v>
      </c>
      <c r="AO97">
        <f t="shared" si="11"/>
        <v>131</v>
      </c>
    </row>
    <row r="98" spans="1:41" x14ac:dyDescent="0.25">
      <c r="A98">
        <v>7284611</v>
      </c>
      <c r="B98">
        <v>4</v>
      </c>
      <c r="C98" t="s">
        <v>668</v>
      </c>
      <c r="D98" t="s">
        <v>760</v>
      </c>
      <c r="E98" t="s">
        <v>761</v>
      </c>
      <c r="F98" t="s">
        <v>762</v>
      </c>
      <c r="G98">
        <v>45.81</v>
      </c>
      <c r="H98">
        <v>-108.43</v>
      </c>
      <c r="I98" s="225">
        <v>60000</v>
      </c>
      <c r="J98" s="225">
        <v>27500</v>
      </c>
      <c r="K98" s="225">
        <v>10000</v>
      </c>
      <c r="L98" s="225">
        <v>5500</v>
      </c>
      <c r="M98">
        <v>60000</v>
      </c>
      <c r="N98">
        <f>VLOOKUP(D98,Utilization!$B$9:$E$44,4,FALSE)</f>
        <v>1</v>
      </c>
      <c r="O98">
        <f t="shared" si="9"/>
        <v>60000</v>
      </c>
      <c r="P98">
        <f t="shared" si="10"/>
        <v>1.6666666666666667E-5</v>
      </c>
      <c r="Q98" s="215">
        <v>9.2796083333333321</v>
      </c>
      <c r="R98" s="215">
        <v>107.32</v>
      </c>
      <c r="S98" s="215">
        <v>498.03</v>
      </c>
      <c r="T98" s="215">
        <v>768.62</v>
      </c>
      <c r="U98" s="215">
        <v>242.95</v>
      </c>
      <c r="V98" s="215">
        <v>219.76</v>
      </c>
      <c r="W98" s="215">
        <v>226.79</v>
      </c>
      <c r="X98" s="215">
        <v>2.9</v>
      </c>
      <c r="Y98" s="215">
        <v>2.5499999999999998E-2</v>
      </c>
      <c r="Z98" s="215">
        <v>2.08</v>
      </c>
      <c r="AA98" s="215">
        <v>4.51</v>
      </c>
      <c r="AB98" s="215">
        <v>7.3</v>
      </c>
      <c r="AC98" s="215">
        <v>0</v>
      </c>
      <c r="AD98" s="215">
        <v>0</v>
      </c>
      <c r="AE98" s="215">
        <v>0</v>
      </c>
      <c r="AF98" s="215">
        <v>0</v>
      </c>
      <c r="AG98" s="215">
        <v>3690</v>
      </c>
      <c r="AH98" s="215">
        <v>0</v>
      </c>
      <c r="AI98" s="215">
        <v>560</v>
      </c>
      <c r="AJ98" s="215">
        <v>0</v>
      </c>
      <c r="AK98" s="266">
        <v>0</v>
      </c>
      <c r="AL98" s="311">
        <f>AK98*Conversions!$D$4*1000000</f>
        <v>0</v>
      </c>
      <c r="AM98" s="225">
        <v>0</v>
      </c>
      <c r="AN98" s="302">
        <f>AK98*Conversions!$D$5*1000000</f>
        <v>0</v>
      </c>
      <c r="AO98">
        <f t="shared" si="11"/>
        <v>36</v>
      </c>
    </row>
    <row r="99" spans="1:41" x14ac:dyDescent="0.25">
      <c r="A99">
        <v>8007011</v>
      </c>
      <c r="B99">
        <v>2</v>
      </c>
      <c r="C99" t="s">
        <v>683</v>
      </c>
      <c r="D99" t="s">
        <v>795</v>
      </c>
      <c r="E99" t="s">
        <v>800</v>
      </c>
      <c r="F99" t="s">
        <v>801</v>
      </c>
      <c r="G99">
        <v>40.72</v>
      </c>
      <c r="H99">
        <v>-84.12</v>
      </c>
      <c r="I99" s="225">
        <v>161500</v>
      </c>
      <c r="J99" s="225">
        <v>49400</v>
      </c>
      <c r="K99" s="225">
        <v>20700</v>
      </c>
      <c r="L99" s="225">
        <v>23400</v>
      </c>
      <c r="M99">
        <v>161500</v>
      </c>
      <c r="N99">
        <f>VLOOKUP(D99,Utilization!$B$9:$E$44,4,FALSE)</f>
        <v>1</v>
      </c>
      <c r="O99">
        <f t="shared" si="9"/>
        <v>161500</v>
      </c>
      <c r="P99">
        <f t="shared" si="10"/>
        <v>6.1919504643962844E-6</v>
      </c>
      <c r="Q99" s="215">
        <v>9.3022315789473673</v>
      </c>
      <c r="R99" s="215">
        <v>843.27</v>
      </c>
      <c r="S99" s="215">
        <v>506.17</v>
      </c>
      <c r="T99" s="215">
        <v>204.71</v>
      </c>
      <c r="U99" s="215">
        <v>1442.95</v>
      </c>
      <c r="V99" s="215">
        <v>666.42</v>
      </c>
      <c r="W99" s="215">
        <v>666.42</v>
      </c>
      <c r="X99" s="215">
        <v>1.43</v>
      </c>
      <c r="Y99" s="215">
        <v>2.4199999999999999E-2</v>
      </c>
      <c r="Z99" s="215">
        <v>22.32</v>
      </c>
      <c r="AA99" s="215">
        <v>42.88</v>
      </c>
      <c r="AB99" s="215">
        <v>44.91</v>
      </c>
      <c r="AC99" s="215">
        <v>0.52</v>
      </c>
      <c r="AD99" s="215">
        <v>70.709999999999994</v>
      </c>
      <c r="AE99" s="215">
        <v>198.55</v>
      </c>
      <c r="AF99" s="215">
        <v>1016.47</v>
      </c>
      <c r="AG99" s="215">
        <v>1.31E-3</v>
      </c>
      <c r="AH99" s="215">
        <v>30.69</v>
      </c>
      <c r="AI99" s="215">
        <v>1.15E-3</v>
      </c>
      <c r="AJ99" s="215">
        <v>5114.7</v>
      </c>
      <c r="AK99" s="266">
        <v>0</v>
      </c>
      <c r="AL99" s="311">
        <f>AK99*Conversions!$D$4*1000000</f>
        <v>0</v>
      </c>
      <c r="AM99" s="225">
        <v>0</v>
      </c>
      <c r="AN99" s="302">
        <f>AK99*Conversions!$D$5*1000000</f>
        <v>0</v>
      </c>
      <c r="AO99">
        <f t="shared" si="11"/>
        <v>131</v>
      </c>
    </row>
    <row r="100" spans="1:41" x14ac:dyDescent="0.25">
      <c r="A100">
        <v>6275811</v>
      </c>
      <c r="B100">
        <v>2</v>
      </c>
      <c r="C100" t="s">
        <v>683</v>
      </c>
      <c r="D100" t="s">
        <v>747</v>
      </c>
      <c r="E100" t="s">
        <v>748</v>
      </c>
      <c r="F100" t="s">
        <v>749</v>
      </c>
      <c r="G100">
        <v>44.76</v>
      </c>
      <c r="H100">
        <v>-93.03</v>
      </c>
      <c r="I100" s="225">
        <v>322050</v>
      </c>
      <c r="J100" s="225">
        <v>185250</v>
      </c>
      <c r="K100" s="225">
        <v>63720</v>
      </c>
      <c r="L100" s="225">
        <v>36000</v>
      </c>
      <c r="M100">
        <v>322050</v>
      </c>
      <c r="N100">
        <f>VLOOKUP(D100,Utilization!$B$9:$E$44,4,FALSE)</f>
        <v>1</v>
      </c>
      <c r="O100">
        <f t="shared" ref="O100:O130" si="12">M100*N100</f>
        <v>322050</v>
      </c>
      <c r="P100">
        <f t="shared" ref="P100:P130" si="13">IFERROR(N100/M100,0)</f>
        <v>3.105107902499612E-6</v>
      </c>
      <c r="Q100" s="215">
        <v>9.3828178854215203</v>
      </c>
      <c r="R100" s="215">
        <v>443.46</v>
      </c>
      <c r="S100" s="215">
        <v>515.24</v>
      </c>
      <c r="T100" s="215">
        <v>748.4</v>
      </c>
      <c r="U100" s="215">
        <v>1295.6099999999999</v>
      </c>
      <c r="V100" s="215">
        <v>152.15</v>
      </c>
      <c r="W100" s="215">
        <v>243.01</v>
      </c>
      <c r="X100" s="215">
        <v>28.79</v>
      </c>
      <c r="Y100" s="215">
        <v>3.3799999999999997E-2</v>
      </c>
      <c r="Z100" s="215">
        <v>18.82</v>
      </c>
      <c r="AA100" s="215">
        <v>31.02</v>
      </c>
      <c r="AB100" s="215">
        <v>0.6</v>
      </c>
      <c r="AC100" s="215">
        <v>0.81</v>
      </c>
      <c r="AD100" s="215">
        <v>20.63</v>
      </c>
      <c r="AE100" s="215">
        <v>325.47000000000003</v>
      </c>
      <c r="AF100" s="215">
        <v>3238.3</v>
      </c>
      <c r="AG100" s="215">
        <v>7245.63</v>
      </c>
      <c r="AH100" s="215">
        <v>49682.44</v>
      </c>
      <c r="AI100" s="215">
        <v>1.4</v>
      </c>
      <c r="AJ100" s="215">
        <v>1128.5</v>
      </c>
      <c r="AK100" s="266">
        <v>0</v>
      </c>
      <c r="AL100" s="311">
        <f>AK100*Conversions!$D$4*1000000</f>
        <v>0</v>
      </c>
      <c r="AM100" s="225">
        <v>0</v>
      </c>
      <c r="AN100" s="302">
        <f>AK100*Conversions!$D$5*1000000</f>
        <v>0</v>
      </c>
      <c r="AO100">
        <f t="shared" ref="AO100:AO130" si="14">IF(M100&lt;100000,36,131)</f>
        <v>131</v>
      </c>
    </row>
    <row r="101" spans="1:41" x14ac:dyDescent="0.25">
      <c r="A101">
        <v>7903711</v>
      </c>
      <c r="B101">
        <v>1</v>
      </c>
      <c r="C101" t="s">
        <v>672</v>
      </c>
      <c r="D101" t="s">
        <v>771</v>
      </c>
      <c r="E101" t="s">
        <v>777</v>
      </c>
      <c r="F101" t="s">
        <v>778</v>
      </c>
      <c r="G101">
        <v>40.630000000000003</v>
      </c>
      <c r="H101">
        <v>-74.209999999999994</v>
      </c>
      <c r="I101" s="225">
        <v>238000</v>
      </c>
      <c r="J101" s="225">
        <v>71250</v>
      </c>
      <c r="K101" s="225">
        <v>0</v>
      </c>
      <c r="L101" s="225">
        <v>0</v>
      </c>
      <c r="M101">
        <v>238000</v>
      </c>
      <c r="N101">
        <f>VLOOKUP(D101,Utilization!$B$9:$E$44,4,FALSE)</f>
        <v>0.72627737226277367</v>
      </c>
      <c r="O101">
        <f t="shared" si="12"/>
        <v>172854.01459854015</v>
      </c>
      <c r="P101">
        <f t="shared" si="13"/>
        <v>3.0515855977427466E-6</v>
      </c>
      <c r="Q101" s="215">
        <v>9.4812231092436985</v>
      </c>
      <c r="R101" s="215">
        <v>129.41</v>
      </c>
      <c r="S101" s="215">
        <v>405.74</v>
      </c>
      <c r="T101" s="215">
        <v>50.93</v>
      </c>
      <c r="U101" s="215">
        <v>927.35</v>
      </c>
      <c r="V101" s="215">
        <v>224.44</v>
      </c>
      <c r="W101" s="215">
        <v>281.85000000000002</v>
      </c>
      <c r="X101" s="215">
        <v>16.47</v>
      </c>
      <c r="Y101" s="215">
        <v>1.21E-2</v>
      </c>
      <c r="Z101" s="215">
        <v>35.35</v>
      </c>
      <c r="AA101" s="215">
        <v>23.06</v>
      </c>
      <c r="AB101" s="215">
        <v>0.75</v>
      </c>
      <c r="AC101" s="215">
        <v>0</v>
      </c>
      <c r="AD101" s="215">
        <v>3.79</v>
      </c>
      <c r="AE101" s="215">
        <v>0</v>
      </c>
      <c r="AF101" s="215">
        <v>0</v>
      </c>
      <c r="AG101" s="215">
        <v>3800</v>
      </c>
      <c r="AH101" s="215">
        <v>0</v>
      </c>
      <c r="AI101" s="215">
        <v>9</v>
      </c>
      <c r="AJ101" s="215">
        <v>126.06</v>
      </c>
      <c r="AK101" s="266">
        <v>0</v>
      </c>
      <c r="AL101" s="311">
        <f>AK101*Conversions!$D$4*1000000</f>
        <v>0</v>
      </c>
      <c r="AM101" s="225">
        <v>0</v>
      </c>
      <c r="AN101" s="302">
        <f>AK101*Conversions!$D$5*1000000</f>
        <v>0</v>
      </c>
      <c r="AO101">
        <f t="shared" si="14"/>
        <v>131</v>
      </c>
    </row>
    <row r="102" spans="1:41" x14ac:dyDescent="0.25">
      <c r="A102">
        <v>8191811</v>
      </c>
      <c r="B102">
        <v>2</v>
      </c>
      <c r="C102" t="s">
        <v>683</v>
      </c>
      <c r="D102" t="s">
        <v>684</v>
      </c>
      <c r="E102" t="s">
        <v>689</v>
      </c>
      <c r="F102" t="s">
        <v>690</v>
      </c>
      <c r="G102">
        <v>41.64</v>
      </c>
      <c r="H102">
        <v>-88.05</v>
      </c>
      <c r="I102" s="225">
        <v>158650</v>
      </c>
      <c r="J102" s="225">
        <v>71250</v>
      </c>
      <c r="K102" s="225">
        <v>36000</v>
      </c>
      <c r="L102" s="225">
        <v>0</v>
      </c>
      <c r="M102">
        <v>158650</v>
      </c>
      <c r="N102">
        <f>VLOOKUP(D102,Utilization!$B$9:$E$44,4,FALSE)</f>
        <v>0.94248151191454399</v>
      </c>
      <c r="O102">
        <f t="shared" si="12"/>
        <v>149524.69186524241</v>
      </c>
      <c r="P102">
        <f t="shared" si="13"/>
        <v>5.9406335450018528E-6</v>
      </c>
      <c r="Q102" s="215">
        <v>9.4902269145918687</v>
      </c>
      <c r="R102" s="215">
        <v>498.82</v>
      </c>
      <c r="S102" s="215">
        <v>443.15</v>
      </c>
      <c r="T102" s="215">
        <v>513.49</v>
      </c>
      <c r="U102" s="215">
        <v>684.86</v>
      </c>
      <c r="V102" s="215">
        <v>144.01</v>
      </c>
      <c r="W102" s="215">
        <v>180.23</v>
      </c>
      <c r="X102" s="215">
        <v>231.94</v>
      </c>
      <c r="Y102" s="215">
        <v>1.36E-4</v>
      </c>
      <c r="Z102" s="215">
        <v>12.23</v>
      </c>
      <c r="AA102" s="215">
        <v>19.329999999999998</v>
      </c>
      <c r="AB102" s="215">
        <v>0.14000000000000001</v>
      </c>
      <c r="AC102" s="215">
        <v>3.0499999999999999E-2</v>
      </c>
      <c r="AD102" s="215">
        <v>0.11</v>
      </c>
      <c r="AE102" s="215">
        <v>13.68</v>
      </c>
      <c r="AF102" s="215">
        <v>1488.71</v>
      </c>
      <c r="AG102" s="215">
        <v>453.8</v>
      </c>
      <c r="AH102" s="215">
        <v>10.45</v>
      </c>
      <c r="AI102" s="215">
        <v>0.28000000000000003</v>
      </c>
      <c r="AJ102" s="215">
        <v>0</v>
      </c>
      <c r="AK102" s="266">
        <v>0</v>
      </c>
      <c r="AL102" s="311">
        <f>AK102*Conversions!$D$4*1000000</f>
        <v>0</v>
      </c>
      <c r="AM102" s="225">
        <v>0</v>
      </c>
      <c r="AN102" s="302">
        <f>AK102*Conversions!$D$5*1000000</f>
        <v>0</v>
      </c>
      <c r="AO102">
        <f t="shared" si="14"/>
        <v>131</v>
      </c>
    </row>
    <row r="103" spans="1:41" x14ac:dyDescent="0.25">
      <c r="A103">
        <v>4863211</v>
      </c>
      <c r="B103">
        <v>3</v>
      </c>
      <c r="C103" t="s">
        <v>625</v>
      </c>
      <c r="D103" t="s">
        <v>828</v>
      </c>
      <c r="E103" t="s">
        <v>850</v>
      </c>
      <c r="F103" t="s">
        <v>849</v>
      </c>
      <c r="G103">
        <v>29.86</v>
      </c>
      <c r="H103">
        <v>-93.96</v>
      </c>
      <c r="I103" s="225">
        <v>310000</v>
      </c>
      <c r="J103" s="225">
        <v>145000</v>
      </c>
      <c r="K103" s="225">
        <v>100000</v>
      </c>
      <c r="L103" s="225">
        <v>45000</v>
      </c>
      <c r="M103">
        <v>310000</v>
      </c>
      <c r="N103">
        <f>VLOOKUP(D103,Utilization!$B$9:$E$44,4,FALSE)</f>
        <v>0.9875985727971196</v>
      </c>
      <c r="O103">
        <f t="shared" si="12"/>
        <v>306155.55756710708</v>
      </c>
      <c r="P103">
        <f t="shared" si="13"/>
        <v>3.1858018477326438E-6</v>
      </c>
      <c r="Q103" s="215">
        <v>9.6100354838709681</v>
      </c>
      <c r="R103" s="215">
        <v>485.21</v>
      </c>
      <c r="S103" s="215">
        <v>606.98</v>
      </c>
      <c r="T103" s="215">
        <v>629.79999999999995</v>
      </c>
      <c r="U103" s="215">
        <v>1116.19</v>
      </c>
      <c r="V103" s="215">
        <v>160.11000000000001</v>
      </c>
      <c r="W103" s="215">
        <v>187.88</v>
      </c>
      <c r="X103" s="215">
        <v>10.68</v>
      </c>
      <c r="Y103" s="215">
        <v>4.9399999999999999E-2</v>
      </c>
      <c r="Z103" s="215">
        <v>21.51</v>
      </c>
      <c r="AA103" s="215">
        <v>28.66</v>
      </c>
      <c r="AB103" s="215">
        <v>9</v>
      </c>
      <c r="AC103" s="215">
        <v>7.07</v>
      </c>
      <c r="AD103" s="215">
        <v>22.6</v>
      </c>
      <c r="AE103" s="215">
        <v>370.2</v>
      </c>
      <c r="AF103" s="215">
        <v>1973.4</v>
      </c>
      <c r="AG103" s="215">
        <v>1737.4</v>
      </c>
      <c r="AH103" s="215">
        <v>29.8</v>
      </c>
      <c r="AI103" s="215">
        <v>85.2</v>
      </c>
      <c r="AJ103" s="215">
        <v>5</v>
      </c>
      <c r="AK103" s="266">
        <v>0</v>
      </c>
      <c r="AL103" s="311">
        <f>AK103*Conversions!$D$4*1000000</f>
        <v>0</v>
      </c>
      <c r="AM103" s="225">
        <v>0</v>
      </c>
      <c r="AN103" s="302">
        <f>AK103*Conversions!$D$5*1000000</f>
        <v>0</v>
      </c>
      <c r="AO103">
        <f t="shared" si="14"/>
        <v>131</v>
      </c>
    </row>
    <row r="104" spans="1:41" x14ac:dyDescent="0.25">
      <c r="A104">
        <v>8071911</v>
      </c>
      <c r="B104">
        <v>2</v>
      </c>
      <c r="C104" t="s">
        <v>683</v>
      </c>
      <c r="D104" t="s">
        <v>803</v>
      </c>
      <c r="E104" t="s">
        <v>809</v>
      </c>
      <c r="F104" t="s">
        <v>810</v>
      </c>
      <c r="G104">
        <v>34.200000000000003</v>
      </c>
      <c r="H104">
        <v>-97.1</v>
      </c>
      <c r="I104" s="225">
        <v>91500</v>
      </c>
      <c r="J104" s="225">
        <v>32000</v>
      </c>
      <c r="K104" s="225">
        <v>0</v>
      </c>
      <c r="L104" s="225">
        <v>12000</v>
      </c>
      <c r="M104">
        <v>91500</v>
      </c>
      <c r="N104">
        <f>VLOOKUP(D104,Utilization!$B$9:$E$44,4,FALSE)</f>
        <v>0.97695410024966389</v>
      </c>
      <c r="O104">
        <f t="shared" si="12"/>
        <v>89391.300172844247</v>
      </c>
      <c r="P104">
        <f t="shared" si="13"/>
        <v>1.0677093991799605E-5</v>
      </c>
      <c r="Q104" s="215">
        <v>9.6614535519125688</v>
      </c>
      <c r="R104" s="215">
        <v>213.92</v>
      </c>
      <c r="S104" s="215">
        <v>413.22</v>
      </c>
      <c r="T104" s="215">
        <v>66.3</v>
      </c>
      <c r="U104" s="215">
        <v>531.89</v>
      </c>
      <c r="V104" s="215">
        <v>102.57</v>
      </c>
      <c r="W104" s="215">
        <v>102.58</v>
      </c>
      <c r="X104" s="215">
        <v>1.49</v>
      </c>
      <c r="Y104" s="215">
        <v>1.2E-2</v>
      </c>
      <c r="Z104" s="215">
        <v>5.96</v>
      </c>
      <c r="AA104" s="215">
        <v>11.12</v>
      </c>
      <c r="AB104" s="215">
        <v>4.9300000000000004E-3</v>
      </c>
      <c r="AC104" s="215">
        <v>0.6</v>
      </c>
      <c r="AD104" s="215">
        <v>1.38E-2</v>
      </c>
      <c r="AE104" s="215">
        <v>0</v>
      </c>
      <c r="AF104" s="215">
        <v>602</v>
      </c>
      <c r="AG104" s="215">
        <v>2060</v>
      </c>
      <c r="AH104" s="215">
        <v>0</v>
      </c>
      <c r="AI104" s="215">
        <v>12</v>
      </c>
      <c r="AJ104" s="215">
        <v>465</v>
      </c>
      <c r="AK104" s="266">
        <v>0</v>
      </c>
      <c r="AL104" s="311">
        <f>AK104*Conversions!$D$4*1000000</f>
        <v>0</v>
      </c>
      <c r="AM104" s="225">
        <v>0</v>
      </c>
      <c r="AN104" s="302">
        <f>AK104*Conversions!$D$5*1000000</f>
        <v>0</v>
      </c>
      <c r="AO104">
        <f t="shared" si="14"/>
        <v>36</v>
      </c>
    </row>
    <row r="105" spans="1:41" x14ac:dyDescent="0.25">
      <c r="A105">
        <v>5650711</v>
      </c>
      <c r="B105">
        <v>3</v>
      </c>
      <c r="C105" t="s">
        <v>625</v>
      </c>
      <c r="D105" t="s">
        <v>828</v>
      </c>
      <c r="E105" t="s">
        <v>848</v>
      </c>
      <c r="F105" t="s">
        <v>849</v>
      </c>
      <c r="G105">
        <v>29.88</v>
      </c>
      <c r="H105">
        <v>-93.95</v>
      </c>
      <c r="I105" s="225">
        <v>325000</v>
      </c>
      <c r="J105" s="225">
        <v>138000</v>
      </c>
      <c r="K105" s="225">
        <v>96000</v>
      </c>
      <c r="L105" s="225">
        <v>20000</v>
      </c>
      <c r="M105">
        <v>285000</v>
      </c>
      <c r="N105">
        <f>VLOOKUP(D105,Utilization!$B$9:$E$44,4,FALSE)</f>
        <v>0.9875985727971196</v>
      </c>
      <c r="O105">
        <f t="shared" si="12"/>
        <v>281465.59324717906</v>
      </c>
      <c r="P105">
        <f t="shared" si="13"/>
        <v>3.4652581501653321E-6</v>
      </c>
      <c r="Q105" s="215">
        <v>9.6966153846153844</v>
      </c>
      <c r="R105" s="215">
        <v>335.72</v>
      </c>
      <c r="S105" s="215">
        <v>566.47</v>
      </c>
      <c r="T105" s="215">
        <v>129.16</v>
      </c>
      <c r="U105" s="215">
        <v>1977.18</v>
      </c>
      <c r="V105" s="215">
        <v>286.8</v>
      </c>
      <c r="W105" s="215">
        <v>295.02999999999997</v>
      </c>
      <c r="X105" s="215">
        <v>8.85</v>
      </c>
      <c r="Y105" s="215">
        <v>1.4300000000000001E-4</v>
      </c>
      <c r="Z105" s="215">
        <v>54.75</v>
      </c>
      <c r="AA105" s="215">
        <v>54.04</v>
      </c>
      <c r="AB105" s="215">
        <v>35.200000000000003</v>
      </c>
      <c r="AC105" s="215">
        <v>3.2000000000000001E-2</v>
      </c>
      <c r="AD105" s="215">
        <v>0.11</v>
      </c>
      <c r="AE105" s="215">
        <v>641</v>
      </c>
      <c r="AF105" s="215">
        <v>8332</v>
      </c>
      <c r="AG105" s="215">
        <v>3085.6</v>
      </c>
      <c r="AH105" s="215">
        <v>32</v>
      </c>
      <c r="AI105" s="215">
        <v>4.4000000000000004</v>
      </c>
      <c r="AJ105" s="215">
        <v>0</v>
      </c>
      <c r="AK105" s="266">
        <v>0</v>
      </c>
      <c r="AL105" s="311">
        <f>AK105*Conversions!$D$4*1000000</f>
        <v>0</v>
      </c>
      <c r="AM105" s="225">
        <v>0</v>
      </c>
      <c r="AN105" s="302">
        <f>AK105*Conversions!$D$5*1000000</f>
        <v>0</v>
      </c>
      <c r="AO105">
        <f t="shared" si="14"/>
        <v>131</v>
      </c>
    </row>
    <row r="106" spans="1:41" x14ac:dyDescent="0.25">
      <c r="A106">
        <v>4031311</v>
      </c>
      <c r="B106">
        <v>3</v>
      </c>
      <c r="C106" t="s">
        <v>625</v>
      </c>
      <c r="D106" t="s">
        <v>828</v>
      </c>
      <c r="E106" t="s">
        <v>835</v>
      </c>
      <c r="F106" t="s">
        <v>836</v>
      </c>
      <c r="G106">
        <v>27.8</v>
      </c>
      <c r="H106">
        <v>-97.42</v>
      </c>
      <c r="I106" s="225">
        <v>279300</v>
      </c>
      <c r="J106" s="225">
        <v>83125</v>
      </c>
      <c r="K106" s="225">
        <v>11970</v>
      </c>
      <c r="L106" s="225">
        <v>11700</v>
      </c>
      <c r="M106">
        <v>279300</v>
      </c>
      <c r="N106">
        <f>VLOOKUP(D106,Utilization!$B$9:$E$44,4,FALSE)</f>
        <v>0.9875985727971196</v>
      </c>
      <c r="O106">
        <f t="shared" si="12"/>
        <v>275836.28138223552</v>
      </c>
      <c r="P106">
        <f t="shared" si="13"/>
        <v>3.5359777042503386E-6</v>
      </c>
      <c r="Q106" s="215">
        <v>9.7194056569996423</v>
      </c>
      <c r="R106" s="215">
        <v>89.22</v>
      </c>
      <c r="S106" s="215">
        <v>117</v>
      </c>
      <c r="T106" s="215">
        <v>28.14</v>
      </c>
      <c r="U106" s="215">
        <v>130.97999999999999</v>
      </c>
      <c r="V106" s="215">
        <v>122.13</v>
      </c>
      <c r="W106" s="215">
        <v>122.13</v>
      </c>
      <c r="X106" s="215">
        <v>3.9</v>
      </c>
      <c r="Y106" s="215">
        <v>3.48E-4</v>
      </c>
      <c r="Z106" s="215">
        <v>4.8099999999999996</v>
      </c>
      <c r="AA106" s="215">
        <v>6.32</v>
      </c>
      <c r="AB106" s="215">
        <v>4.4200000000000001E-4</v>
      </c>
      <c r="AC106" s="215">
        <v>7.7899999999999997E-2</v>
      </c>
      <c r="AD106" s="215">
        <v>0.28000000000000003</v>
      </c>
      <c r="AE106" s="215">
        <v>0</v>
      </c>
      <c r="AF106" s="215">
        <v>287.39999999999998</v>
      </c>
      <c r="AG106" s="215">
        <v>2004</v>
      </c>
      <c r="AH106" s="215">
        <v>0</v>
      </c>
      <c r="AI106" s="215">
        <v>51</v>
      </c>
      <c r="AJ106" s="215">
        <v>0</v>
      </c>
      <c r="AK106" s="266">
        <v>0</v>
      </c>
      <c r="AL106" s="311">
        <f>AK106*Conversions!$D$4*1000000</f>
        <v>0</v>
      </c>
      <c r="AM106" s="225">
        <v>0</v>
      </c>
      <c r="AN106" s="302">
        <f>AK106*Conversions!$D$5*1000000</f>
        <v>0</v>
      </c>
      <c r="AO106">
        <f t="shared" si="14"/>
        <v>131</v>
      </c>
    </row>
    <row r="107" spans="1:41" x14ac:dyDescent="0.25">
      <c r="A107">
        <v>8066611</v>
      </c>
      <c r="B107">
        <v>2</v>
      </c>
      <c r="C107" t="s">
        <v>683</v>
      </c>
      <c r="D107" t="s">
        <v>698</v>
      </c>
      <c r="E107" t="s">
        <v>699</v>
      </c>
      <c r="F107" t="s">
        <v>700</v>
      </c>
      <c r="G107">
        <v>37.04</v>
      </c>
      <c r="H107">
        <v>-95.6</v>
      </c>
      <c r="I107" s="225">
        <v>120000</v>
      </c>
      <c r="J107" s="225">
        <v>46000</v>
      </c>
      <c r="K107" s="225">
        <v>24000</v>
      </c>
      <c r="L107" s="225">
        <v>0</v>
      </c>
      <c r="M107">
        <v>120000</v>
      </c>
      <c r="N107">
        <f>VLOOKUP(D107,Utilization!$B$9:$E$44,4,FALSE)</f>
        <v>1</v>
      </c>
      <c r="O107">
        <f t="shared" si="12"/>
        <v>120000</v>
      </c>
      <c r="P107">
        <f t="shared" si="13"/>
        <v>8.3333333333333337E-6</v>
      </c>
      <c r="Q107" s="215">
        <v>9.7294666666666654</v>
      </c>
      <c r="R107" s="215">
        <v>523.21</v>
      </c>
      <c r="S107" s="215">
        <v>874.07</v>
      </c>
      <c r="T107" s="215">
        <v>451.31</v>
      </c>
      <c r="U107" s="215">
        <v>675.04</v>
      </c>
      <c r="V107" s="215">
        <v>196.01</v>
      </c>
      <c r="W107" s="215">
        <v>196.01</v>
      </c>
      <c r="X107" s="215">
        <v>17.760000000000002</v>
      </c>
      <c r="Y107" s="215">
        <v>2.3900000000000002E-3</v>
      </c>
      <c r="Z107" s="215">
        <v>9.09</v>
      </c>
      <c r="AA107" s="215">
        <v>14.65</v>
      </c>
      <c r="AB107" s="215">
        <v>2.4500000000000002</v>
      </c>
      <c r="AC107" s="215">
        <v>2.5099999999999998</v>
      </c>
      <c r="AD107" s="215">
        <v>1.71</v>
      </c>
      <c r="AE107" s="215">
        <v>0</v>
      </c>
      <c r="AF107" s="215">
        <v>5301.52</v>
      </c>
      <c r="AG107" s="215">
        <v>666.4</v>
      </c>
      <c r="AH107" s="215">
        <v>0</v>
      </c>
      <c r="AI107" s="215">
        <v>0</v>
      </c>
      <c r="AJ107" s="215">
        <v>0</v>
      </c>
      <c r="AK107" s="266">
        <v>0</v>
      </c>
      <c r="AL107" s="311">
        <f>AK107*Conversions!$D$4*1000000</f>
        <v>0</v>
      </c>
      <c r="AM107" s="225">
        <v>0</v>
      </c>
      <c r="AN107" s="302">
        <f>AK107*Conversions!$D$5*1000000</f>
        <v>0</v>
      </c>
      <c r="AO107">
        <f t="shared" si="14"/>
        <v>131</v>
      </c>
    </row>
    <row r="108" spans="1:41" x14ac:dyDescent="0.25">
      <c r="A108">
        <v>8020811</v>
      </c>
      <c r="B108">
        <v>3</v>
      </c>
      <c r="C108" t="s">
        <v>625</v>
      </c>
      <c r="D108" t="s">
        <v>709</v>
      </c>
      <c r="E108" t="s">
        <v>732</v>
      </c>
      <c r="F108" t="s">
        <v>725</v>
      </c>
      <c r="G108">
        <v>30</v>
      </c>
      <c r="H108">
        <v>-90.4</v>
      </c>
      <c r="I108" s="225">
        <v>220000</v>
      </c>
      <c r="J108" s="225">
        <v>78000</v>
      </c>
      <c r="K108" s="225">
        <v>21380</v>
      </c>
      <c r="L108" s="225">
        <v>31000</v>
      </c>
      <c r="M108">
        <v>220000</v>
      </c>
      <c r="N108">
        <f>VLOOKUP(D108,Utilization!$B$9:$E$44,4,FALSE)</f>
        <v>0.98291670808070764</v>
      </c>
      <c r="O108">
        <f t="shared" si="12"/>
        <v>216241.67577775568</v>
      </c>
      <c r="P108">
        <f t="shared" si="13"/>
        <v>4.4678032185486709E-6</v>
      </c>
      <c r="Q108" s="215">
        <v>9.8505909090909096</v>
      </c>
      <c r="R108" s="215">
        <v>587.26</v>
      </c>
      <c r="S108" s="215">
        <v>949.14</v>
      </c>
      <c r="T108" s="215">
        <v>271.58</v>
      </c>
      <c r="U108" s="215">
        <v>1823.2</v>
      </c>
      <c r="V108" s="215">
        <v>294.56</v>
      </c>
      <c r="W108" s="215">
        <v>298.94</v>
      </c>
      <c r="X108" s="215">
        <v>21.4</v>
      </c>
      <c r="Y108" s="215">
        <v>5.8399999999999997E-3</v>
      </c>
      <c r="Z108" s="215">
        <v>37.79</v>
      </c>
      <c r="AA108" s="215">
        <v>79.17</v>
      </c>
      <c r="AB108" s="215">
        <v>105.68</v>
      </c>
      <c r="AC108" s="215">
        <v>6.1799999999999995E-4</v>
      </c>
      <c r="AD108" s="215">
        <v>0</v>
      </c>
      <c r="AE108" s="215">
        <v>24.99</v>
      </c>
      <c r="AF108" s="215">
        <v>51.35</v>
      </c>
      <c r="AG108" s="215">
        <v>4047.03</v>
      </c>
      <c r="AH108" s="215">
        <v>0.46</v>
      </c>
      <c r="AI108" s="215">
        <v>5963.54</v>
      </c>
      <c r="AJ108" s="215">
        <v>27.24</v>
      </c>
      <c r="AK108" s="266">
        <v>0</v>
      </c>
      <c r="AL108" s="311">
        <f>AK108*Conversions!$D$4*1000000</f>
        <v>0</v>
      </c>
      <c r="AM108" s="225">
        <v>0</v>
      </c>
      <c r="AN108" s="302">
        <f>AK108*Conversions!$D$5*1000000</f>
        <v>0</v>
      </c>
      <c r="AO108">
        <f t="shared" si="14"/>
        <v>131</v>
      </c>
    </row>
    <row r="109" spans="1:41" x14ac:dyDescent="0.25">
      <c r="A109">
        <v>5001611</v>
      </c>
      <c r="B109">
        <v>5</v>
      </c>
      <c r="C109" t="s">
        <v>617</v>
      </c>
      <c r="D109" t="s">
        <v>880</v>
      </c>
      <c r="E109" t="s">
        <v>887</v>
      </c>
      <c r="F109" t="s">
        <v>882</v>
      </c>
      <c r="G109">
        <v>48.46</v>
      </c>
      <c r="H109">
        <v>-122.56</v>
      </c>
      <c r="I109" s="225">
        <v>148600</v>
      </c>
      <c r="J109" s="225">
        <v>65500</v>
      </c>
      <c r="K109" s="225">
        <v>25700</v>
      </c>
      <c r="L109" s="225">
        <v>0</v>
      </c>
      <c r="M109">
        <v>148600</v>
      </c>
      <c r="N109">
        <f>VLOOKUP(D109,Utilization!$B$9:$E$44,4,FALSE)</f>
        <v>1</v>
      </c>
      <c r="O109">
        <f t="shared" si="12"/>
        <v>148600</v>
      </c>
      <c r="P109">
        <f t="shared" si="13"/>
        <v>6.7294751009421264E-6</v>
      </c>
      <c r="Q109" s="215">
        <v>9.9320794078061905</v>
      </c>
      <c r="R109" s="215">
        <v>485.31</v>
      </c>
      <c r="S109" s="215">
        <v>401.09</v>
      </c>
      <c r="T109" s="215">
        <v>359.02</v>
      </c>
      <c r="U109" s="215">
        <v>1100.5899999999999</v>
      </c>
      <c r="V109" s="215">
        <v>0</v>
      </c>
      <c r="W109" s="215">
        <v>235.75</v>
      </c>
      <c r="X109" s="215">
        <v>0</v>
      </c>
      <c r="Y109" s="215">
        <v>1.9E-2</v>
      </c>
      <c r="Z109" s="215">
        <v>0</v>
      </c>
      <c r="AA109" s="215">
        <v>0</v>
      </c>
      <c r="AB109" s="215">
        <v>6</v>
      </c>
      <c r="AC109" s="215">
        <v>3.3</v>
      </c>
      <c r="AD109" s="215">
        <v>2</v>
      </c>
      <c r="AE109" s="215">
        <v>176</v>
      </c>
      <c r="AF109" s="215">
        <v>1261</v>
      </c>
      <c r="AG109" s="215">
        <v>514</v>
      </c>
      <c r="AH109" s="215">
        <v>2</v>
      </c>
      <c r="AI109" s="215">
        <v>22</v>
      </c>
      <c r="AJ109" s="215">
        <v>260</v>
      </c>
      <c r="AK109" s="266">
        <v>0</v>
      </c>
      <c r="AL109" s="311">
        <f>AK109*Conversions!$D$4*1000000</f>
        <v>0</v>
      </c>
      <c r="AM109" s="225">
        <v>0</v>
      </c>
      <c r="AN109" s="302">
        <f>AK109*Conversions!$D$5*1000000</f>
        <v>0</v>
      </c>
      <c r="AO109">
        <f t="shared" si="14"/>
        <v>131</v>
      </c>
    </row>
    <row r="110" spans="1:41" x14ac:dyDescent="0.25">
      <c r="A110">
        <v>8066911</v>
      </c>
      <c r="B110">
        <v>2</v>
      </c>
      <c r="C110" t="s">
        <v>683</v>
      </c>
      <c r="D110" t="s">
        <v>698</v>
      </c>
      <c r="E110" t="s">
        <v>701</v>
      </c>
      <c r="F110" t="s">
        <v>633</v>
      </c>
      <c r="G110">
        <v>37.79</v>
      </c>
      <c r="H110">
        <v>-96.86</v>
      </c>
      <c r="I110" s="225">
        <v>133000</v>
      </c>
      <c r="J110" s="225">
        <v>60800</v>
      </c>
      <c r="K110" s="225">
        <v>17100</v>
      </c>
      <c r="L110" s="225">
        <v>0</v>
      </c>
      <c r="M110">
        <v>135000</v>
      </c>
      <c r="N110">
        <f>VLOOKUP(D110,Utilization!$B$9:$E$44,4,FALSE)</f>
        <v>1</v>
      </c>
      <c r="O110">
        <f t="shared" si="12"/>
        <v>135000</v>
      </c>
      <c r="P110">
        <f t="shared" si="13"/>
        <v>7.4074074074074075E-6</v>
      </c>
      <c r="Q110" s="215">
        <v>9.950443609022555</v>
      </c>
      <c r="R110" s="215">
        <v>684.88</v>
      </c>
      <c r="S110" s="215">
        <v>845.55</v>
      </c>
      <c r="T110" s="215">
        <v>1475.48</v>
      </c>
      <c r="U110" s="215">
        <v>1105.1300000000001</v>
      </c>
      <c r="V110" s="215">
        <v>166.85</v>
      </c>
      <c r="W110" s="215">
        <v>166.85</v>
      </c>
      <c r="X110" s="215">
        <v>23.97</v>
      </c>
      <c r="Y110" s="215">
        <v>1.3699999999999999E-3</v>
      </c>
      <c r="Z110" s="215">
        <v>16.43</v>
      </c>
      <c r="AA110" s="215">
        <v>23.01</v>
      </c>
      <c r="AB110" s="215">
        <v>12</v>
      </c>
      <c r="AC110" s="215">
        <v>0.3</v>
      </c>
      <c r="AD110" s="215">
        <v>0.78</v>
      </c>
      <c r="AE110" s="215">
        <v>639.4</v>
      </c>
      <c r="AF110" s="215">
        <v>6358</v>
      </c>
      <c r="AG110" s="215">
        <v>11026.04</v>
      </c>
      <c r="AH110" s="215">
        <v>342.06</v>
      </c>
      <c r="AI110" s="215">
        <v>108.22</v>
      </c>
      <c r="AJ110" s="215">
        <v>0</v>
      </c>
      <c r="AK110" s="266">
        <v>0</v>
      </c>
      <c r="AL110" s="311">
        <f>AK110*Conversions!$D$4*1000000</f>
        <v>0</v>
      </c>
      <c r="AM110" s="225">
        <v>0</v>
      </c>
      <c r="AN110" s="302">
        <f>AK110*Conversions!$D$5*1000000</f>
        <v>0</v>
      </c>
      <c r="AO110">
        <f t="shared" si="14"/>
        <v>131</v>
      </c>
    </row>
    <row r="111" spans="1:41" x14ac:dyDescent="0.25">
      <c r="A111">
        <v>8239611</v>
      </c>
      <c r="B111">
        <v>3</v>
      </c>
      <c r="C111" t="s">
        <v>625</v>
      </c>
      <c r="D111" t="s">
        <v>709</v>
      </c>
      <c r="E111" t="s">
        <v>735</v>
      </c>
      <c r="F111" t="s">
        <v>736</v>
      </c>
      <c r="G111">
        <v>30.1</v>
      </c>
      <c r="H111">
        <v>-90.89</v>
      </c>
      <c r="I111" s="225">
        <v>227000</v>
      </c>
      <c r="J111" s="225">
        <v>104000</v>
      </c>
      <c r="K111" s="225">
        <v>0</v>
      </c>
      <c r="L111" s="225">
        <v>51780</v>
      </c>
      <c r="M111">
        <v>227000</v>
      </c>
      <c r="N111">
        <f>VLOOKUP(D111,Utilization!$B$9:$E$44,4,FALSE)</f>
        <v>0.98291670808070764</v>
      </c>
      <c r="O111">
        <f t="shared" si="12"/>
        <v>223122.09273432064</v>
      </c>
      <c r="P111">
        <f t="shared" si="13"/>
        <v>4.3300295510163335E-6</v>
      </c>
      <c r="Q111" s="215">
        <v>9.9919295154185015</v>
      </c>
      <c r="R111" s="215">
        <v>511.86</v>
      </c>
      <c r="S111" s="215">
        <v>420.37</v>
      </c>
      <c r="T111" s="215">
        <v>202.09</v>
      </c>
      <c r="U111" s="215">
        <v>1154.04</v>
      </c>
      <c r="V111" s="215">
        <v>309</v>
      </c>
      <c r="W111" s="215">
        <v>550.17999999999995</v>
      </c>
      <c r="X111" s="215">
        <v>9.25</v>
      </c>
      <c r="Y111" s="215">
        <v>3.2199999999999999E-2</v>
      </c>
      <c r="Z111" s="215">
        <v>54.91</v>
      </c>
      <c r="AA111" s="215">
        <v>68.94</v>
      </c>
      <c r="AB111" s="215">
        <v>14.04</v>
      </c>
      <c r="AC111" s="215">
        <v>1.48</v>
      </c>
      <c r="AD111" s="215">
        <v>6.41</v>
      </c>
      <c r="AE111" s="215">
        <v>508.37</v>
      </c>
      <c r="AF111" s="215">
        <v>1316.33</v>
      </c>
      <c r="AG111" s="215">
        <v>4806.96</v>
      </c>
      <c r="AH111" s="215">
        <v>43.1</v>
      </c>
      <c r="AI111" s="215">
        <v>27.65</v>
      </c>
      <c r="AJ111" s="215">
        <v>0</v>
      </c>
      <c r="AK111" s="266">
        <v>0</v>
      </c>
      <c r="AL111" s="311">
        <f>AK111*Conversions!$D$4*1000000</f>
        <v>0</v>
      </c>
      <c r="AM111" s="225">
        <v>0</v>
      </c>
      <c r="AN111" s="302">
        <f>AK111*Conversions!$D$5*1000000</f>
        <v>0</v>
      </c>
      <c r="AO111">
        <f t="shared" si="14"/>
        <v>131</v>
      </c>
    </row>
    <row r="112" spans="1:41" x14ac:dyDescent="0.25">
      <c r="A112">
        <v>6152811</v>
      </c>
      <c r="B112">
        <v>3</v>
      </c>
      <c r="C112" t="s">
        <v>625</v>
      </c>
      <c r="D112" t="s">
        <v>828</v>
      </c>
      <c r="E112" t="s">
        <v>862</v>
      </c>
      <c r="F112" t="s">
        <v>863</v>
      </c>
      <c r="G112">
        <v>28.45</v>
      </c>
      <c r="H112">
        <v>-98.19</v>
      </c>
      <c r="I112" s="225">
        <v>100000</v>
      </c>
      <c r="J112" s="225">
        <v>35000</v>
      </c>
      <c r="K112" s="225">
        <v>0</v>
      </c>
      <c r="L112" s="225">
        <v>0</v>
      </c>
      <c r="M112">
        <v>100000</v>
      </c>
      <c r="N112">
        <f>VLOOKUP(D112,Utilization!$B$9:$E$44,4,FALSE)</f>
        <v>0.9875985727971196</v>
      </c>
      <c r="O112">
        <f t="shared" si="12"/>
        <v>98759.857279711956</v>
      </c>
      <c r="P112">
        <f t="shared" si="13"/>
        <v>9.8759857279711965E-6</v>
      </c>
      <c r="Q112" s="215">
        <v>10.106100000000001</v>
      </c>
      <c r="R112" s="215">
        <v>330.85</v>
      </c>
      <c r="S112" s="215">
        <v>587.91</v>
      </c>
      <c r="T112" s="215">
        <v>15.63</v>
      </c>
      <c r="U112" s="215">
        <v>353.65</v>
      </c>
      <c r="V112" s="215">
        <v>53.43</v>
      </c>
      <c r="W112" s="215">
        <v>60.08</v>
      </c>
      <c r="X112" s="215">
        <v>3.59</v>
      </c>
      <c r="Y112" s="215">
        <v>1.03E-2</v>
      </c>
      <c r="Z112" s="215">
        <v>6.35</v>
      </c>
      <c r="AA112" s="215">
        <v>11.3</v>
      </c>
      <c r="AB112" s="215">
        <v>2</v>
      </c>
      <c r="AC112" s="215">
        <v>3.74</v>
      </c>
      <c r="AD112" s="215">
        <v>6.8</v>
      </c>
      <c r="AE112" s="215">
        <v>75.400000000000006</v>
      </c>
      <c r="AF112" s="215">
        <v>696</v>
      </c>
      <c r="AG112" s="215">
        <v>933.4</v>
      </c>
      <c r="AH112" s="215">
        <v>6</v>
      </c>
      <c r="AI112" s="215">
        <v>27.4</v>
      </c>
      <c r="AJ112" s="215">
        <v>260</v>
      </c>
      <c r="AK112" s="266">
        <v>0</v>
      </c>
      <c r="AL112" s="311">
        <f>AK112*Conversions!$D$4*1000000</f>
        <v>0</v>
      </c>
      <c r="AM112" s="225">
        <v>0</v>
      </c>
      <c r="AN112" s="302">
        <f>AK112*Conversions!$D$5*1000000</f>
        <v>0</v>
      </c>
      <c r="AO112">
        <f t="shared" si="14"/>
        <v>131</v>
      </c>
    </row>
    <row r="113" spans="1:41" x14ac:dyDescent="0.25">
      <c r="A113">
        <v>7360711</v>
      </c>
      <c r="B113">
        <v>2</v>
      </c>
      <c r="C113" t="s">
        <v>683</v>
      </c>
      <c r="D113" t="s">
        <v>684</v>
      </c>
      <c r="E113" t="s">
        <v>685</v>
      </c>
      <c r="F113" t="s">
        <v>686</v>
      </c>
      <c r="G113">
        <v>41.41</v>
      </c>
      <c r="H113">
        <v>-88.18</v>
      </c>
      <c r="I113" s="225">
        <v>238000</v>
      </c>
      <c r="J113" s="225">
        <v>121500</v>
      </c>
      <c r="K113" s="225">
        <v>56000</v>
      </c>
      <c r="L113" s="225">
        <v>0</v>
      </c>
      <c r="M113">
        <v>238000</v>
      </c>
      <c r="N113">
        <f>VLOOKUP(D113,Utilization!$B$9:$E$44,4,FALSE)</f>
        <v>0.94248151191454399</v>
      </c>
      <c r="O113">
        <f t="shared" si="12"/>
        <v>224310.59983566147</v>
      </c>
      <c r="P113">
        <f t="shared" si="13"/>
        <v>3.9600063525821178E-6</v>
      </c>
      <c r="Q113" s="215">
        <v>10.221638655462185</v>
      </c>
      <c r="R113" s="215">
        <v>1482.05</v>
      </c>
      <c r="S113" s="215">
        <v>429.23</v>
      </c>
      <c r="T113" s="215">
        <v>1317.16</v>
      </c>
      <c r="U113" s="215">
        <v>1719.82</v>
      </c>
      <c r="V113" s="215">
        <v>249.2</v>
      </c>
      <c r="W113" s="215">
        <v>249.2</v>
      </c>
      <c r="X113" s="215">
        <v>206.69</v>
      </c>
      <c r="Y113" s="215">
        <v>0</v>
      </c>
      <c r="Z113" s="215">
        <v>10.93</v>
      </c>
      <c r="AA113" s="215">
        <v>15.5</v>
      </c>
      <c r="AB113" s="215">
        <v>10.42</v>
      </c>
      <c r="AC113" s="215">
        <v>0.84</v>
      </c>
      <c r="AD113" s="215">
        <v>0</v>
      </c>
      <c r="AE113" s="215">
        <v>62.84</v>
      </c>
      <c r="AF113" s="215">
        <v>1260.45</v>
      </c>
      <c r="AG113" s="215">
        <v>1688.51</v>
      </c>
      <c r="AH113" s="215">
        <v>10.050000000000001</v>
      </c>
      <c r="AI113" s="215">
        <v>100.68</v>
      </c>
      <c r="AJ113" s="215">
        <v>61</v>
      </c>
      <c r="AK113" s="266">
        <v>0</v>
      </c>
      <c r="AL113" s="311">
        <f>AK113*Conversions!$D$4*1000000</f>
        <v>0</v>
      </c>
      <c r="AM113" s="225">
        <v>0</v>
      </c>
      <c r="AN113" s="302">
        <f>AK113*Conversions!$D$5*1000000</f>
        <v>0</v>
      </c>
      <c r="AO113">
        <f t="shared" si="14"/>
        <v>131</v>
      </c>
    </row>
    <row r="114" spans="1:41" x14ac:dyDescent="0.25">
      <c r="A114" s="225">
        <v>5682111</v>
      </c>
      <c r="B114" s="225">
        <v>5</v>
      </c>
      <c r="C114" s="225" t="s">
        <v>617</v>
      </c>
      <c r="D114" s="225" t="s">
        <v>634</v>
      </c>
      <c r="E114" s="225" t="s">
        <v>652</v>
      </c>
      <c r="F114" s="225" t="s">
        <v>640</v>
      </c>
      <c r="G114" s="225">
        <v>33.79</v>
      </c>
      <c r="H114" s="225">
        <v>-118.23</v>
      </c>
      <c r="I114" s="225">
        <v>135000</v>
      </c>
      <c r="J114" s="225">
        <v>46000</v>
      </c>
      <c r="K114" s="225">
        <v>28000</v>
      </c>
      <c r="L114" s="225">
        <v>0</v>
      </c>
      <c r="M114" s="225">
        <v>135000</v>
      </c>
      <c r="N114" s="225">
        <f>VLOOKUP(D114,Utilization!$B$9:$E$44,4,FALSE)</f>
        <v>0.95687171402016358</v>
      </c>
      <c r="O114" s="225">
        <f t="shared" si="12"/>
        <v>129177.68139272208</v>
      </c>
      <c r="P114" s="225">
        <f t="shared" si="13"/>
        <v>7.0879386223715824E-6</v>
      </c>
      <c r="Q114" s="215">
        <v>10.248518518518518</v>
      </c>
      <c r="R114" s="266">
        <v>5.28</v>
      </c>
      <c r="S114" s="266">
        <v>12.68</v>
      </c>
      <c r="T114" s="266">
        <v>0.15</v>
      </c>
      <c r="U114" s="266">
        <v>4.78</v>
      </c>
      <c r="V114" s="266">
        <v>0.61</v>
      </c>
      <c r="W114" s="266">
        <v>0.61</v>
      </c>
      <c r="X114" s="266">
        <v>0.26</v>
      </c>
      <c r="Y114" s="266">
        <v>3.6999999999999998E-5</v>
      </c>
      <c r="Z114" s="266">
        <v>0.15</v>
      </c>
      <c r="AA114" s="266">
        <v>0.11</v>
      </c>
      <c r="AB114" s="266">
        <v>2.48E-6</v>
      </c>
      <c r="AC114" s="266">
        <v>2.9100000000000001E-2</v>
      </c>
      <c r="AD114" s="266">
        <v>1.15E-2</v>
      </c>
      <c r="AE114" s="266">
        <v>0</v>
      </c>
      <c r="AF114" s="266">
        <v>2.5499999999999998</v>
      </c>
      <c r="AG114" s="266">
        <v>51</v>
      </c>
      <c r="AH114" s="266">
        <v>0</v>
      </c>
      <c r="AI114" s="266">
        <v>4.2999999999999999E-4</v>
      </c>
      <c r="AJ114" s="266">
        <v>0</v>
      </c>
      <c r="AK114" s="266">
        <v>96.129125999999999</v>
      </c>
      <c r="AL114" s="314">
        <f>AK114*Conversions!$D$4*1000000</f>
        <v>5941837.4071859987</v>
      </c>
      <c r="AM114" s="266">
        <v>15.48875</v>
      </c>
      <c r="AN114" s="313">
        <f>AK114*Conversions!$D$5*1000000</f>
        <v>10.319461676100001</v>
      </c>
      <c r="AO114">
        <f t="shared" si="14"/>
        <v>131</v>
      </c>
    </row>
    <row r="115" spans="1:41" x14ac:dyDescent="0.25">
      <c r="A115">
        <v>4924411</v>
      </c>
      <c r="B115">
        <v>3</v>
      </c>
      <c r="C115" t="s">
        <v>625</v>
      </c>
      <c r="D115" t="s">
        <v>828</v>
      </c>
      <c r="E115" t="s">
        <v>851</v>
      </c>
      <c r="F115" t="s">
        <v>852</v>
      </c>
      <c r="G115">
        <v>29.73</v>
      </c>
      <c r="H115">
        <v>-95</v>
      </c>
      <c r="I115" s="225">
        <v>560500</v>
      </c>
      <c r="J115" s="225">
        <v>286000</v>
      </c>
      <c r="K115" s="225">
        <v>90000</v>
      </c>
      <c r="L115" s="225">
        <v>26500</v>
      </c>
      <c r="M115">
        <v>560500</v>
      </c>
      <c r="N115">
        <f>VLOOKUP(D115,Utilization!$B$9:$E$44,4,FALSE)</f>
        <v>0.9875985727971196</v>
      </c>
      <c r="O115">
        <f t="shared" si="12"/>
        <v>553549.0000527855</v>
      </c>
      <c r="P115">
        <f t="shared" si="13"/>
        <v>1.7619956695755924E-6</v>
      </c>
      <c r="Q115" s="215">
        <v>10.250669045495092</v>
      </c>
      <c r="R115" s="215">
        <v>1311.63</v>
      </c>
      <c r="S115" s="215">
        <v>1785.54</v>
      </c>
      <c r="T115" s="215">
        <v>1567.98</v>
      </c>
      <c r="U115" s="215">
        <v>1846.61</v>
      </c>
      <c r="V115" s="215">
        <v>775.32</v>
      </c>
      <c r="W115" s="215">
        <v>916.67</v>
      </c>
      <c r="X115" s="215">
        <v>62.69</v>
      </c>
      <c r="Y115" s="215">
        <v>0.33</v>
      </c>
      <c r="Z115" s="215">
        <v>79.28</v>
      </c>
      <c r="AA115" s="215">
        <v>129.94</v>
      </c>
      <c r="AB115" s="215">
        <v>155.63</v>
      </c>
      <c r="AC115" s="215">
        <v>148.97</v>
      </c>
      <c r="AD115" s="215">
        <v>95</v>
      </c>
      <c r="AE115" s="215">
        <v>2571.6</v>
      </c>
      <c r="AF115" s="215">
        <v>17637.400000000001</v>
      </c>
      <c r="AG115" s="215">
        <v>15186.4</v>
      </c>
      <c r="AH115" s="215">
        <v>12655.4</v>
      </c>
      <c r="AI115" s="215">
        <v>6446.6</v>
      </c>
      <c r="AJ115" s="215">
        <v>0</v>
      </c>
      <c r="AK115" s="266">
        <v>0</v>
      </c>
      <c r="AL115" s="311">
        <f>AK115*Conversions!$D$4*1000000</f>
        <v>0</v>
      </c>
      <c r="AM115" s="225">
        <v>0</v>
      </c>
      <c r="AN115" s="302">
        <f>AK115*Conversions!$D$5*1000000</f>
        <v>0</v>
      </c>
      <c r="AO115">
        <f t="shared" si="14"/>
        <v>131</v>
      </c>
    </row>
    <row r="116" spans="1:41" x14ac:dyDescent="0.25">
      <c r="A116">
        <v>8498611</v>
      </c>
      <c r="B116">
        <v>2</v>
      </c>
      <c r="C116" t="s">
        <v>683</v>
      </c>
      <c r="D116" t="s">
        <v>747</v>
      </c>
      <c r="E116" t="s">
        <v>750</v>
      </c>
      <c r="F116" t="s">
        <v>751</v>
      </c>
      <c r="G116">
        <v>44.85</v>
      </c>
      <c r="H116">
        <v>-93</v>
      </c>
      <c r="I116" s="225">
        <v>74000</v>
      </c>
      <c r="J116" s="225">
        <v>41300</v>
      </c>
      <c r="K116" s="225">
        <v>0</v>
      </c>
      <c r="L116" s="225">
        <v>0</v>
      </c>
      <c r="M116">
        <v>74000</v>
      </c>
      <c r="N116">
        <f>VLOOKUP(D116,Utilization!$B$9:$E$44,4,FALSE)</f>
        <v>1</v>
      </c>
      <c r="O116">
        <f t="shared" si="12"/>
        <v>74000</v>
      </c>
      <c r="P116">
        <f t="shared" si="13"/>
        <v>1.3513513513513513E-5</v>
      </c>
      <c r="Q116" s="215">
        <v>10.294702702702702</v>
      </c>
      <c r="R116" s="215">
        <v>403.16</v>
      </c>
      <c r="S116" s="215">
        <v>516.22</v>
      </c>
      <c r="T116" s="215">
        <v>106.13</v>
      </c>
      <c r="U116" s="215">
        <v>497.44</v>
      </c>
      <c r="V116" s="215">
        <v>157.31</v>
      </c>
      <c r="W116" s="215">
        <v>177.81</v>
      </c>
      <c r="X116" s="215">
        <v>3.42</v>
      </c>
      <c r="Y116" s="215">
        <v>5.3E-3</v>
      </c>
      <c r="Z116" s="215">
        <v>12.61</v>
      </c>
      <c r="AA116" s="215">
        <v>22.75</v>
      </c>
      <c r="AB116" s="215">
        <v>35.67</v>
      </c>
      <c r="AC116" s="215">
        <v>4.58</v>
      </c>
      <c r="AD116" s="215">
        <v>2.8</v>
      </c>
      <c r="AE116" s="215">
        <v>496.08</v>
      </c>
      <c r="AF116" s="215">
        <v>15169.64</v>
      </c>
      <c r="AG116" s="215">
        <v>4116.3500000000004</v>
      </c>
      <c r="AH116" s="215">
        <v>134.69</v>
      </c>
      <c r="AI116" s="215">
        <v>226.56</v>
      </c>
      <c r="AJ116" s="215">
        <v>591.66</v>
      </c>
      <c r="AK116" s="266">
        <v>0</v>
      </c>
      <c r="AL116" s="311">
        <f>AK116*Conversions!$D$4*1000000</f>
        <v>0</v>
      </c>
      <c r="AM116" s="225">
        <v>0</v>
      </c>
      <c r="AN116" s="302">
        <f>AK116*Conversions!$D$5*1000000</f>
        <v>0</v>
      </c>
      <c r="AO116">
        <f t="shared" si="14"/>
        <v>36</v>
      </c>
    </row>
    <row r="117" spans="1:41" x14ac:dyDescent="0.25">
      <c r="A117">
        <v>8385711</v>
      </c>
      <c r="B117">
        <v>4</v>
      </c>
      <c r="C117" t="s">
        <v>668</v>
      </c>
      <c r="D117" t="s">
        <v>760</v>
      </c>
      <c r="E117" t="s">
        <v>766</v>
      </c>
      <c r="F117" t="s">
        <v>767</v>
      </c>
      <c r="G117">
        <v>45.65</v>
      </c>
      <c r="H117">
        <v>-108.76</v>
      </c>
      <c r="I117" s="225">
        <v>55000</v>
      </c>
      <c r="J117" s="225">
        <v>31300</v>
      </c>
      <c r="K117" s="225">
        <v>15000</v>
      </c>
      <c r="L117" s="225">
        <v>0</v>
      </c>
      <c r="M117">
        <v>55000</v>
      </c>
      <c r="N117">
        <f>VLOOKUP(D117,Utilization!$B$9:$E$44,4,FALSE)</f>
        <v>1</v>
      </c>
      <c r="O117">
        <f t="shared" si="12"/>
        <v>55000</v>
      </c>
      <c r="P117">
        <f t="shared" si="13"/>
        <v>1.8181818181818182E-5</v>
      </c>
      <c r="Q117" s="215">
        <v>10.297127272727272</v>
      </c>
      <c r="R117" s="215">
        <v>394.18</v>
      </c>
      <c r="S117" s="215">
        <v>1103.9100000000001</v>
      </c>
      <c r="T117" s="215">
        <v>221.37</v>
      </c>
      <c r="U117" s="215">
        <v>471.31</v>
      </c>
      <c r="V117" s="215">
        <v>47.99</v>
      </c>
      <c r="W117" s="215">
        <v>63.17</v>
      </c>
      <c r="X117" s="215">
        <v>14.8</v>
      </c>
      <c r="Y117" s="215">
        <v>1.35E-2</v>
      </c>
      <c r="Z117" s="215">
        <v>6.52</v>
      </c>
      <c r="AA117" s="215">
        <v>7.94</v>
      </c>
      <c r="AB117" s="215">
        <v>49</v>
      </c>
      <c r="AC117" s="215">
        <v>0</v>
      </c>
      <c r="AD117" s="215">
        <v>0</v>
      </c>
      <c r="AE117" s="215">
        <v>3.81</v>
      </c>
      <c r="AF117" s="215">
        <v>60</v>
      </c>
      <c r="AG117" s="215">
        <v>1381</v>
      </c>
      <c r="AH117" s="215">
        <v>0.61</v>
      </c>
      <c r="AI117" s="215">
        <v>2689</v>
      </c>
      <c r="AJ117" s="215">
        <v>1550</v>
      </c>
      <c r="AK117" s="266">
        <v>0</v>
      </c>
      <c r="AL117" s="311">
        <f>AK117*Conversions!$D$4*1000000</f>
        <v>0</v>
      </c>
      <c r="AM117" s="225">
        <v>0</v>
      </c>
      <c r="AN117" s="302">
        <f>AK117*Conversions!$D$5*1000000</f>
        <v>0</v>
      </c>
      <c r="AO117">
        <f t="shared" si="14"/>
        <v>36</v>
      </c>
    </row>
    <row r="118" spans="1:41" x14ac:dyDescent="0.25">
      <c r="A118">
        <v>7320011</v>
      </c>
      <c r="B118">
        <v>2</v>
      </c>
      <c r="C118" t="s">
        <v>683</v>
      </c>
      <c r="D118" t="s">
        <v>803</v>
      </c>
      <c r="E118" t="s">
        <v>804</v>
      </c>
      <c r="F118" t="s">
        <v>805</v>
      </c>
      <c r="G118">
        <v>36.68</v>
      </c>
      <c r="H118">
        <v>-97.08</v>
      </c>
      <c r="I118" s="225">
        <v>187000</v>
      </c>
      <c r="J118" s="225">
        <v>80000</v>
      </c>
      <c r="K118" s="225">
        <v>23100</v>
      </c>
      <c r="L118" s="225">
        <v>0</v>
      </c>
      <c r="M118">
        <v>187000</v>
      </c>
      <c r="N118">
        <f>VLOOKUP(D118,Utilization!$B$9:$E$44,4,FALSE)</f>
        <v>0.97695410024966389</v>
      </c>
      <c r="O118">
        <f t="shared" si="12"/>
        <v>182690.41674668714</v>
      </c>
      <c r="P118">
        <f t="shared" si="13"/>
        <v>5.2243534772709303E-6</v>
      </c>
      <c r="Q118" s="215">
        <v>10.384207486631016</v>
      </c>
      <c r="R118" s="215">
        <v>393.78</v>
      </c>
      <c r="S118" s="215">
        <v>3068.62</v>
      </c>
      <c r="T118" s="215">
        <v>235.61</v>
      </c>
      <c r="U118" s="215">
        <v>961.19</v>
      </c>
      <c r="V118" s="215">
        <v>392.54</v>
      </c>
      <c r="W118" s="215">
        <v>533.25</v>
      </c>
      <c r="X118" s="215">
        <v>23.75</v>
      </c>
      <c r="Y118" s="215">
        <v>2.6499999999999999E-4</v>
      </c>
      <c r="Z118" s="215">
        <v>23.06</v>
      </c>
      <c r="AA118" s="215">
        <v>36.65</v>
      </c>
      <c r="AB118" s="215">
        <v>6.04</v>
      </c>
      <c r="AC118" s="215">
        <v>5.9400000000000001E-2</v>
      </c>
      <c r="AD118" s="215">
        <v>0</v>
      </c>
      <c r="AE118" s="215">
        <v>0</v>
      </c>
      <c r="AF118" s="215">
        <v>3744</v>
      </c>
      <c r="AG118" s="215">
        <v>19112</v>
      </c>
      <c r="AH118" s="215">
        <v>0</v>
      </c>
      <c r="AI118" s="215">
        <v>428</v>
      </c>
      <c r="AJ118" s="215">
        <v>0</v>
      </c>
      <c r="AK118" s="266">
        <v>0</v>
      </c>
      <c r="AL118" s="311">
        <f>AK118*Conversions!$D$4*1000000</f>
        <v>0</v>
      </c>
      <c r="AM118" s="225">
        <v>0</v>
      </c>
      <c r="AN118" s="302">
        <f>AK118*Conversions!$D$5*1000000</f>
        <v>0</v>
      </c>
      <c r="AO118">
        <f t="shared" si="14"/>
        <v>131</v>
      </c>
    </row>
    <row r="119" spans="1:41" x14ac:dyDescent="0.25">
      <c r="A119">
        <v>7331911</v>
      </c>
      <c r="B119">
        <v>2</v>
      </c>
      <c r="C119" t="s">
        <v>683</v>
      </c>
      <c r="D119" t="s">
        <v>704</v>
      </c>
      <c r="E119" t="s">
        <v>705</v>
      </c>
      <c r="F119" t="s">
        <v>706</v>
      </c>
      <c r="G119">
        <v>38.369999999999997</v>
      </c>
      <c r="H119">
        <v>-82.59</v>
      </c>
      <c r="I119" s="225">
        <v>233000</v>
      </c>
      <c r="J119" s="225">
        <v>111600</v>
      </c>
      <c r="K119" s="225">
        <v>0</v>
      </c>
      <c r="L119" s="225">
        <v>0</v>
      </c>
      <c r="M119">
        <v>212000</v>
      </c>
      <c r="N119">
        <f>VLOOKUP(D119,Utilization!$B$9:$E$44,4,FALSE)</f>
        <v>0.97471264367816091</v>
      </c>
      <c r="O119">
        <f t="shared" si="12"/>
        <v>206639.08045977011</v>
      </c>
      <c r="P119">
        <f t="shared" si="13"/>
        <v>4.5977011494252875E-6</v>
      </c>
      <c r="Q119" s="215">
        <v>10.404859656652359</v>
      </c>
      <c r="R119" s="215">
        <v>1531.42</v>
      </c>
      <c r="S119" s="215">
        <v>1149.3399999999999</v>
      </c>
      <c r="T119" s="215">
        <v>312.12</v>
      </c>
      <c r="U119" s="215">
        <v>1023.21</v>
      </c>
      <c r="V119" s="215">
        <v>357</v>
      </c>
      <c r="W119" s="215">
        <v>362.22</v>
      </c>
      <c r="X119" s="215">
        <v>0.85</v>
      </c>
      <c r="Y119" s="215">
        <v>1.32E-3</v>
      </c>
      <c r="Z119" s="215">
        <v>48.14</v>
      </c>
      <c r="AA119" s="215">
        <v>78.61</v>
      </c>
      <c r="AB119" s="215">
        <v>44.3</v>
      </c>
      <c r="AC119" s="215">
        <v>0</v>
      </c>
      <c r="AD119" s="215">
        <v>0</v>
      </c>
      <c r="AE119" s="215">
        <v>0</v>
      </c>
      <c r="AF119" s="215">
        <v>20</v>
      </c>
      <c r="AG119" s="215">
        <v>0</v>
      </c>
      <c r="AH119" s="215">
        <v>0</v>
      </c>
      <c r="AI119" s="215">
        <v>0</v>
      </c>
      <c r="AJ119" s="215">
        <v>0</v>
      </c>
      <c r="AK119" s="266">
        <v>0</v>
      </c>
      <c r="AL119" s="311">
        <f>AK119*Conversions!$D$4*1000000</f>
        <v>0</v>
      </c>
      <c r="AM119" s="225">
        <v>0</v>
      </c>
      <c r="AN119" s="302">
        <f>AK119*Conversions!$D$5*1000000</f>
        <v>0</v>
      </c>
      <c r="AO119">
        <f t="shared" si="14"/>
        <v>131</v>
      </c>
    </row>
    <row r="120" spans="1:41" x14ac:dyDescent="0.25">
      <c r="A120">
        <v>8222511</v>
      </c>
      <c r="B120">
        <v>2</v>
      </c>
      <c r="C120" t="s">
        <v>683</v>
      </c>
      <c r="D120" t="s">
        <v>684</v>
      </c>
      <c r="E120" t="s">
        <v>691</v>
      </c>
      <c r="F120" t="s">
        <v>692</v>
      </c>
      <c r="G120">
        <v>38.99</v>
      </c>
      <c r="H120">
        <v>-87.72</v>
      </c>
      <c r="I120" s="225">
        <v>206000</v>
      </c>
      <c r="J120" s="225">
        <v>67900</v>
      </c>
      <c r="K120" s="225">
        <v>27600</v>
      </c>
      <c r="L120" s="225">
        <v>27100</v>
      </c>
      <c r="M120">
        <v>206000</v>
      </c>
      <c r="N120">
        <f>VLOOKUP(D120,Utilization!$B$9:$E$44,4,FALSE)</f>
        <v>0.94248151191454399</v>
      </c>
      <c r="O120">
        <f t="shared" si="12"/>
        <v>194151.19145439606</v>
      </c>
      <c r="P120">
        <f t="shared" si="13"/>
        <v>4.5751529704589514E-6</v>
      </c>
      <c r="Q120" s="215">
        <v>10.423300970873786</v>
      </c>
      <c r="R120" s="215">
        <v>955.06</v>
      </c>
      <c r="S120" s="215">
        <v>905.35</v>
      </c>
      <c r="T120" s="215">
        <v>98.47</v>
      </c>
      <c r="U120" s="215">
        <v>1312.16</v>
      </c>
      <c r="V120" s="215">
        <v>225.8</v>
      </c>
      <c r="W120" s="215">
        <v>256.38</v>
      </c>
      <c r="X120" s="215">
        <v>9.26</v>
      </c>
      <c r="Y120" s="215">
        <v>2.3E-3</v>
      </c>
      <c r="Z120" s="215">
        <v>22.52</v>
      </c>
      <c r="AA120" s="215">
        <v>15.96</v>
      </c>
      <c r="AB120" s="215">
        <v>1.99</v>
      </c>
      <c r="AC120" s="215">
        <v>0.54</v>
      </c>
      <c r="AD120" s="215">
        <v>2.2000000000000002</v>
      </c>
      <c r="AE120" s="215">
        <v>111.95</v>
      </c>
      <c r="AF120" s="215">
        <v>189279.54</v>
      </c>
      <c r="AG120" s="215">
        <v>8052.54</v>
      </c>
      <c r="AH120" s="215">
        <v>132.58000000000001</v>
      </c>
      <c r="AI120" s="215">
        <v>1.05</v>
      </c>
      <c r="AJ120" s="215">
        <v>32</v>
      </c>
      <c r="AK120" s="266">
        <v>0</v>
      </c>
      <c r="AL120" s="311">
        <f>AK120*Conversions!$D$4*1000000</f>
        <v>0</v>
      </c>
      <c r="AM120" s="225">
        <v>0</v>
      </c>
      <c r="AN120" s="302">
        <f>AK120*Conversions!$D$5*1000000</f>
        <v>0</v>
      </c>
      <c r="AO120">
        <f t="shared" si="14"/>
        <v>131</v>
      </c>
    </row>
    <row r="121" spans="1:41" x14ac:dyDescent="0.25">
      <c r="A121">
        <v>8467211</v>
      </c>
      <c r="B121">
        <v>3</v>
      </c>
      <c r="C121" t="s">
        <v>625</v>
      </c>
      <c r="D121" t="s">
        <v>709</v>
      </c>
      <c r="E121" t="s">
        <v>742</v>
      </c>
      <c r="F121" t="s">
        <v>743</v>
      </c>
      <c r="G121">
        <v>30.48</v>
      </c>
      <c r="H121">
        <v>-91.17</v>
      </c>
      <c r="I121" s="225">
        <v>502500</v>
      </c>
      <c r="J121" s="225">
        <v>236500</v>
      </c>
      <c r="K121" s="225">
        <v>117500</v>
      </c>
      <c r="L121" s="225">
        <v>24500</v>
      </c>
      <c r="M121">
        <v>503500</v>
      </c>
      <c r="N121">
        <f>VLOOKUP(D121,Utilization!$B$9:$E$44,4,FALSE)</f>
        <v>0.98291670808070764</v>
      </c>
      <c r="O121">
        <f t="shared" si="12"/>
        <v>494898.56251863629</v>
      </c>
      <c r="P121">
        <f t="shared" si="13"/>
        <v>1.9521682384919715E-6</v>
      </c>
      <c r="Q121" s="215">
        <v>10.507486567164177</v>
      </c>
      <c r="R121" s="215">
        <v>1916.1</v>
      </c>
      <c r="S121" s="215">
        <v>1090.26</v>
      </c>
      <c r="T121" s="215">
        <v>491.79</v>
      </c>
      <c r="U121" s="215">
        <v>1952.81</v>
      </c>
      <c r="V121" s="215">
        <v>1420.7</v>
      </c>
      <c r="W121" s="215">
        <v>1420.7</v>
      </c>
      <c r="X121" s="215">
        <v>57.97</v>
      </c>
      <c r="Y121" s="215">
        <v>5.0000000000000001E-4</v>
      </c>
      <c r="Z121" s="215">
        <v>61.31</v>
      </c>
      <c r="AA121" s="215">
        <v>127.11</v>
      </c>
      <c r="AB121" s="215">
        <v>57.11</v>
      </c>
      <c r="AC121" s="215">
        <v>0</v>
      </c>
      <c r="AD121" s="215">
        <v>0</v>
      </c>
      <c r="AE121" s="215">
        <v>3</v>
      </c>
      <c r="AF121" s="215">
        <v>2</v>
      </c>
      <c r="AG121" s="215">
        <v>19772</v>
      </c>
      <c r="AH121" s="215">
        <v>69</v>
      </c>
      <c r="AI121" s="215">
        <v>359</v>
      </c>
      <c r="AJ121" s="215">
        <v>147</v>
      </c>
      <c r="AK121" s="266">
        <v>0</v>
      </c>
      <c r="AL121" s="311">
        <f>AK121*Conversions!$D$4*1000000</f>
        <v>0</v>
      </c>
      <c r="AM121" s="225">
        <v>0</v>
      </c>
      <c r="AN121" s="302">
        <f>AK121*Conversions!$D$5*1000000</f>
        <v>0</v>
      </c>
      <c r="AO121">
        <f t="shared" si="14"/>
        <v>131</v>
      </c>
    </row>
    <row r="122" spans="1:41" x14ac:dyDescent="0.25">
      <c r="A122" s="225">
        <v>14217311</v>
      </c>
      <c r="B122" s="225">
        <v>5</v>
      </c>
      <c r="C122" s="225" t="s">
        <v>617</v>
      </c>
      <c r="D122" s="225" t="s">
        <v>634</v>
      </c>
      <c r="E122" s="225" t="s">
        <v>641</v>
      </c>
      <c r="F122" s="225" t="s">
        <v>642</v>
      </c>
      <c r="G122" s="225">
        <v>38.07</v>
      </c>
      <c r="H122" s="225">
        <v>-122.14</v>
      </c>
      <c r="I122" s="225">
        <v>170000</v>
      </c>
      <c r="J122" s="225">
        <v>78500</v>
      </c>
      <c r="K122" s="225">
        <v>28000</v>
      </c>
      <c r="L122" s="225">
        <v>36000</v>
      </c>
      <c r="M122" s="225">
        <v>170000</v>
      </c>
      <c r="N122" s="225">
        <f>VLOOKUP(D122,Utilization!$B$9:$E$44,4,FALSE)</f>
        <v>0.95687171402016358</v>
      </c>
      <c r="O122" s="225">
        <f t="shared" si="12"/>
        <v>162668.19138342779</v>
      </c>
      <c r="P122" s="225">
        <f t="shared" si="13"/>
        <v>5.6286571412950794E-6</v>
      </c>
      <c r="Q122" s="215">
        <v>10.615479411764708</v>
      </c>
      <c r="R122" s="266">
        <v>546.1</v>
      </c>
      <c r="S122" s="266">
        <v>211.01</v>
      </c>
      <c r="T122" s="266">
        <v>4062.26</v>
      </c>
      <c r="U122" s="266">
        <v>1968.66</v>
      </c>
      <c r="V122" s="266">
        <v>292.75</v>
      </c>
      <c r="W122" s="266">
        <v>363.86</v>
      </c>
      <c r="X122" s="266">
        <v>7.89</v>
      </c>
      <c r="Y122" s="266">
        <v>4.9500000000000002E-2</v>
      </c>
      <c r="Z122" s="266">
        <v>55.78</v>
      </c>
      <c r="AA122" s="266">
        <v>50.13</v>
      </c>
      <c r="AB122" s="266">
        <v>28.58</v>
      </c>
      <c r="AC122" s="266">
        <v>0.28999999999999998</v>
      </c>
      <c r="AD122" s="266">
        <v>0.2</v>
      </c>
      <c r="AE122" s="266">
        <v>276.07</v>
      </c>
      <c r="AF122" s="266">
        <v>4078.21</v>
      </c>
      <c r="AG122" s="266">
        <v>14.84</v>
      </c>
      <c r="AH122" s="266">
        <v>16.95</v>
      </c>
      <c r="AI122" s="266">
        <v>135</v>
      </c>
      <c r="AJ122" s="266">
        <v>37.96</v>
      </c>
      <c r="AK122" s="266">
        <v>342.5</v>
      </c>
      <c r="AL122" s="314">
        <f>AK122*Conversions!$D$4*1000000</f>
        <v>21170267.499999996</v>
      </c>
      <c r="AM122" s="225">
        <v>25.6</v>
      </c>
      <c r="AN122" s="313">
        <f>AK122*Conversions!$D$5*1000000</f>
        <v>36.767375000000001</v>
      </c>
      <c r="AO122">
        <f t="shared" si="14"/>
        <v>131</v>
      </c>
    </row>
    <row r="123" spans="1:41" x14ac:dyDescent="0.25">
      <c r="A123">
        <v>4762811</v>
      </c>
      <c r="B123">
        <v>3</v>
      </c>
      <c r="C123" t="s">
        <v>625</v>
      </c>
      <c r="D123" t="s">
        <v>828</v>
      </c>
      <c r="E123" t="s">
        <v>842</v>
      </c>
      <c r="F123" t="s">
        <v>841</v>
      </c>
      <c r="G123">
        <v>29.71</v>
      </c>
      <c r="H123">
        <v>-95.23</v>
      </c>
      <c r="I123" s="225">
        <v>268000</v>
      </c>
      <c r="J123" s="225">
        <v>191100</v>
      </c>
      <c r="K123" s="225">
        <v>98500</v>
      </c>
      <c r="L123" s="225">
        <v>0</v>
      </c>
      <c r="M123">
        <v>268000</v>
      </c>
      <c r="N123">
        <f>VLOOKUP(D123,Utilization!$B$9:$E$44,4,FALSE)</f>
        <v>0.9875985727971196</v>
      </c>
      <c r="O123">
        <f t="shared" si="12"/>
        <v>264676.41750962805</v>
      </c>
      <c r="P123">
        <f t="shared" si="13"/>
        <v>3.6850693014817894E-6</v>
      </c>
      <c r="Q123" s="215">
        <v>10.9169776119403</v>
      </c>
      <c r="R123" s="215">
        <v>307.92</v>
      </c>
      <c r="S123" s="215">
        <v>769.79</v>
      </c>
      <c r="T123" s="215">
        <v>345.67</v>
      </c>
      <c r="U123" s="215">
        <v>670.59</v>
      </c>
      <c r="V123" s="215">
        <v>153.97</v>
      </c>
      <c r="W123" s="215">
        <v>154.79</v>
      </c>
      <c r="X123" s="215">
        <v>6.7199999999999996E-2</v>
      </c>
      <c r="Y123" s="215">
        <v>0</v>
      </c>
      <c r="Z123" s="215">
        <v>40.54</v>
      </c>
      <c r="AA123" s="215">
        <v>41.17</v>
      </c>
      <c r="AB123" s="215">
        <v>9.3100000000000006E-6</v>
      </c>
      <c r="AC123" s="215">
        <v>0</v>
      </c>
      <c r="AD123" s="215">
        <v>0</v>
      </c>
      <c r="AE123" s="215">
        <v>0</v>
      </c>
      <c r="AF123" s="215">
        <v>102.4</v>
      </c>
      <c r="AG123" s="215">
        <v>1870.2</v>
      </c>
      <c r="AH123" s="215">
        <v>0</v>
      </c>
      <c r="AI123" s="215">
        <v>2588.6</v>
      </c>
      <c r="AJ123" s="215">
        <v>0</v>
      </c>
      <c r="AK123" s="266">
        <v>0</v>
      </c>
      <c r="AL123" s="311">
        <f>AK123*Conversions!$D$4*1000000</f>
        <v>0</v>
      </c>
      <c r="AM123" s="225">
        <v>0</v>
      </c>
      <c r="AN123" s="302">
        <f>AK123*Conversions!$D$5*1000000</f>
        <v>0</v>
      </c>
      <c r="AO123">
        <f t="shared" si="14"/>
        <v>131</v>
      </c>
    </row>
    <row r="124" spans="1:41" x14ac:dyDescent="0.25">
      <c r="A124">
        <v>8384311</v>
      </c>
      <c r="B124">
        <v>3</v>
      </c>
      <c r="C124" t="s">
        <v>625</v>
      </c>
      <c r="D124" t="s">
        <v>752</v>
      </c>
      <c r="E124" t="s">
        <v>758</v>
      </c>
      <c r="F124" t="s">
        <v>759</v>
      </c>
      <c r="G124">
        <v>30.34</v>
      </c>
      <c r="H124">
        <v>-88.49</v>
      </c>
      <c r="I124" s="225">
        <v>330000</v>
      </c>
      <c r="J124" s="225">
        <v>240000</v>
      </c>
      <c r="K124" s="225">
        <v>98000</v>
      </c>
      <c r="L124" s="225">
        <v>58000</v>
      </c>
      <c r="M124">
        <v>330000</v>
      </c>
      <c r="N124">
        <f>VLOOKUP(D124,Utilization!$B$9:$E$44,4,FALSE)</f>
        <v>1</v>
      </c>
      <c r="O124">
        <f t="shared" si="12"/>
        <v>330000</v>
      </c>
      <c r="P124">
        <f t="shared" si="13"/>
        <v>3.0303030303030305E-6</v>
      </c>
      <c r="Q124" s="215">
        <v>10.964257575757577</v>
      </c>
      <c r="R124" s="215">
        <v>1105.18</v>
      </c>
      <c r="S124" s="215">
        <v>4411.3500000000004</v>
      </c>
      <c r="T124" s="215">
        <v>772.13</v>
      </c>
      <c r="U124" s="215">
        <v>2177.02</v>
      </c>
      <c r="V124" s="215">
        <v>214.23</v>
      </c>
      <c r="W124" s="215">
        <v>233.53</v>
      </c>
      <c r="X124" s="215">
        <v>34.4</v>
      </c>
      <c r="Y124" s="215">
        <v>1.26E-2</v>
      </c>
      <c r="Z124" s="215">
        <v>25.27</v>
      </c>
      <c r="AA124" s="215">
        <v>49.61</v>
      </c>
      <c r="AB124" s="215">
        <v>12</v>
      </c>
      <c r="AC124" s="215">
        <v>11.76</v>
      </c>
      <c r="AD124" s="215">
        <v>8.1999999999999993</v>
      </c>
      <c r="AE124" s="215">
        <v>0</v>
      </c>
      <c r="AF124" s="215">
        <v>3770.4</v>
      </c>
      <c r="AG124" s="215">
        <v>11339.4</v>
      </c>
      <c r="AH124" s="215">
        <v>0</v>
      </c>
      <c r="AI124" s="215">
        <v>911.8</v>
      </c>
      <c r="AJ124" s="215">
        <v>14.2</v>
      </c>
      <c r="AK124" s="266">
        <v>0</v>
      </c>
      <c r="AL124" s="311">
        <f>AK124*Conversions!$D$4*1000000</f>
        <v>0</v>
      </c>
      <c r="AM124" s="225">
        <v>0</v>
      </c>
      <c r="AN124" s="302">
        <f>AK124*Conversions!$D$5*1000000</f>
        <v>0</v>
      </c>
      <c r="AO124">
        <f t="shared" si="14"/>
        <v>131</v>
      </c>
    </row>
    <row r="125" spans="1:41" x14ac:dyDescent="0.25">
      <c r="A125">
        <v>8241011</v>
      </c>
      <c r="B125">
        <v>3</v>
      </c>
      <c r="C125" t="s">
        <v>625</v>
      </c>
      <c r="D125" t="s">
        <v>709</v>
      </c>
      <c r="E125" t="s">
        <v>739</v>
      </c>
      <c r="F125" t="s">
        <v>740</v>
      </c>
      <c r="G125">
        <v>30.06</v>
      </c>
      <c r="H125">
        <v>-90.59</v>
      </c>
      <c r="I125" s="225">
        <v>490000</v>
      </c>
      <c r="J125" s="225">
        <v>254700</v>
      </c>
      <c r="K125" s="225">
        <v>82700</v>
      </c>
      <c r="L125" s="225">
        <v>88400</v>
      </c>
      <c r="M125">
        <v>436000</v>
      </c>
      <c r="N125">
        <f>VLOOKUP(D125,Utilization!$B$9:$E$44,4,FALSE)</f>
        <v>0.98291670808070764</v>
      </c>
      <c r="O125">
        <f t="shared" si="12"/>
        <v>428551.68472318852</v>
      </c>
      <c r="P125">
        <f t="shared" si="13"/>
        <v>2.2543961194511644E-6</v>
      </c>
      <c r="Q125" s="215">
        <v>11.040204081632654</v>
      </c>
      <c r="R125" s="215">
        <v>928.14</v>
      </c>
      <c r="S125" s="215">
        <v>1080.5899999999999</v>
      </c>
      <c r="T125" s="215">
        <v>331.55</v>
      </c>
      <c r="U125" s="215">
        <v>1683.28</v>
      </c>
      <c r="V125" s="215">
        <v>522.01</v>
      </c>
      <c r="W125" s="215">
        <v>535.11</v>
      </c>
      <c r="X125" s="215">
        <v>16.25</v>
      </c>
      <c r="Y125" s="215">
        <v>4.73E-4</v>
      </c>
      <c r="Z125" s="215">
        <v>178.12</v>
      </c>
      <c r="AA125" s="215">
        <v>117.3</v>
      </c>
      <c r="AB125" s="215">
        <v>1.03</v>
      </c>
      <c r="AC125" s="215">
        <v>9.35E-2</v>
      </c>
      <c r="AD125" s="215">
        <v>24.28</v>
      </c>
      <c r="AE125" s="215">
        <v>45.92</v>
      </c>
      <c r="AF125" s="215">
        <v>272.45</v>
      </c>
      <c r="AG125" s="215">
        <v>7433.54</v>
      </c>
      <c r="AH125" s="215">
        <v>16.579999999999998</v>
      </c>
      <c r="AI125" s="215">
        <v>156.35</v>
      </c>
      <c r="AJ125" s="215">
        <v>5021</v>
      </c>
      <c r="AK125" s="266">
        <v>0</v>
      </c>
      <c r="AL125" s="311">
        <f>AK125*Conversions!$D$4*1000000</f>
        <v>0</v>
      </c>
      <c r="AM125" s="225">
        <v>0</v>
      </c>
      <c r="AN125" s="302">
        <f>AK125*Conversions!$D$5*1000000</f>
        <v>0</v>
      </c>
      <c r="AO125">
        <f t="shared" si="14"/>
        <v>131</v>
      </c>
    </row>
    <row r="126" spans="1:41" x14ac:dyDescent="0.25">
      <c r="A126" s="225">
        <v>4086111</v>
      </c>
      <c r="B126" s="225">
        <v>5</v>
      </c>
      <c r="C126" s="225" t="s">
        <v>617</v>
      </c>
      <c r="D126" s="225" t="s">
        <v>634</v>
      </c>
      <c r="E126" s="225" t="s">
        <v>646</v>
      </c>
      <c r="F126" s="225" t="s">
        <v>647</v>
      </c>
      <c r="G126" s="225">
        <v>33.9</v>
      </c>
      <c r="H126" s="225">
        <v>-118.41</v>
      </c>
      <c r="I126" s="225">
        <v>269000</v>
      </c>
      <c r="J126" s="225">
        <v>161000</v>
      </c>
      <c r="K126" s="225">
        <v>67500</v>
      </c>
      <c r="L126" s="225">
        <v>46000</v>
      </c>
      <c r="M126" s="225">
        <v>269000</v>
      </c>
      <c r="N126" s="225">
        <f>VLOOKUP(D126,Utilization!$B$9:$E$44,4,FALSE)</f>
        <v>0.95687171402016358</v>
      </c>
      <c r="O126" s="225">
        <f t="shared" si="12"/>
        <v>257398.49107142401</v>
      </c>
      <c r="P126" s="225">
        <f t="shared" si="13"/>
        <v>3.5571439182905709E-6</v>
      </c>
      <c r="Q126" s="215">
        <v>11.111781784386618</v>
      </c>
      <c r="R126" s="266">
        <v>764.07</v>
      </c>
      <c r="S126" s="266">
        <v>541.5</v>
      </c>
      <c r="T126" s="266">
        <v>379.29</v>
      </c>
      <c r="U126" s="266">
        <v>648.62</v>
      </c>
      <c r="V126" s="266">
        <v>176.81</v>
      </c>
      <c r="W126" s="266">
        <v>184.25</v>
      </c>
      <c r="X126" s="266">
        <v>47.83</v>
      </c>
      <c r="Y126" s="266">
        <v>1.4800000000000001E-2</v>
      </c>
      <c r="Z126" s="266">
        <v>0.55000000000000004</v>
      </c>
      <c r="AA126" s="266">
        <v>5.89</v>
      </c>
      <c r="AB126" s="266">
        <v>9.0299999999999994</v>
      </c>
      <c r="AC126" s="266">
        <v>3.5299999999999998E-2</v>
      </c>
      <c r="AD126" s="266">
        <v>6.2</v>
      </c>
      <c r="AE126" s="266">
        <v>560.15</v>
      </c>
      <c r="AF126" s="266">
        <v>2932.02</v>
      </c>
      <c r="AG126" s="266">
        <v>1336.81</v>
      </c>
      <c r="AH126" s="266">
        <v>678.7</v>
      </c>
      <c r="AI126" s="266">
        <v>17.95</v>
      </c>
      <c r="AJ126" s="266">
        <v>68.150000000000006</v>
      </c>
      <c r="AK126" s="365">
        <v>315.79943700000001</v>
      </c>
      <c r="AL126" s="314">
        <f>AK126*Conversions!$D$4*1000000</f>
        <v>19519879.000406999</v>
      </c>
      <c r="AM126" s="266">
        <v>2.5918000000000001</v>
      </c>
      <c r="AN126" s="313">
        <f>AK126*Conversions!$D$5*1000000</f>
        <v>33.901069561950003</v>
      </c>
      <c r="AO126">
        <f t="shared" si="14"/>
        <v>131</v>
      </c>
    </row>
    <row r="127" spans="1:41" x14ac:dyDescent="0.25">
      <c r="A127">
        <v>4862411</v>
      </c>
      <c r="B127">
        <v>3</v>
      </c>
      <c r="C127" t="s">
        <v>625</v>
      </c>
      <c r="D127" t="s">
        <v>828</v>
      </c>
      <c r="E127" t="s">
        <v>846</v>
      </c>
      <c r="F127" t="s">
        <v>847</v>
      </c>
      <c r="G127">
        <v>30.06</v>
      </c>
      <c r="H127">
        <v>-94.07</v>
      </c>
      <c r="I127" s="225">
        <v>344500</v>
      </c>
      <c r="J127" s="225">
        <v>143000</v>
      </c>
      <c r="K127" s="225">
        <v>45500</v>
      </c>
      <c r="L127" s="225">
        <v>60000</v>
      </c>
      <c r="M127">
        <v>344500</v>
      </c>
      <c r="N127">
        <f>VLOOKUP(D127,Utilization!$B$9:$E$44,4,FALSE)</f>
        <v>0.9875985727971196</v>
      </c>
      <c r="O127">
        <f t="shared" si="12"/>
        <v>340227.70832860772</v>
      </c>
      <c r="P127">
        <f t="shared" si="13"/>
        <v>2.8667592824299553E-6</v>
      </c>
      <c r="Q127" s="215">
        <v>11.217850507982584</v>
      </c>
      <c r="R127" s="215">
        <v>1977.12</v>
      </c>
      <c r="S127" s="215">
        <v>1511.57</v>
      </c>
      <c r="T127" s="215">
        <v>491.25</v>
      </c>
      <c r="U127" s="215">
        <v>1928.48</v>
      </c>
      <c r="V127" s="215">
        <v>537.63</v>
      </c>
      <c r="W127" s="215">
        <v>540.91999999999996</v>
      </c>
      <c r="X127" s="215">
        <v>67.63</v>
      </c>
      <c r="Y127" s="215">
        <v>0.21</v>
      </c>
      <c r="Z127" s="215">
        <v>107.67</v>
      </c>
      <c r="AA127" s="215">
        <v>125.39</v>
      </c>
      <c r="AB127" s="215">
        <v>197.2</v>
      </c>
      <c r="AC127" s="215">
        <v>382.59</v>
      </c>
      <c r="AD127" s="215">
        <v>62.6</v>
      </c>
      <c r="AE127" s="215">
        <v>1364.8</v>
      </c>
      <c r="AF127" s="215">
        <v>31159</v>
      </c>
      <c r="AG127" s="215">
        <v>8147</v>
      </c>
      <c r="AH127" s="215">
        <v>856.2</v>
      </c>
      <c r="AI127" s="215">
        <v>904</v>
      </c>
      <c r="AJ127" s="215">
        <v>488.4</v>
      </c>
      <c r="AK127" s="266">
        <v>0</v>
      </c>
      <c r="AL127" s="311">
        <f>AK127*Conversions!$D$4*1000000</f>
        <v>0</v>
      </c>
      <c r="AM127" s="225">
        <v>0</v>
      </c>
      <c r="AN127" s="302">
        <f>AK127*Conversions!$D$5*1000000</f>
        <v>0</v>
      </c>
      <c r="AO127">
        <f t="shared" si="14"/>
        <v>131</v>
      </c>
    </row>
    <row r="128" spans="1:41" s="339" customFormat="1" x14ac:dyDescent="0.25">
      <c r="A128" s="352" t="s">
        <v>1237</v>
      </c>
      <c r="B128" s="352">
        <v>5</v>
      </c>
      <c r="C128" s="352" t="s">
        <v>617</v>
      </c>
      <c r="D128" s="352" t="s">
        <v>634</v>
      </c>
      <c r="E128" s="352" t="s">
        <v>643</v>
      </c>
      <c r="F128" s="352" t="s">
        <v>1238</v>
      </c>
      <c r="G128" s="352">
        <v>38.049999999999997</v>
      </c>
      <c r="H128" s="352">
        <v>-122.24</v>
      </c>
      <c r="I128" s="339">
        <v>138700</v>
      </c>
      <c r="J128" s="339">
        <v>78000</v>
      </c>
      <c r="K128" s="339">
        <v>48000</v>
      </c>
      <c r="L128" s="339">
        <v>24750</v>
      </c>
      <c r="M128" s="352">
        <v>138700</v>
      </c>
      <c r="N128" s="352">
        <v>0.95687171402016358</v>
      </c>
      <c r="O128" s="352">
        <f t="shared" si="12"/>
        <v>132718.10673459669</v>
      </c>
      <c r="P128" s="352">
        <f t="shared" si="13"/>
        <v>6.8988587888980795E-6</v>
      </c>
      <c r="R128" s="354">
        <v>237.95999999999998</v>
      </c>
      <c r="S128" s="354">
        <v>190.6</v>
      </c>
      <c r="T128" s="354">
        <v>556.04</v>
      </c>
      <c r="U128" s="354">
        <v>378.14</v>
      </c>
      <c r="V128" s="354">
        <v>127.58</v>
      </c>
      <c r="W128" s="354">
        <v>130.13</v>
      </c>
      <c r="X128" s="354">
        <v>55.453870000000002</v>
      </c>
      <c r="Y128" s="354">
        <v>1.38E-2</v>
      </c>
      <c r="Z128" s="354">
        <v>23.41</v>
      </c>
      <c r="AA128" s="354">
        <v>36.459999999999994</v>
      </c>
      <c r="AB128" s="354">
        <v>72.540112000000008</v>
      </c>
      <c r="AC128" s="354">
        <v>1.6199999999999999</v>
      </c>
      <c r="AD128" s="354">
        <v>1.45</v>
      </c>
      <c r="AE128" s="354">
        <v>131.57</v>
      </c>
      <c r="AF128" s="354">
        <v>35713.380000000005</v>
      </c>
      <c r="AG128" s="354">
        <v>62.29</v>
      </c>
      <c r="AH128" s="354">
        <v>21.65</v>
      </c>
      <c r="AI128" s="354">
        <v>29.2</v>
      </c>
      <c r="AJ128" s="354">
        <v>0</v>
      </c>
      <c r="AK128" s="354">
        <v>50.6</v>
      </c>
      <c r="AL128" s="354">
        <v>3127636.5999999996</v>
      </c>
      <c r="AM128" s="354">
        <v>5.2</v>
      </c>
      <c r="AN128" s="354">
        <v>5.4319100000000002</v>
      </c>
      <c r="AO128" s="339">
        <f t="shared" si="14"/>
        <v>131</v>
      </c>
    </row>
    <row r="129" spans="1:41" x14ac:dyDescent="0.25">
      <c r="A129">
        <v>7203711</v>
      </c>
      <c r="B129">
        <v>3</v>
      </c>
      <c r="C129" t="s">
        <v>625</v>
      </c>
      <c r="D129" t="s">
        <v>709</v>
      </c>
      <c r="E129" t="s">
        <v>712</v>
      </c>
      <c r="F129" t="s">
        <v>713</v>
      </c>
      <c r="G129">
        <v>29.68</v>
      </c>
      <c r="H129">
        <v>-89.97</v>
      </c>
      <c r="I129" s="225">
        <v>247000</v>
      </c>
      <c r="J129" s="225">
        <v>92000</v>
      </c>
      <c r="K129" s="225">
        <v>26000</v>
      </c>
      <c r="L129" s="225">
        <v>0</v>
      </c>
      <c r="M129">
        <v>247000</v>
      </c>
      <c r="N129">
        <f>VLOOKUP(D129,Utilization!$B$9:$E$44,4,FALSE)</f>
        <v>0.98291670808070764</v>
      </c>
      <c r="O129">
        <f t="shared" si="12"/>
        <v>242780.4268959348</v>
      </c>
      <c r="P129">
        <f t="shared" si="13"/>
        <v>3.9794198707720958E-6</v>
      </c>
      <c r="Q129" s="215">
        <v>11.266438866396761</v>
      </c>
      <c r="R129" s="215">
        <v>875.76</v>
      </c>
      <c r="S129" s="215">
        <v>546.67999999999995</v>
      </c>
      <c r="T129" s="215">
        <v>1176.1500000000001</v>
      </c>
      <c r="U129" s="215">
        <v>1678.35</v>
      </c>
      <c r="V129" s="215">
        <v>481.84</v>
      </c>
      <c r="W129" s="215">
        <v>481.84</v>
      </c>
      <c r="X129" s="215">
        <v>86.72</v>
      </c>
      <c r="Y129" s="215">
        <v>0.14000000000000001</v>
      </c>
      <c r="Z129" s="215">
        <v>53.42</v>
      </c>
      <c r="AA129" s="215">
        <v>114.78</v>
      </c>
      <c r="AB129" s="215">
        <v>25.4</v>
      </c>
      <c r="AC129" s="215">
        <v>61.96</v>
      </c>
      <c r="AD129" s="215">
        <v>46.92</v>
      </c>
      <c r="AE129" s="215">
        <v>1313.43</v>
      </c>
      <c r="AF129" s="215">
        <v>4691.95</v>
      </c>
      <c r="AG129" s="215">
        <v>4358.67</v>
      </c>
      <c r="AH129" s="215">
        <v>1040.02</v>
      </c>
      <c r="AI129" s="215">
        <v>428.32</v>
      </c>
      <c r="AJ129" s="215">
        <v>0</v>
      </c>
      <c r="AK129" s="266">
        <v>0</v>
      </c>
      <c r="AL129" s="311">
        <f>AK129*Conversions!$D$4*1000000</f>
        <v>0</v>
      </c>
      <c r="AM129" s="225">
        <v>0</v>
      </c>
      <c r="AN129" s="302">
        <f>AK129*Conversions!$D$5*1000000</f>
        <v>0</v>
      </c>
      <c r="AO129">
        <f t="shared" si="14"/>
        <v>131</v>
      </c>
    </row>
    <row r="130" spans="1:41" x14ac:dyDescent="0.25">
      <c r="A130">
        <v>5018711</v>
      </c>
      <c r="B130">
        <v>3</v>
      </c>
      <c r="C130" t="s">
        <v>625</v>
      </c>
      <c r="D130" t="s">
        <v>828</v>
      </c>
      <c r="E130" t="s">
        <v>855</v>
      </c>
      <c r="F130" t="s">
        <v>856</v>
      </c>
      <c r="G130">
        <v>29.07</v>
      </c>
      <c r="H130">
        <v>-95.75</v>
      </c>
      <c r="I130" s="225">
        <v>247000</v>
      </c>
      <c r="J130" s="225">
        <v>125500</v>
      </c>
      <c r="K130" s="225">
        <v>70900</v>
      </c>
      <c r="L130" s="225">
        <v>0</v>
      </c>
      <c r="M130">
        <v>247000</v>
      </c>
      <c r="N130">
        <f>VLOOKUP(D130,Utilization!$B$9:$E$44,4,FALSE)</f>
        <v>0.9875985727971196</v>
      </c>
      <c r="O130">
        <f t="shared" si="12"/>
        <v>243936.84748088854</v>
      </c>
      <c r="P130">
        <f t="shared" si="13"/>
        <v>3.9983747886523061E-6</v>
      </c>
      <c r="Q130" s="215">
        <v>11.431437246963563</v>
      </c>
      <c r="R130" s="215">
        <v>462.82</v>
      </c>
      <c r="S130" s="215">
        <v>479.13</v>
      </c>
      <c r="T130" s="215">
        <v>262.92</v>
      </c>
      <c r="U130" s="215">
        <v>499.2</v>
      </c>
      <c r="V130" s="215">
        <v>159.5</v>
      </c>
      <c r="W130" s="215">
        <v>193.62</v>
      </c>
      <c r="X130" s="215">
        <v>22.24</v>
      </c>
      <c r="Y130" s="215">
        <v>1.78E-2</v>
      </c>
      <c r="Z130" s="215">
        <v>14.42</v>
      </c>
      <c r="AA130" s="215">
        <v>19.59</v>
      </c>
      <c r="AB130" s="215">
        <v>9.1999999999999993</v>
      </c>
      <c r="AC130" s="215">
        <v>0</v>
      </c>
      <c r="AD130" s="215">
        <v>0</v>
      </c>
      <c r="AE130" s="215">
        <v>0</v>
      </c>
      <c r="AF130" s="215">
        <v>0</v>
      </c>
      <c r="AG130" s="215">
        <v>2090.4</v>
      </c>
      <c r="AH130" s="215">
        <v>0</v>
      </c>
      <c r="AI130" s="215">
        <v>3939.4</v>
      </c>
      <c r="AJ130" s="215">
        <v>10</v>
      </c>
      <c r="AK130" s="266">
        <v>0</v>
      </c>
      <c r="AL130" s="311">
        <f>AK130*Conversions!$D$4*1000000</f>
        <v>0</v>
      </c>
      <c r="AM130" s="225">
        <v>0</v>
      </c>
      <c r="AN130" s="302">
        <f>AK130*Conversions!$D$5*1000000</f>
        <v>0</v>
      </c>
      <c r="AO130">
        <f t="shared" si="14"/>
        <v>131</v>
      </c>
    </row>
    <row r="131" spans="1:41" x14ac:dyDescent="0.25">
      <c r="A131" s="225">
        <v>4073511</v>
      </c>
      <c r="B131" s="225">
        <v>5</v>
      </c>
      <c r="C131" s="225" t="s">
        <v>617</v>
      </c>
      <c r="D131" s="225" t="s">
        <v>634</v>
      </c>
      <c r="E131" s="225" t="s">
        <v>644</v>
      </c>
      <c r="F131" s="225" t="s">
        <v>645</v>
      </c>
      <c r="G131" s="225">
        <v>33.81</v>
      </c>
      <c r="H131" s="225">
        <v>-118.24</v>
      </c>
      <c r="I131" s="225">
        <v>251275</v>
      </c>
      <c r="J131" s="225">
        <v>133000</v>
      </c>
      <c r="K131" s="225">
        <v>63450</v>
      </c>
      <c r="L131" s="225">
        <v>45000</v>
      </c>
      <c r="M131" s="225">
        <v>251275</v>
      </c>
      <c r="N131" s="225">
        <f>VLOOKUP(D131,Utilization!$B$9:$E$44,4,FALSE)</f>
        <v>0.95687171402016358</v>
      </c>
      <c r="O131" s="225">
        <f t="shared" ref="O131:O145" si="15">M131*N131</f>
        <v>240437.9399404166</v>
      </c>
      <c r="P131" s="225">
        <f t="shared" ref="P131:P145" si="16">IFERROR(N131/M131,0)</f>
        <v>3.8080657209040435E-6</v>
      </c>
      <c r="Q131" s="215">
        <v>11.674586466165412</v>
      </c>
      <c r="R131" s="266">
        <v>598.13</v>
      </c>
      <c r="S131" s="266">
        <v>483.24</v>
      </c>
      <c r="T131" s="266">
        <v>523.66999999999996</v>
      </c>
      <c r="U131" s="266">
        <v>584.1</v>
      </c>
      <c r="V131" s="266">
        <v>312.43</v>
      </c>
      <c r="W131" s="266">
        <v>324.02</v>
      </c>
      <c r="X131" s="266">
        <v>163.83000000000001</v>
      </c>
      <c r="Y131" s="266">
        <v>6.8999999999999999E-3</v>
      </c>
      <c r="Z131" s="266">
        <v>0.59</v>
      </c>
      <c r="AA131" s="266">
        <v>9.82</v>
      </c>
      <c r="AB131" s="266">
        <v>14.06</v>
      </c>
      <c r="AC131" s="266">
        <v>1.39</v>
      </c>
      <c r="AD131" s="266">
        <v>6.34</v>
      </c>
      <c r="AE131" s="266">
        <v>810.3</v>
      </c>
      <c r="AF131" s="266">
        <v>2128.41</v>
      </c>
      <c r="AG131" s="266">
        <v>3167.18</v>
      </c>
      <c r="AH131" s="266">
        <v>74.930000000000007</v>
      </c>
      <c r="AI131" s="266">
        <v>31.01</v>
      </c>
      <c r="AJ131" s="266">
        <v>1728.05</v>
      </c>
      <c r="AK131" s="266">
        <v>393.26664</v>
      </c>
      <c r="AL131" s="314">
        <f>AK131*Conversions!$D$4*1000000</f>
        <v>24308204.285039995</v>
      </c>
      <c r="AM131" s="266">
        <v>3.52935</v>
      </c>
      <c r="AN131" s="313">
        <f>AK131*Conversions!$D$5*1000000</f>
        <v>42.217173803999998</v>
      </c>
      <c r="AO131">
        <f t="shared" ref="AO131:AO145" si="17">IF(M131&lt;100000,36,131)</f>
        <v>131</v>
      </c>
    </row>
    <row r="132" spans="1:41" x14ac:dyDescent="0.25">
      <c r="A132">
        <v>4182511</v>
      </c>
      <c r="B132">
        <v>3</v>
      </c>
      <c r="C132" t="s">
        <v>625</v>
      </c>
      <c r="D132" t="s">
        <v>828</v>
      </c>
      <c r="E132" t="s">
        <v>840</v>
      </c>
      <c r="F132" t="s">
        <v>841</v>
      </c>
      <c r="G132">
        <v>29.72</v>
      </c>
      <c r="H132">
        <v>-95.25</v>
      </c>
      <c r="I132" s="225">
        <v>90000</v>
      </c>
      <c r="J132" s="225">
        <v>39000</v>
      </c>
      <c r="K132" s="225">
        <v>0</v>
      </c>
      <c r="L132" s="225">
        <v>34000</v>
      </c>
      <c r="M132">
        <v>90000</v>
      </c>
      <c r="N132">
        <f>VLOOKUP(D132,Utilization!$B$9:$E$44,4,FALSE)</f>
        <v>0.9875985727971196</v>
      </c>
      <c r="O132">
        <f t="shared" si="15"/>
        <v>88883.871551740769</v>
      </c>
      <c r="P132">
        <f t="shared" si="16"/>
        <v>1.0973317475523551E-5</v>
      </c>
      <c r="Q132" s="215">
        <v>11.788888888888888</v>
      </c>
      <c r="R132" s="215">
        <v>206.57</v>
      </c>
      <c r="S132" s="215">
        <v>178.23</v>
      </c>
      <c r="T132" s="215">
        <v>65.03</v>
      </c>
      <c r="U132" s="215">
        <v>212.42</v>
      </c>
      <c r="V132" s="215">
        <v>82.27</v>
      </c>
      <c r="W132" s="215">
        <v>84.33</v>
      </c>
      <c r="X132" s="215">
        <v>24.41</v>
      </c>
      <c r="Y132" s="215">
        <v>4.9000000000000002E-2</v>
      </c>
      <c r="Z132" s="215">
        <v>5.37</v>
      </c>
      <c r="AA132" s="215">
        <v>12.55</v>
      </c>
      <c r="AB132" s="215">
        <v>6</v>
      </c>
      <c r="AC132" s="215">
        <v>6.2</v>
      </c>
      <c r="AD132" s="215">
        <v>16</v>
      </c>
      <c r="AE132" s="215">
        <v>394</v>
      </c>
      <c r="AF132" s="215">
        <v>1338</v>
      </c>
      <c r="AG132" s="215">
        <v>2452</v>
      </c>
      <c r="AH132" s="215">
        <v>32</v>
      </c>
      <c r="AI132" s="215">
        <v>1178</v>
      </c>
      <c r="AJ132" s="215">
        <v>0</v>
      </c>
      <c r="AK132" s="266">
        <v>0</v>
      </c>
      <c r="AL132" s="311">
        <f>AK132*Conversions!$D$4*1000000</f>
        <v>0</v>
      </c>
      <c r="AM132" s="225">
        <v>0</v>
      </c>
      <c r="AN132" s="302">
        <f>AK132*Conversions!$D$5*1000000</f>
        <v>0</v>
      </c>
      <c r="AO132">
        <f t="shared" si="17"/>
        <v>36</v>
      </c>
    </row>
    <row r="133" spans="1:41" x14ac:dyDescent="0.25">
      <c r="A133">
        <v>7765411</v>
      </c>
      <c r="B133">
        <v>4</v>
      </c>
      <c r="C133" t="s">
        <v>668</v>
      </c>
      <c r="D133" t="s">
        <v>760</v>
      </c>
      <c r="E133" t="s">
        <v>763</v>
      </c>
      <c r="F133" t="s">
        <v>762</v>
      </c>
      <c r="G133">
        <v>45.78</v>
      </c>
      <c r="H133">
        <v>-108.48</v>
      </c>
      <c r="I133" s="225">
        <v>58000</v>
      </c>
      <c r="J133" s="225">
        <v>35000</v>
      </c>
      <c r="K133" s="225">
        <v>20000</v>
      </c>
      <c r="L133" s="225">
        <v>0</v>
      </c>
      <c r="M133">
        <v>58000</v>
      </c>
      <c r="N133">
        <f>VLOOKUP(D133,Utilization!$B$9:$E$44,4,FALSE)</f>
        <v>1</v>
      </c>
      <c r="O133">
        <f t="shared" si="15"/>
        <v>58000</v>
      </c>
      <c r="P133">
        <f t="shared" si="16"/>
        <v>1.7241379310344828E-5</v>
      </c>
      <c r="Q133" s="215">
        <v>11.939451724137932</v>
      </c>
      <c r="R133" s="215">
        <v>347.83</v>
      </c>
      <c r="S133" s="215">
        <v>345.47</v>
      </c>
      <c r="T133" s="215">
        <v>36.799999999999997</v>
      </c>
      <c r="U133" s="215">
        <v>509.68</v>
      </c>
      <c r="V133" s="215">
        <v>84.55</v>
      </c>
      <c r="W133" s="215">
        <v>102.47</v>
      </c>
      <c r="X133" s="215">
        <v>2.08</v>
      </c>
      <c r="Y133" s="215">
        <v>1.77E-2</v>
      </c>
      <c r="Z133" s="215">
        <v>8.82</v>
      </c>
      <c r="AA133" s="215">
        <v>16.12</v>
      </c>
      <c r="AB133" s="215">
        <v>4.0999999999999996</v>
      </c>
      <c r="AC133" s="215">
        <v>0</v>
      </c>
      <c r="AD133" s="215">
        <v>0</v>
      </c>
      <c r="AE133" s="215">
        <v>0</v>
      </c>
      <c r="AF133" s="215">
        <v>0</v>
      </c>
      <c r="AG133" s="215">
        <v>2050</v>
      </c>
      <c r="AH133" s="215">
        <v>0</v>
      </c>
      <c r="AI133" s="215">
        <v>54</v>
      </c>
      <c r="AJ133" s="215">
        <v>3.6</v>
      </c>
      <c r="AK133" s="266">
        <v>0</v>
      </c>
      <c r="AL133" s="311">
        <f>AK133*Conversions!$D$4*1000000</f>
        <v>0</v>
      </c>
      <c r="AM133" s="225">
        <v>0</v>
      </c>
      <c r="AN133" s="302">
        <f>AK133*Conversions!$D$5*1000000</f>
        <v>0</v>
      </c>
      <c r="AO133">
        <f t="shared" si="17"/>
        <v>36</v>
      </c>
    </row>
    <row r="134" spans="1:41" x14ac:dyDescent="0.25">
      <c r="A134" s="225">
        <v>6480811</v>
      </c>
      <c r="B134" s="225">
        <v>5</v>
      </c>
      <c r="C134" s="225" t="s">
        <v>617</v>
      </c>
      <c r="D134" s="225" t="s">
        <v>634</v>
      </c>
      <c r="E134" s="225" t="s">
        <v>662</v>
      </c>
      <c r="F134" s="225" t="s">
        <v>663</v>
      </c>
      <c r="G134" s="225">
        <v>38.020000000000003</v>
      </c>
      <c r="H134" s="225">
        <v>-122.06</v>
      </c>
      <c r="I134" s="225">
        <v>161000</v>
      </c>
      <c r="J134" s="225">
        <v>144000</v>
      </c>
      <c r="K134" s="225">
        <v>42000</v>
      </c>
      <c r="L134" s="225">
        <v>32000</v>
      </c>
      <c r="M134" s="225">
        <v>161000</v>
      </c>
      <c r="N134" s="225">
        <f>VLOOKUP(D134,Utilization!$B$9:$E$44,4,FALSE)</f>
        <v>0.95687171402016358</v>
      </c>
      <c r="O134" s="225">
        <f t="shared" si="15"/>
        <v>154056.34595724635</v>
      </c>
      <c r="P134" s="225">
        <f t="shared" si="16"/>
        <v>5.9433025715538109E-6</v>
      </c>
      <c r="Q134" s="215">
        <v>12.342267080745343</v>
      </c>
      <c r="R134" s="266">
        <v>338.46</v>
      </c>
      <c r="S134" s="266">
        <v>586.87</v>
      </c>
      <c r="T134" s="266">
        <v>469.93</v>
      </c>
      <c r="U134" s="266">
        <v>1023.42</v>
      </c>
      <c r="V134" s="266">
        <v>136.55000000000001</v>
      </c>
      <c r="W134" s="266">
        <v>149.41</v>
      </c>
      <c r="X134" s="266">
        <v>0.24</v>
      </c>
      <c r="Y134" s="266">
        <v>3.8800000000000001E-2</v>
      </c>
      <c r="Z134" s="266">
        <v>41.77</v>
      </c>
      <c r="AA134" s="266">
        <v>29.95</v>
      </c>
      <c r="AB134" s="266">
        <v>1.95</v>
      </c>
      <c r="AC134" s="266">
        <v>0.45</v>
      </c>
      <c r="AD134" s="266">
        <v>0.49</v>
      </c>
      <c r="AE134" s="266">
        <v>216.18</v>
      </c>
      <c r="AF134" s="266">
        <v>10165.6</v>
      </c>
      <c r="AG134" s="266">
        <v>27.6</v>
      </c>
      <c r="AH134" s="266">
        <v>4.32</v>
      </c>
      <c r="AI134" s="266">
        <v>74</v>
      </c>
      <c r="AJ134" s="266">
        <v>0.78</v>
      </c>
      <c r="AK134" s="266">
        <v>211.4</v>
      </c>
      <c r="AL134" s="314">
        <f>AK134*Conversions!$D$4*1000000</f>
        <v>13066845.399999999</v>
      </c>
      <c r="AM134" s="225">
        <v>8.9</v>
      </c>
      <c r="AN134" s="313">
        <f>AK134*Conversions!$D$5*1000000</f>
        <v>22.693790000000003</v>
      </c>
      <c r="AO134">
        <f t="shared" si="17"/>
        <v>131</v>
      </c>
    </row>
    <row r="135" spans="1:41" x14ac:dyDescent="0.25">
      <c r="A135" s="225">
        <v>5786211</v>
      </c>
      <c r="B135" s="225">
        <v>5</v>
      </c>
      <c r="C135" s="225" t="s">
        <v>617</v>
      </c>
      <c r="D135" s="225" t="s">
        <v>634</v>
      </c>
      <c r="E135" s="225" t="s">
        <v>658</v>
      </c>
      <c r="F135" s="225" t="s">
        <v>659</v>
      </c>
      <c r="G135" s="225">
        <v>33.85</v>
      </c>
      <c r="H135" s="225">
        <v>-118.33</v>
      </c>
      <c r="I135" s="225">
        <v>149500</v>
      </c>
      <c r="J135" s="225">
        <v>98000</v>
      </c>
      <c r="K135" s="225">
        <v>50500</v>
      </c>
      <c r="L135" s="225">
        <v>21000</v>
      </c>
      <c r="M135" s="225">
        <v>149500</v>
      </c>
      <c r="N135" s="225">
        <f>VLOOKUP(D135,Utilization!$B$9:$E$44,4,FALSE)</f>
        <v>0.95687171402016358</v>
      </c>
      <c r="O135" s="225">
        <f t="shared" si="15"/>
        <v>143052.32124601444</v>
      </c>
      <c r="P135" s="225">
        <f t="shared" si="16"/>
        <v>6.4004796924425658E-6</v>
      </c>
      <c r="Q135" s="215">
        <v>12.593023411371236</v>
      </c>
      <c r="R135" s="266">
        <v>973.5</v>
      </c>
      <c r="S135" s="266">
        <v>612.57000000000005</v>
      </c>
      <c r="T135" s="266">
        <v>346.7</v>
      </c>
      <c r="U135" s="266">
        <v>817.94</v>
      </c>
      <c r="V135" s="266">
        <v>322.45999999999998</v>
      </c>
      <c r="W135" s="266">
        <v>344.81</v>
      </c>
      <c r="X135" s="266">
        <v>50.25</v>
      </c>
      <c r="Y135" s="266">
        <v>3.6299999999999999E-2</v>
      </c>
      <c r="Z135" s="266">
        <v>22.19</v>
      </c>
      <c r="AA135" s="266">
        <v>41.17</v>
      </c>
      <c r="AB135" s="266">
        <v>176.51</v>
      </c>
      <c r="AC135" s="266">
        <v>0.61</v>
      </c>
      <c r="AD135" s="266">
        <v>27.81</v>
      </c>
      <c r="AE135" s="266">
        <v>1496.26</v>
      </c>
      <c r="AF135" s="266">
        <v>14440.71</v>
      </c>
      <c r="AG135" s="266">
        <v>2086.92</v>
      </c>
      <c r="AH135" s="266">
        <v>623.37</v>
      </c>
      <c r="AI135" s="266">
        <v>135.41999999999999</v>
      </c>
      <c r="AJ135" s="266">
        <v>21.8</v>
      </c>
      <c r="AK135" s="266">
        <v>177.35696100000001</v>
      </c>
      <c r="AL135" s="314">
        <f>AK135*Conversions!$D$4*1000000</f>
        <v>10962611.116370998</v>
      </c>
      <c r="AM135" s="266">
        <v>1.8608</v>
      </c>
      <c r="AN135" s="313">
        <f>AK135*Conversions!$D$5*1000000</f>
        <v>19.039269763350003</v>
      </c>
      <c r="AO135">
        <f t="shared" si="17"/>
        <v>131</v>
      </c>
    </row>
    <row r="136" spans="1:41" x14ac:dyDescent="0.25">
      <c r="A136">
        <v>4835311</v>
      </c>
      <c r="B136">
        <v>3</v>
      </c>
      <c r="C136" t="s">
        <v>625</v>
      </c>
      <c r="D136" t="s">
        <v>828</v>
      </c>
      <c r="E136" t="s">
        <v>843</v>
      </c>
      <c r="F136" t="s">
        <v>832</v>
      </c>
      <c r="G136">
        <v>29.37</v>
      </c>
      <c r="H136">
        <v>-94.92</v>
      </c>
      <c r="I136" s="225">
        <v>451250</v>
      </c>
      <c r="J136" s="225">
        <v>225150</v>
      </c>
      <c r="K136" s="225">
        <v>29700</v>
      </c>
      <c r="L136" s="225">
        <v>117000</v>
      </c>
      <c r="M136">
        <v>451250</v>
      </c>
      <c r="N136">
        <f>VLOOKUP(D136,Utilization!$B$9:$E$44,4,FALSE)</f>
        <v>0.9875985727971196</v>
      </c>
      <c r="O136">
        <f t="shared" si="15"/>
        <v>445653.85597470024</v>
      </c>
      <c r="P136">
        <f t="shared" si="16"/>
        <v>2.1885840948412623E-6</v>
      </c>
      <c r="Q136" s="215">
        <v>12.895638559556785</v>
      </c>
      <c r="R136" s="215">
        <v>898.02</v>
      </c>
      <c r="S136" s="215">
        <v>1438.33</v>
      </c>
      <c r="T136" s="215">
        <v>660.51</v>
      </c>
      <c r="U136" s="215">
        <v>1665.52</v>
      </c>
      <c r="V136" s="215">
        <v>298.99</v>
      </c>
      <c r="W136" s="215">
        <v>299.54000000000002</v>
      </c>
      <c r="X136" s="215">
        <v>16.13</v>
      </c>
      <c r="Y136" s="215">
        <v>0</v>
      </c>
      <c r="Z136" s="215">
        <v>22.19</v>
      </c>
      <c r="AA136" s="215">
        <v>46.95</v>
      </c>
      <c r="AB136" s="215">
        <v>17.399999999999999</v>
      </c>
      <c r="AC136" s="215">
        <v>5.42</v>
      </c>
      <c r="AD136" s="215">
        <v>23.6</v>
      </c>
      <c r="AE136" s="215">
        <v>700.2</v>
      </c>
      <c r="AF136" s="215">
        <v>3644.4</v>
      </c>
      <c r="AG136" s="215">
        <v>11066.4</v>
      </c>
      <c r="AH136" s="215">
        <v>51</v>
      </c>
      <c r="AI136" s="215">
        <v>4095</v>
      </c>
      <c r="AJ136" s="215">
        <v>0</v>
      </c>
      <c r="AK136" s="266">
        <v>0</v>
      </c>
      <c r="AL136" s="311">
        <f>AK136*Conversions!$D$4*1000000</f>
        <v>0</v>
      </c>
      <c r="AM136" s="225">
        <v>0</v>
      </c>
      <c r="AN136" s="302">
        <f>AK136*Conversions!$D$5*1000000</f>
        <v>0</v>
      </c>
      <c r="AO136">
        <f t="shared" si="17"/>
        <v>131</v>
      </c>
    </row>
    <row r="137" spans="1:41" s="339" customFormat="1" x14ac:dyDescent="0.25">
      <c r="A137" s="339" t="s">
        <v>1239</v>
      </c>
      <c r="B137" s="339">
        <v>3</v>
      </c>
      <c r="C137" s="339" t="s">
        <v>625</v>
      </c>
      <c r="D137" s="339" t="s">
        <v>828</v>
      </c>
      <c r="E137" s="354" t="s">
        <v>1240</v>
      </c>
      <c r="F137" s="339" t="s">
        <v>836</v>
      </c>
      <c r="G137" s="339">
        <v>27.81</v>
      </c>
      <c r="H137" s="339">
        <v>-97.49</v>
      </c>
      <c r="I137" s="339">
        <v>156750</v>
      </c>
      <c r="J137" s="339">
        <v>73625</v>
      </c>
      <c r="K137" s="339">
        <v>37800</v>
      </c>
      <c r="L137" s="339">
        <v>0</v>
      </c>
      <c r="M137" s="339">
        <v>156750</v>
      </c>
      <c r="N137" s="339">
        <v>0.9875985727971196</v>
      </c>
      <c r="O137" s="339">
        <f t="shared" si="15"/>
        <v>154806.07628594851</v>
      </c>
      <c r="P137" s="339">
        <f t="shared" si="16"/>
        <v>6.3004693639369675E-6</v>
      </c>
      <c r="R137" s="354">
        <v>1955.55</v>
      </c>
      <c r="S137" s="354">
        <v>1909.42</v>
      </c>
      <c r="T137" s="354">
        <v>742.34999999999991</v>
      </c>
      <c r="U137" s="354">
        <v>3332.7200000000003</v>
      </c>
      <c r="V137" s="354">
        <v>1079.6599999999999</v>
      </c>
      <c r="W137" s="354">
        <v>1141.02</v>
      </c>
      <c r="X137" s="354">
        <v>21.270399999999999</v>
      </c>
      <c r="Y137" s="354">
        <v>0.102477</v>
      </c>
      <c r="Z137" s="354">
        <v>146.51</v>
      </c>
      <c r="AA137" s="354">
        <v>130.16999999999999</v>
      </c>
      <c r="AB137" s="354">
        <v>66.202239999999989</v>
      </c>
      <c r="AC137" s="354">
        <v>8.3163</v>
      </c>
      <c r="AD137" s="354">
        <v>34.57</v>
      </c>
      <c r="AE137" s="354">
        <v>1346.6999999999998</v>
      </c>
      <c r="AF137" s="354">
        <v>9226.6</v>
      </c>
      <c r="AG137" s="354">
        <v>17371.8</v>
      </c>
      <c r="AH137" s="354">
        <v>641.30000000000007</v>
      </c>
      <c r="AI137" s="354">
        <v>413</v>
      </c>
      <c r="AJ137" s="354">
        <v>10250</v>
      </c>
      <c r="AK137" s="354">
        <v>0</v>
      </c>
      <c r="AL137" s="354">
        <v>0</v>
      </c>
      <c r="AM137" s="354">
        <v>0</v>
      </c>
      <c r="AN137" s="354">
        <v>0</v>
      </c>
      <c r="AO137" s="339">
        <f t="shared" si="17"/>
        <v>131</v>
      </c>
    </row>
    <row r="138" spans="1:41" x14ac:dyDescent="0.25">
      <c r="A138" s="225">
        <v>6531011</v>
      </c>
      <c r="B138" s="225">
        <v>5</v>
      </c>
      <c r="C138" s="225" t="s">
        <v>617</v>
      </c>
      <c r="D138" s="225" t="s">
        <v>634</v>
      </c>
      <c r="E138" s="225" t="s">
        <v>667</v>
      </c>
      <c r="F138" s="225" t="s">
        <v>663</v>
      </c>
      <c r="G138" s="225">
        <v>38.01</v>
      </c>
      <c r="H138" s="225">
        <v>-122.11</v>
      </c>
      <c r="I138" s="225">
        <v>145000</v>
      </c>
      <c r="J138" s="225">
        <v>91100</v>
      </c>
      <c r="K138" s="225">
        <v>46500</v>
      </c>
      <c r="L138" s="225">
        <v>37900</v>
      </c>
      <c r="M138" s="225">
        <v>145000</v>
      </c>
      <c r="N138" s="225">
        <f>VLOOKUP(D138,Utilization!$B$9:$E$44,4,FALSE)</f>
        <v>0.95687171402016358</v>
      </c>
      <c r="O138" s="225">
        <f t="shared" si="15"/>
        <v>138746.39853292372</v>
      </c>
      <c r="P138" s="225">
        <f t="shared" si="16"/>
        <v>6.5991152691045767E-6</v>
      </c>
      <c r="Q138" s="215">
        <v>13.87600689655172</v>
      </c>
      <c r="R138" s="266">
        <v>1201.69</v>
      </c>
      <c r="S138" s="266">
        <v>1227.5999999999999</v>
      </c>
      <c r="T138" s="266">
        <v>1160.3800000000001</v>
      </c>
      <c r="U138" s="266">
        <v>1036.28</v>
      </c>
      <c r="V138" s="266">
        <v>831.97</v>
      </c>
      <c r="W138" s="266">
        <v>883.59</v>
      </c>
      <c r="X138" s="266">
        <v>0.15</v>
      </c>
      <c r="Y138" s="266">
        <v>1.0999999999999999E-2</v>
      </c>
      <c r="Z138" s="266">
        <v>126.71</v>
      </c>
      <c r="AA138" s="266">
        <v>224.43</v>
      </c>
      <c r="AB138" s="266">
        <v>9.81</v>
      </c>
      <c r="AC138" s="266">
        <v>1.78</v>
      </c>
      <c r="AD138" s="266">
        <v>1.27</v>
      </c>
      <c r="AE138" s="266">
        <v>823.79</v>
      </c>
      <c r="AF138" s="266">
        <v>36299.43</v>
      </c>
      <c r="AG138" s="266">
        <v>406.6</v>
      </c>
      <c r="AH138" s="266">
        <v>120</v>
      </c>
      <c r="AI138" s="266">
        <v>10.95</v>
      </c>
      <c r="AJ138" s="266">
        <v>54.75</v>
      </c>
      <c r="AK138" s="266">
        <v>25.1</v>
      </c>
      <c r="AL138" s="314">
        <f>AK138*Conversions!$D$4*1000000</f>
        <v>1551456.0999999999</v>
      </c>
      <c r="AM138" s="225">
        <v>0.7</v>
      </c>
      <c r="AN138" s="313">
        <f>AK138*Conversions!$D$5*1000000</f>
        <v>2.6944850000000002</v>
      </c>
      <c r="AO138">
        <f t="shared" si="17"/>
        <v>131</v>
      </c>
    </row>
    <row r="139" spans="1:41" x14ac:dyDescent="0.25">
      <c r="A139" s="225">
        <v>6530111</v>
      </c>
      <c r="B139" s="225">
        <v>5</v>
      </c>
      <c r="C139" s="225" t="s">
        <v>617</v>
      </c>
      <c r="D139" s="225" t="s">
        <v>634</v>
      </c>
      <c r="E139" s="225" t="s">
        <v>665</v>
      </c>
      <c r="F139" s="225" t="s">
        <v>666</v>
      </c>
      <c r="G139" s="225">
        <v>37.93</v>
      </c>
      <c r="H139" s="225">
        <v>-122.39</v>
      </c>
      <c r="I139" s="225">
        <v>257000</v>
      </c>
      <c r="J139" s="225">
        <v>110000</v>
      </c>
      <c r="K139" s="225">
        <v>0</v>
      </c>
      <c r="L139" s="225">
        <v>86000</v>
      </c>
      <c r="M139" s="225">
        <v>243000</v>
      </c>
      <c r="N139" s="225">
        <f>VLOOKUP(D139,Utilization!$B$9:$E$44,4,FALSE)</f>
        <v>0.95687171402016358</v>
      </c>
      <c r="O139" s="225">
        <f t="shared" si="15"/>
        <v>232519.82650689976</v>
      </c>
      <c r="P139" s="225">
        <f t="shared" si="16"/>
        <v>3.9377436790953236E-6</v>
      </c>
      <c r="Q139" s="215">
        <v>13.964396887159532</v>
      </c>
      <c r="R139" s="266">
        <v>382.91</v>
      </c>
      <c r="S139" s="266">
        <v>1007.88</v>
      </c>
      <c r="T139" s="266">
        <v>367.31</v>
      </c>
      <c r="U139" s="266">
        <v>835.38</v>
      </c>
      <c r="V139" s="266">
        <v>590.11</v>
      </c>
      <c r="W139" s="266">
        <v>716.01</v>
      </c>
      <c r="X139" s="266">
        <v>127.94</v>
      </c>
      <c r="Y139" s="266">
        <v>2.5499999999999998E-2</v>
      </c>
      <c r="Z139" s="266">
        <v>70.47</v>
      </c>
      <c r="AA139" s="266">
        <v>140.94999999999999</v>
      </c>
      <c r="AB139" s="266">
        <v>2.8</v>
      </c>
      <c r="AC139" s="266">
        <v>0.79</v>
      </c>
      <c r="AD139" s="266">
        <v>1.47</v>
      </c>
      <c r="AE139" s="266">
        <v>158.76</v>
      </c>
      <c r="AF139" s="266">
        <v>1436.06</v>
      </c>
      <c r="AG139" s="266">
        <v>837.05</v>
      </c>
      <c r="AH139" s="266">
        <v>32.39</v>
      </c>
      <c r="AI139" s="266">
        <v>43.3</v>
      </c>
      <c r="AJ139" s="266">
        <v>22.93</v>
      </c>
      <c r="AK139" s="266">
        <v>135.69999999999999</v>
      </c>
      <c r="AL139" s="314">
        <f>AK139*Conversions!$D$4*1000000</f>
        <v>8387752.6999999983</v>
      </c>
      <c r="AM139" s="225">
        <v>17.399999999999999</v>
      </c>
      <c r="AN139" s="313">
        <f>AK139*Conversions!$D$5*1000000</f>
        <v>14.567394999999999</v>
      </c>
      <c r="AO139">
        <f t="shared" si="17"/>
        <v>131</v>
      </c>
    </row>
    <row r="140" spans="1:41" x14ac:dyDescent="0.25">
      <c r="A140">
        <v>6284911</v>
      </c>
      <c r="B140">
        <v>3</v>
      </c>
      <c r="C140" t="s">
        <v>625</v>
      </c>
      <c r="D140" t="s">
        <v>752</v>
      </c>
      <c r="E140" t="s">
        <v>753</v>
      </c>
      <c r="F140" t="s">
        <v>754</v>
      </c>
      <c r="G140">
        <v>32.380000000000003</v>
      </c>
      <c r="H140">
        <v>-90.9</v>
      </c>
      <c r="I140" s="225">
        <v>0</v>
      </c>
      <c r="J140" s="225">
        <v>0</v>
      </c>
      <c r="K140" s="225">
        <v>0</v>
      </c>
      <c r="L140" s="225">
        <v>0</v>
      </c>
      <c r="M140">
        <v>23000</v>
      </c>
      <c r="N140">
        <f>VLOOKUP(D140,Utilization!$B$9:$E$44,4,FALSE)</f>
        <v>1</v>
      </c>
      <c r="O140">
        <f t="shared" si="15"/>
        <v>23000</v>
      </c>
      <c r="P140">
        <f t="shared" si="16"/>
        <v>4.347826086956522E-5</v>
      </c>
      <c r="Q140" s="215">
        <v>13.991869565217392</v>
      </c>
      <c r="R140" s="215">
        <v>119.57</v>
      </c>
      <c r="S140" s="215">
        <v>90.23</v>
      </c>
      <c r="T140" s="215">
        <v>3.81</v>
      </c>
      <c r="U140" s="215">
        <v>142.76</v>
      </c>
      <c r="V140" s="215">
        <v>26.3</v>
      </c>
      <c r="W140" s="215">
        <v>26.3</v>
      </c>
      <c r="X140" s="215">
        <v>793.08</v>
      </c>
      <c r="Y140" s="215">
        <v>1.2899999999999999E-4</v>
      </c>
      <c r="Z140" s="215">
        <v>7.46</v>
      </c>
      <c r="AA140" s="215">
        <v>5.0199999999999996</v>
      </c>
      <c r="AB140" s="215">
        <v>7.7700000000000005E-5</v>
      </c>
      <c r="AC140" s="215">
        <v>2.8899999999999999E-2</v>
      </c>
      <c r="AD140" s="215">
        <v>0.1</v>
      </c>
      <c r="AE140" s="215">
        <v>0</v>
      </c>
      <c r="AF140" s="215">
        <v>9.82</v>
      </c>
      <c r="AG140" s="215">
        <v>327.8</v>
      </c>
      <c r="AH140" s="215">
        <v>0</v>
      </c>
      <c r="AI140" s="215">
        <v>0</v>
      </c>
      <c r="AJ140" s="215">
        <v>0</v>
      </c>
      <c r="AK140" s="266">
        <v>0</v>
      </c>
      <c r="AL140" s="311">
        <f>AK140*Conversions!$D$4*1000000</f>
        <v>0</v>
      </c>
      <c r="AM140" s="225">
        <v>0</v>
      </c>
      <c r="AN140" s="302">
        <f>AK140*Conversions!$D$5*1000000</f>
        <v>0</v>
      </c>
      <c r="AO140">
        <f t="shared" si="17"/>
        <v>36</v>
      </c>
    </row>
    <row r="141" spans="1:41" x14ac:dyDescent="0.25">
      <c r="A141">
        <v>4861611</v>
      </c>
      <c r="B141">
        <v>3</v>
      </c>
      <c r="C141" t="s">
        <v>625</v>
      </c>
      <c r="D141" t="s">
        <v>828</v>
      </c>
      <c r="E141" t="s">
        <v>844</v>
      </c>
      <c r="F141" t="s">
        <v>845</v>
      </c>
      <c r="G141">
        <v>35.700000000000003</v>
      </c>
      <c r="H141">
        <v>-101.36</v>
      </c>
      <c r="I141" s="225">
        <v>146000</v>
      </c>
      <c r="J141" s="225">
        <v>75000</v>
      </c>
      <c r="K141" s="225">
        <v>26000</v>
      </c>
      <c r="L141" s="225">
        <v>0</v>
      </c>
      <c r="M141">
        <v>146000</v>
      </c>
      <c r="N141">
        <f>VLOOKUP(D141,Utilization!$B$9:$E$44,4,FALSE)</f>
        <v>0.9875985727971196</v>
      </c>
      <c r="O141">
        <f t="shared" si="15"/>
        <v>144189.39162837947</v>
      </c>
      <c r="P141">
        <f t="shared" si="16"/>
        <v>6.7643737862816414E-6</v>
      </c>
      <c r="Q141" s="215">
        <v>14.144520547945207</v>
      </c>
      <c r="R141" s="215">
        <v>1046.2</v>
      </c>
      <c r="S141" s="215">
        <v>2990.77</v>
      </c>
      <c r="T141" s="215">
        <v>832.39</v>
      </c>
      <c r="U141" s="215">
        <v>1287.6199999999999</v>
      </c>
      <c r="V141" s="215">
        <v>212.17</v>
      </c>
      <c r="W141" s="215">
        <v>270.19</v>
      </c>
      <c r="X141" s="215">
        <v>30.54</v>
      </c>
      <c r="Y141" s="215">
        <v>8.6400000000000005E-2</v>
      </c>
      <c r="Z141" s="215">
        <v>14.92</v>
      </c>
      <c r="AA141" s="215">
        <v>19.61</v>
      </c>
      <c r="AB141" s="215">
        <v>11.2</v>
      </c>
      <c r="AC141" s="215">
        <v>22.15</v>
      </c>
      <c r="AD141" s="215">
        <v>27</v>
      </c>
      <c r="AE141" s="215">
        <v>3290.4</v>
      </c>
      <c r="AF141" s="215">
        <v>22152.799999999999</v>
      </c>
      <c r="AG141" s="215">
        <v>10596.4</v>
      </c>
      <c r="AH141" s="215">
        <v>1256.2</v>
      </c>
      <c r="AI141" s="215">
        <v>398.4</v>
      </c>
      <c r="AJ141" s="215">
        <v>25</v>
      </c>
      <c r="AK141" s="266">
        <v>0</v>
      </c>
      <c r="AL141" s="311">
        <f>AK141*Conversions!$D$4*1000000</f>
        <v>0</v>
      </c>
      <c r="AM141" s="225">
        <v>0</v>
      </c>
      <c r="AN141" s="302">
        <f>AK141*Conversions!$D$5*1000000</f>
        <v>0</v>
      </c>
      <c r="AO141">
        <f t="shared" si="17"/>
        <v>131</v>
      </c>
    </row>
    <row r="142" spans="1:41" x14ac:dyDescent="0.25">
      <c r="A142">
        <v>8067211</v>
      </c>
      <c r="B142">
        <v>2</v>
      </c>
      <c r="C142" t="s">
        <v>683</v>
      </c>
      <c r="D142" t="s">
        <v>698</v>
      </c>
      <c r="E142" t="s">
        <v>702</v>
      </c>
      <c r="F142" t="s">
        <v>703</v>
      </c>
      <c r="G142">
        <v>38.340000000000003</v>
      </c>
      <c r="H142">
        <v>-97.67</v>
      </c>
      <c r="I142" s="225">
        <v>82700</v>
      </c>
      <c r="J142" s="225">
        <v>35600</v>
      </c>
      <c r="K142" s="225">
        <v>20800</v>
      </c>
      <c r="L142" s="225">
        <v>36400</v>
      </c>
      <c r="M142">
        <v>82700</v>
      </c>
      <c r="N142">
        <f>VLOOKUP(D142,Utilization!$B$9:$E$44,4,FALSE)</f>
        <v>1</v>
      </c>
      <c r="O142">
        <f t="shared" si="15"/>
        <v>82700</v>
      </c>
      <c r="P142">
        <f t="shared" si="16"/>
        <v>1.2091898428053204E-5</v>
      </c>
      <c r="Q142" s="215">
        <v>14.163413542926241</v>
      </c>
      <c r="R142" s="215">
        <v>547.35</v>
      </c>
      <c r="S142" s="215">
        <v>411.33</v>
      </c>
      <c r="T142" s="215">
        <v>45.44</v>
      </c>
      <c r="U142" s="215">
        <v>1118.57</v>
      </c>
      <c r="V142" s="215">
        <v>200.19</v>
      </c>
      <c r="W142" s="215">
        <v>214.49</v>
      </c>
      <c r="X142" s="215">
        <v>0.19</v>
      </c>
      <c r="Y142" s="215">
        <v>9.4999999999999998E-3</v>
      </c>
      <c r="Z142" s="215">
        <v>24.14</v>
      </c>
      <c r="AA142" s="215">
        <v>34.380000000000003</v>
      </c>
      <c r="AB142" s="215">
        <v>39.01</v>
      </c>
      <c r="AC142" s="215">
        <v>0</v>
      </c>
      <c r="AD142" s="215">
        <v>0</v>
      </c>
      <c r="AE142" s="215">
        <v>720</v>
      </c>
      <c r="AF142" s="215">
        <v>40299.58</v>
      </c>
      <c r="AG142" s="215">
        <v>5814.57</v>
      </c>
      <c r="AH142" s="215">
        <v>720</v>
      </c>
      <c r="AI142" s="215">
        <v>47</v>
      </c>
      <c r="AJ142" s="215">
        <v>531</v>
      </c>
      <c r="AK142" s="266">
        <v>0</v>
      </c>
      <c r="AL142" s="311">
        <f>AK142*Conversions!$D$4*1000000</f>
        <v>0</v>
      </c>
      <c r="AM142" s="225">
        <v>0</v>
      </c>
      <c r="AN142" s="302">
        <f>AK142*Conversions!$D$5*1000000</f>
        <v>0</v>
      </c>
      <c r="AO142">
        <f t="shared" si="17"/>
        <v>36</v>
      </c>
    </row>
    <row r="143" spans="1:41" x14ac:dyDescent="0.25">
      <c r="A143" s="225">
        <v>14055211</v>
      </c>
      <c r="B143" s="225">
        <v>5</v>
      </c>
      <c r="C143" s="225" t="s">
        <v>617</v>
      </c>
      <c r="D143" s="225" t="s">
        <v>634</v>
      </c>
      <c r="E143" s="225" t="s">
        <v>639</v>
      </c>
      <c r="F143" s="225" t="s">
        <v>640</v>
      </c>
      <c r="G143" s="225">
        <v>33.79</v>
      </c>
      <c r="H143" s="225">
        <v>-118.23</v>
      </c>
      <c r="I143" s="225">
        <v>100000</v>
      </c>
      <c r="J143" s="225">
        <v>62000</v>
      </c>
      <c r="K143" s="225">
        <v>40000</v>
      </c>
      <c r="L143" s="225">
        <v>32000</v>
      </c>
      <c r="M143" s="225">
        <v>100000</v>
      </c>
      <c r="N143" s="225">
        <f>VLOOKUP(D143,Utilization!$B$9:$E$44,4,FALSE)</f>
        <v>0.95687171402016358</v>
      </c>
      <c r="O143" s="225">
        <f t="shared" si="15"/>
        <v>95687.171402016364</v>
      </c>
      <c r="P143" s="225">
        <f t="shared" si="16"/>
        <v>9.5687171402016357E-6</v>
      </c>
      <c r="Q143" s="215">
        <v>14.771100000000001</v>
      </c>
      <c r="R143" s="266">
        <v>596.87</v>
      </c>
      <c r="S143" s="266">
        <v>235.37</v>
      </c>
      <c r="T143" s="266">
        <v>215.12</v>
      </c>
      <c r="U143" s="266">
        <v>583.99</v>
      </c>
      <c r="V143" s="266">
        <v>152.74</v>
      </c>
      <c r="W143" s="266">
        <v>210.23</v>
      </c>
      <c r="X143" s="266">
        <v>38.229999999999997</v>
      </c>
      <c r="Y143" s="266">
        <v>1.24E-2</v>
      </c>
      <c r="Z143" s="266">
        <v>28.02</v>
      </c>
      <c r="AA143" s="266">
        <v>12.25</v>
      </c>
      <c r="AB143" s="266">
        <v>6.84</v>
      </c>
      <c r="AC143" s="266">
        <v>1.28</v>
      </c>
      <c r="AD143" s="266">
        <v>10.7</v>
      </c>
      <c r="AE143" s="266">
        <v>2887.27</v>
      </c>
      <c r="AF143" s="266">
        <v>41547.85</v>
      </c>
      <c r="AG143" s="266">
        <v>838.26</v>
      </c>
      <c r="AH143" s="266">
        <v>5.0599999999999996</v>
      </c>
      <c r="AI143" s="266">
        <v>307.5</v>
      </c>
      <c r="AJ143" s="266">
        <v>41.99</v>
      </c>
      <c r="AK143" s="266">
        <v>57.604382000000001</v>
      </c>
      <c r="AL143" s="314">
        <f>AK143*Conversions!$D$4*1000000</f>
        <v>3560584.4558019997</v>
      </c>
      <c r="AM143" s="266">
        <v>0.62750000000000006</v>
      </c>
      <c r="AN143" s="313">
        <f>AK143*Conversions!$D$5*1000000</f>
        <v>6.1838304077000004</v>
      </c>
      <c r="AO143">
        <f t="shared" si="17"/>
        <v>131</v>
      </c>
    </row>
    <row r="144" spans="1:41" x14ac:dyDescent="0.25">
      <c r="A144">
        <v>5656011</v>
      </c>
      <c r="B144">
        <v>3</v>
      </c>
      <c r="C144" t="s">
        <v>625</v>
      </c>
      <c r="D144" t="s">
        <v>828</v>
      </c>
      <c r="E144" t="s">
        <v>859</v>
      </c>
      <c r="F144" t="s">
        <v>836</v>
      </c>
      <c r="G144">
        <v>27.81</v>
      </c>
      <c r="H144">
        <v>-97.43</v>
      </c>
      <c r="I144" s="225">
        <v>205000</v>
      </c>
      <c r="J144" s="225">
        <v>95000</v>
      </c>
      <c r="K144" s="225">
        <v>17500</v>
      </c>
      <c r="L144" s="225">
        <v>49000</v>
      </c>
      <c r="M144">
        <v>205000</v>
      </c>
      <c r="N144">
        <f>VLOOKUP(D144,Utilization!$B$9:$E$44,4,FALSE)</f>
        <v>0.9875985727971196</v>
      </c>
      <c r="O144">
        <f t="shared" si="15"/>
        <v>202457.70742340951</v>
      </c>
      <c r="P144">
        <f t="shared" si="16"/>
        <v>4.8175540136444855E-6</v>
      </c>
      <c r="Q144" s="215">
        <v>15.025697560975612</v>
      </c>
      <c r="R144" s="215">
        <v>111.29</v>
      </c>
      <c r="S144" s="215">
        <v>335.14</v>
      </c>
      <c r="T144" s="215">
        <v>97.78</v>
      </c>
      <c r="U144" s="215">
        <v>354.64</v>
      </c>
      <c r="V144" s="215">
        <v>59.77</v>
      </c>
      <c r="W144" s="215">
        <v>76.87</v>
      </c>
      <c r="X144" s="215">
        <v>2.36</v>
      </c>
      <c r="Y144" s="215">
        <v>1.6000000000000001E-3</v>
      </c>
      <c r="Z144" s="215">
        <v>9.2799999999999994</v>
      </c>
      <c r="AA144" s="215">
        <v>16.260000000000002</v>
      </c>
      <c r="AB144" s="215">
        <v>1</v>
      </c>
      <c r="AC144" s="215">
        <v>4</v>
      </c>
      <c r="AD144" s="215">
        <v>8</v>
      </c>
      <c r="AE144" s="215">
        <v>0.34</v>
      </c>
      <c r="AF144" s="215">
        <v>733.4</v>
      </c>
      <c r="AG144" s="215">
        <v>2918</v>
      </c>
      <c r="AH144" s="215">
        <v>0.34</v>
      </c>
      <c r="AI144" s="215">
        <v>0.4</v>
      </c>
      <c r="AJ144" s="215">
        <v>0</v>
      </c>
      <c r="AK144" s="266">
        <v>0</v>
      </c>
      <c r="AL144" s="311">
        <f>AK144*Conversions!$D$4*1000000</f>
        <v>0</v>
      </c>
      <c r="AM144" s="225">
        <v>0</v>
      </c>
      <c r="AN144" s="302">
        <f>AK144*Conversions!$D$5*1000000</f>
        <v>0</v>
      </c>
      <c r="AO144">
        <f t="shared" si="17"/>
        <v>131</v>
      </c>
    </row>
    <row r="145" spans="1:41" x14ac:dyDescent="0.25">
      <c r="A145">
        <v>4863111</v>
      </c>
      <c r="B145">
        <v>3</v>
      </c>
      <c r="C145" t="s">
        <v>625</v>
      </c>
      <c r="D145" t="s">
        <v>828</v>
      </c>
      <c r="E145" t="s">
        <v>848</v>
      </c>
      <c r="F145" t="s">
        <v>849</v>
      </c>
      <c r="G145">
        <v>29.96</v>
      </c>
      <c r="H145">
        <v>-93.89</v>
      </c>
      <c r="I145" s="225">
        <v>173589</v>
      </c>
      <c r="J145" s="225">
        <v>109315</v>
      </c>
      <c r="K145" s="225">
        <v>50438</v>
      </c>
      <c r="L145" s="225">
        <v>0</v>
      </c>
      <c r="M145">
        <v>173589</v>
      </c>
      <c r="N145">
        <f>VLOOKUP(D145,Utilization!$B$9:$E$44,4,FALSE)</f>
        <v>0.9875985727971196</v>
      </c>
      <c r="O145">
        <f t="shared" si="15"/>
        <v>171436.24865327918</v>
      </c>
      <c r="P145">
        <f t="shared" si="16"/>
        <v>5.6892923675873452E-6</v>
      </c>
      <c r="Q145" s="215">
        <v>16.547572138787601</v>
      </c>
      <c r="R145" s="215">
        <v>304.11</v>
      </c>
      <c r="S145" s="215">
        <v>402.85</v>
      </c>
      <c r="T145" s="215">
        <v>256.72000000000003</v>
      </c>
      <c r="U145" s="215">
        <v>532.07000000000005</v>
      </c>
      <c r="V145" s="215">
        <v>183.77</v>
      </c>
      <c r="W145" s="215">
        <v>183.77</v>
      </c>
      <c r="X145" s="215">
        <v>0.28000000000000003</v>
      </c>
      <c r="Y145" s="215">
        <v>1.16E-3</v>
      </c>
      <c r="Z145" s="215">
        <v>26.47</v>
      </c>
      <c r="AA145" s="215">
        <v>42.43</v>
      </c>
      <c r="AB145" s="215">
        <v>1.2</v>
      </c>
      <c r="AC145" s="215">
        <v>0.26</v>
      </c>
      <c r="AD145" s="215">
        <v>0.94</v>
      </c>
      <c r="AE145" s="215">
        <v>200</v>
      </c>
      <c r="AF145" s="215">
        <v>3874.23</v>
      </c>
      <c r="AG145" s="215">
        <v>865.2</v>
      </c>
      <c r="AH145" s="215">
        <v>20</v>
      </c>
      <c r="AI145" s="215">
        <v>42.2</v>
      </c>
      <c r="AJ145" s="215">
        <v>0</v>
      </c>
      <c r="AK145" s="266">
        <v>0</v>
      </c>
      <c r="AL145" s="311">
        <f>AK145*Conversions!$D$4*1000000</f>
        <v>0</v>
      </c>
      <c r="AM145" s="225">
        <v>0</v>
      </c>
      <c r="AN145" s="302">
        <f>AK145*Conversions!$D$5*1000000</f>
        <v>0</v>
      </c>
      <c r="AO145">
        <f t="shared" si="17"/>
        <v>131</v>
      </c>
    </row>
    <row r="146" spans="1:41" x14ac:dyDescent="0.25">
      <c r="Q146" s="215"/>
      <c r="R146" s="262" t="s">
        <v>1077</v>
      </c>
      <c r="S146" s="262" t="s">
        <v>1078</v>
      </c>
      <c r="T146" s="262" t="s">
        <v>1079</v>
      </c>
      <c r="U146" s="262" t="s">
        <v>1080</v>
      </c>
      <c r="V146" s="262" t="s">
        <v>1081</v>
      </c>
      <c r="W146" s="262" t="s">
        <v>1082</v>
      </c>
      <c r="X146" s="262" t="s">
        <v>1083</v>
      </c>
      <c r="Y146" s="262" t="s">
        <v>1084</v>
      </c>
      <c r="Z146" s="262" t="s">
        <v>1258</v>
      </c>
      <c r="AA146" s="262" t="s">
        <v>1257</v>
      </c>
      <c r="AB146" s="262" t="s">
        <v>1256</v>
      </c>
      <c r="AC146" s="262" t="s">
        <v>1255</v>
      </c>
      <c r="AD146" s="262" t="s">
        <v>1254</v>
      </c>
      <c r="AE146" s="262" t="s">
        <v>1253</v>
      </c>
      <c r="AF146" s="262" t="s">
        <v>1252</v>
      </c>
      <c r="AH146" s="262" t="s">
        <v>1251</v>
      </c>
      <c r="AI146" s="262" t="s">
        <v>1250</v>
      </c>
      <c r="AJ146" s="262" t="s">
        <v>1249</v>
      </c>
      <c r="AK146" s="266"/>
      <c r="AL146" s="262" t="s">
        <v>1074</v>
      </c>
      <c r="AM146" s="262" t="s">
        <v>1075</v>
      </c>
      <c r="AN146" s="262" t="s">
        <v>1076</v>
      </c>
      <c r="AO146" s="262" t="s">
        <v>1111</v>
      </c>
    </row>
    <row r="147" spans="1:41" x14ac:dyDescent="0.25">
      <c r="Q147" s="304" t="s">
        <v>1230</v>
      </c>
      <c r="R147" s="215" t="s">
        <v>970</v>
      </c>
      <c r="S147" s="215" t="s">
        <v>970</v>
      </c>
      <c r="T147" s="215" t="s">
        <v>970</v>
      </c>
      <c r="U147" s="215" t="s">
        <v>970</v>
      </c>
      <c r="V147" s="215" t="s">
        <v>970</v>
      </c>
      <c r="W147" s="215" t="s">
        <v>970</v>
      </c>
      <c r="X147" s="215" t="s">
        <v>970</v>
      </c>
      <c r="Y147" s="215" t="s">
        <v>970</v>
      </c>
      <c r="Z147" s="215" t="s">
        <v>970</v>
      </c>
      <c r="AA147" s="215" t="s">
        <v>970</v>
      </c>
      <c r="AB147" s="215" t="s">
        <v>970</v>
      </c>
      <c r="AC147" s="215" t="s">
        <v>970</v>
      </c>
      <c r="AD147" s="215" t="s">
        <v>970</v>
      </c>
      <c r="AE147" s="215" t="s">
        <v>970</v>
      </c>
      <c r="AF147" s="215" t="s">
        <v>970</v>
      </c>
      <c r="AG147" s="215" t="s">
        <v>970</v>
      </c>
      <c r="AH147" s="215" t="s">
        <v>970</v>
      </c>
      <c r="AI147" s="215" t="s">
        <v>970</v>
      </c>
      <c r="AJ147" s="215" t="s">
        <v>970</v>
      </c>
      <c r="AK147" s="215"/>
      <c r="AL147" s="215" t="s">
        <v>970</v>
      </c>
      <c r="AM147" s="215" t="s">
        <v>970</v>
      </c>
      <c r="AN147" s="215" t="s">
        <v>970</v>
      </c>
      <c r="AO147" s="215" t="s">
        <v>970</v>
      </c>
    </row>
    <row r="148" spans="1:41" s="302" customFormat="1" x14ac:dyDescent="0.25">
      <c r="P148" s="339">
        <f>COUNTIF($M$167:$M$306,"=1")</f>
        <v>14</v>
      </c>
      <c r="Q148" s="302" t="s">
        <v>1224</v>
      </c>
      <c r="R148" s="303">
        <f>IFERROR(SUMPRODUCT(--($M$167:$M$306=1),$P$6:$P$145,R$6:R$145)/SUMPRODUCT(($M$167:$M$306=1)*($P$6:$P$145&gt;0)*(R$6:R$145&gt;0))*907.185/365,0)</f>
        <v>1.1812747749291584E-2</v>
      </c>
      <c r="S148" s="303">
        <f t="shared" ref="S148:AA148" si="18">IFERROR(SUMPRODUCT(--($M$167:$M$306=1),$P$6:$P$145,S$6:S$145)/SUMPRODUCT(($M$167:$M$306=1)*($P$6:$P$145&gt;0)*(S$6:S$145&gt;0))*907.185/365,0)</f>
        <v>1.6984877862655245E-2</v>
      </c>
      <c r="T148" s="303">
        <f t="shared" si="18"/>
        <v>2.5244061743313041E-2</v>
      </c>
      <c r="U148" s="303">
        <f t="shared" si="18"/>
        <v>1.5220190084868726E-2</v>
      </c>
      <c r="V148" s="303">
        <f t="shared" si="18"/>
        <v>2.7902854044631561E-3</v>
      </c>
      <c r="W148" s="303">
        <f t="shared" si="18"/>
        <v>3.593051869608553E-3</v>
      </c>
      <c r="X148" s="303">
        <f t="shared" si="18"/>
        <v>4.9507817197873435E-4</v>
      </c>
      <c r="Y148" s="303">
        <f t="shared" si="18"/>
        <v>3.5091444294900039E-7</v>
      </c>
      <c r="Z148" s="303">
        <f t="shared" si="18"/>
        <v>4.9879068705353238E-4</v>
      </c>
      <c r="AA148" s="303">
        <f t="shared" si="18"/>
        <v>5.4449604321550257E-4</v>
      </c>
      <c r="AB148" s="303">
        <f>IFERROR(SUMPRODUCT(--($M$167:$M$306=1),$P$6:$P$145,AB$6:AB$145)/SUMPRODUCT(($M$167:$M$306=1)*($P$6:$P$145&gt;0)*(AB$6:AB$145&gt;0))*0.45359/365,0)</f>
        <v>2.0231784997023901E-7</v>
      </c>
      <c r="AC148" s="303">
        <f t="shared" ref="AC148:AJ148" si="19">IFERROR(SUMPRODUCT(--($M$167:$M$306=1),$P$6:$P$145,AC$6:AC$145)/SUMPRODUCT(($M$167:$M$306=1)*($P$6:$P$145&gt;0)*(AC$6:AC$145&gt;0))*0.45359/365,0)</f>
        <v>1.9900723869284425E-7</v>
      </c>
      <c r="AD148" s="303">
        <f t="shared" si="19"/>
        <v>4.0067567327475879E-7</v>
      </c>
      <c r="AE148" s="303">
        <f t="shared" si="19"/>
        <v>2.1852398260233973E-6</v>
      </c>
      <c r="AF148" s="303">
        <f t="shared" si="19"/>
        <v>5.0589925709469982E-5</v>
      </c>
      <c r="AG148" s="313">
        <f t="shared" si="19"/>
        <v>9.5972548052559181E-5</v>
      </c>
      <c r="AH148" s="303">
        <f t="shared" si="19"/>
        <v>4.8304119390983134E-7</v>
      </c>
      <c r="AI148" s="303">
        <f t="shared" si="19"/>
        <v>2.1365193061033217E-6</v>
      </c>
      <c r="AJ148" s="303">
        <f t="shared" si="19"/>
        <v>2.7409448482095661E-6</v>
      </c>
      <c r="AK148" s="313"/>
      <c r="AL148" s="313"/>
      <c r="AM148" s="313"/>
      <c r="AN148" s="313"/>
    </row>
    <row r="149" spans="1:41" x14ac:dyDescent="0.25">
      <c r="P149" s="339">
        <f>COUNTIF($M$167:$M$306,"=2")</f>
        <v>33</v>
      </c>
      <c r="Q149" t="s">
        <v>1225</v>
      </c>
      <c r="R149" s="303">
        <f>IFERROR(SUMPRODUCT(--($M$167:$M$306=2),$P$6:$P$145,R$6:R$145)/SUMPRODUCT(($M$167:$M$306=2)*($P$6:$P$145&gt;0)*(R$6:R$145&gt;0))*907.185/365,0)</f>
        <v>8.6255900998136632E-3</v>
      </c>
      <c r="S149" s="303">
        <f t="shared" ref="S149:AA149" si="20">IFERROR(SUMPRODUCT(--($M$167:$M$306=2),$P$6:$P$145,S$6:S$145)/SUMPRODUCT(($M$167:$M$306=2)*($P$6:$P$145&gt;0)*(S$6:S$145&gt;0))*907.185/365,0)</f>
        <v>1.8611000200276034E-2</v>
      </c>
      <c r="T149" s="303">
        <f t="shared" si="20"/>
        <v>1.21384323099936E-2</v>
      </c>
      <c r="U149" s="303">
        <f t="shared" si="20"/>
        <v>1.431974341517373E-2</v>
      </c>
      <c r="V149" s="303">
        <f t="shared" si="20"/>
        <v>4.3148204823811407E-3</v>
      </c>
      <c r="W149" s="303">
        <f t="shared" si="20"/>
        <v>4.8795987474670186E-3</v>
      </c>
      <c r="X149" s="303">
        <f t="shared" si="20"/>
        <v>6.5497127771440493E-4</v>
      </c>
      <c r="Y149" s="303">
        <f t="shared" si="20"/>
        <v>5.1689938851590541E-7</v>
      </c>
      <c r="Z149" s="303">
        <f t="shared" si="20"/>
        <v>4.2088137986468881E-4</v>
      </c>
      <c r="AA149" s="303">
        <f t="shared" si="20"/>
        <v>5.3498939977155336E-4</v>
      </c>
      <c r="AB149" s="303">
        <f>IFERROR(SUMPRODUCT(--($M$167:$M$306=2),$P$6:$P$145,AB$6:AB$145)/SUMPRODUCT(($M$167:$M$306=2)*($P$6:$P$145&gt;0)*(AB$6:AB$145&gt;0))*0.45359/365,0)</f>
        <v>8.6108257285594957E-8</v>
      </c>
      <c r="AC149" s="303">
        <f t="shared" ref="AC149:AJ149" si="21">IFERROR(SUMPRODUCT(--($M$167:$M$306=2),$P$6:$P$145,AC$6:AC$145)/SUMPRODUCT(($M$167:$M$306=2)*($P$6:$P$145&gt;0)*(AC$6:AC$145&gt;0))*0.45359/365,0)</f>
        <v>1.2391732318392603E-8</v>
      </c>
      <c r="AD149" s="303">
        <f t="shared" si="21"/>
        <v>2.6665489673615373E-8</v>
      </c>
      <c r="AE149" s="303">
        <f t="shared" si="21"/>
        <v>2.9304155855317389E-6</v>
      </c>
      <c r="AF149" s="303">
        <f t="shared" si="21"/>
        <v>5.3623056292131761E-5</v>
      </c>
      <c r="AG149" s="313">
        <f t="shared" si="21"/>
        <v>5.2095878751285316E-5</v>
      </c>
      <c r="AH149" s="303">
        <f t="shared" si="21"/>
        <v>1.3403659517071899E-6</v>
      </c>
      <c r="AI149" s="303">
        <f t="shared" si="21"/>
        <v>5.609972547564994E-6</v>
      </c>
      <c r="AJ149" s="303">
        <f t="shared" si="21"/>
        <v>4.0796085834216295E-6</v>
      </c>
      <c r="AK149" s="225"/>
      <c r="AL149" s="303">
        <f>IFERROR(SUMPRODUCT(--($M$167:$M$306&gt;0),$P$6:$P$145,AL6:AL145)/SUMPRODUCT(($M$167:$M$306&gt;0)*($P$6:$P$145&gt;0)*(AL$6:AL$145&gt;0))/365,0)</f>
        <v>0.1699260768126572</v>
      </c>
      <c r="AM149" s="303">
        <f t="shared" ref="AM149:AO149" si="22">IFERROR(SUMPRODUCT(--($M$167:$M$306&gt;0),$P$6:$P$145,AM6:AM145)/SUMPRODUCT(($M$167:$M$306&gt;0)*($P$6:$P$145&gt;0)*(AM$6:AM$145&gt;0))/365,0)</f>
        <v>1.5234902677791757E-7</v>
      </c>
      <c r="AN149" s="303">
        <f t="shared" si="22"/>
        <v>2.9511841493971553E-7</v>
      </c>
      <c r="AO149" s="303">
        <f t="shared" si="22"/>
        <v>2.5103188831423972E-6</v>
      </c>
    </row>
    <row r="150" spans="1:41" x14ac:dyDescent="0.25">
      <c r="P150" s="339">
        <f>COUNTIF($M$167:$M$306,"=3")</f>
        <v>14</v>
      </c>
      <c r="Q150" t="s">
        <v>1246</v>
      </c>
      <c r="R150" s="303">
        <f>IFERROR(SUMPRODUCT(--($M$167:$M$306=3),$P$6:$P$145,R$6:R$145)/SUMPRODUCT(($M$167:$M$306=3)*($P$6:$P$145&gt;0)*(R$6:R$145&gt;0))*907.185/365,0)</f>
        <v>8.6404910947074122E-3</v>
      </c>
      <c r="S150" s="303">
        <f t="shared" ref="S150:AA150" si="23">IFERROR(SUMPRODUCT(--($M$167:$M$306=3),$P$6:$P$145,S$6:S$145)/SUMPRODUCT(($M$167:$M$306=3)*($P$6:$P$145&gt;0)*(S$6:S$145&gt;0))*907.185/365,0)</f>
        <v>1.5939848288028056E-2</v>
      </c>
      <c r="T150" s="303">
        <f t="shared" si="23"/>
        <v>6.933429573408729E-3</v>
      </c>
      <c r="U150" s="303">
        <f t="shared" si="23"/>
        <v>1.2683198691882903E-2</v>
      </c>
      <c r="V150" s="303">
        <f t="shared" si="23"/>
        <v>3.1222541131806694E-3</v>
      </c>
      <c r="W150" s="303">
        <f t="shared" si="23"/>
        <v>3.5771106664869356E-3</v>
      </c>
      <c r="X150" s="303">
        <f t="shared" si="23"/>
        <v>3.7364492902582151E-4</v>
      </c>
      <c r="Y150" s="303">
        <f t="shared" si="23"/>
        <v>4.1892739548079123E-7</v>
      </c>
      <c r="Z150" s="303">
        <f t="shared" si="23"/>
        <v>3.9859431322696005E-4</v>
      </c>
      <c r="AA150" s="303">
        <f t="shared" si="23"/>
        <v>5.8476273621595675E-4</v>
      </c>
      <c r="AB150" s="303">
        <f>IFERROR(SUMPRODUCT(--($M$167:$M$306=3),$P$6:$P$145,AB$6:AB$145)/SUMPRODUCT(($M$167:$M$306=3)*($P$6:$P$145&gt;0)*(AB$6:AB$145&gt;0))*0.45359/365,0)</f>
        <v>3.5086265612681115E-8</v>
      </c>
      <c r="AC150" s="303">
        <f t="shared" ref="AC150:AJ150" si="24">IFERROR(SUMPRODUCT(--($M$167:$M$306=3),$P$6:$P$145,AC$6:AC$145)/SUMPRODUCT(($M$167:$M$306=3)*($P$6:$P$145&gt;0)*(AC$6:AC$145&gt;0))*0.45359/365,0)</f>
        <v>1.8650183116709308E-8</v>
      </c>
      <c r="AD150" s="303">
        <f t="shared" si="24"/>
        <v>4.9202864206599122E-8</v>
      </c>
      <c r="AE150" s="303">
        <f t="shared" si="24"/>
        <v>1.87874602782885E-6</v>
      </c>
      <c r="AF150" s="303">
        <f t="shared" si="24"/>
        <v>7.8534969650206517E-6</v>
      </c>
      <c r="AG150" s="313">
        <f t="shared" si="24"/>
        <v>4.5394735980530127E-5</v>
      </c>
      <c r="AH150" s="303">
        <f t="shared" si="24"/>
        <v>2.7209663943311467E-7</v>
      </c>
      <c r="AI150" s="303">
        <f t="shared" si="24"/>
        <v>1.1646550733192445E-5</v>
      </c>
      <c r="AJ150" s="303">
        <f t="shared" si="24"/>
        <v>5.2236389065162689E-6</v>
      </c>
    </row>
    <row r="151" spans="1:41" x14ac:dyDescent="0.25">
      <c r="P151" s="339">
        <f>COUNTIF($M$167:$M$306,"=4")</f>
        <v>24</v>
      </c>
      <c r="Q151" t="s">
        <v>1247</v>
      </c>
      <c r="R151" s="303">
        <f>IFERROR(SUMPRODUCT(--($M$167:$M$306=4),$P$6:$P$145,R$6:R$145)/SUMPRODUCT(($M$167:$M$306=4)*($P$6:$P$145&gt;0)*(R$6:R$145&gt;0))*907.185/365,0)</f>
        <v>1.1867700769346764E-2</v>
      </c>
      <c r="S151" s="303">
        <f t="shared" ref="S151:AA151" si="25">IFERROR(SUMPRODUCT(--($M$167:$M$306=4),$P$6:$P$145,S$6:S$145)/SUMPRODUCT(($M$167:$M$306=4)*($P$6:$P$145&gt;0)*(S$6:S$145&gt;0))*907.185/365,0)</f>
        <v>1.5229368533518473E-2</v>
      </c>
      <c r="T151" s="303">
        <f t="shared" si="25"/>
        <v>7.6387703650074162E-3</v>
      </c>
      <c r="U151" s="303">
        <f t="shared" si="25"/>
        <v>1.4510123645953131E-2</v>
      </c>
      <c r="V151" s="303">
        <f t="shared" si="25"/>
        <v>3.6267221248770889E-3</v>
      </c>
      <c r="W151" s="303">
        <f t="shared" si="25"/>
        <v>4.1012938419196969E-3</v>
      </c>
      <c r="X151" s="303">
        <f t="shared" si="25"/>
        <v>4.6558768625554366E-4</v>
      </c>
      <c r="Y151" s="303">
        <f t="shared" si="25"/>
        <v>4.7206657517783534E-7</v>
      </c>
      <c r="Z151" s="303">
        <f t="shared" si="25"/>
        <v>3.7349460921203074E-4</v>
      </c>
      <c r="AA151" s="303">
        <f t="shared" si="25"/>
        <v>4.9510884133423933E-4</v>
      </c>
      <c r="AB151" s="303">
        <f>IFERROR(SUMPRODUCT(--($M$167:$M$306=4),$P$6:$P$145,AB$6:AB$145)/SUMPRODUCT(($M$167:$M$306=4)*($P$6:$P$145&gt;0)*(AB$6:AB$145&gt;0))*0.45359/365,0)</f>
        <v>1.2953719564091833E-7</v>
      </c>
      <c r="AC151" s="303">
        <f t="shared" ref="AC151:AJ151" si="26">IFERROR(SUMPRODUCT(--($M$167:$M$306=4),$P$6:$P$145,AC$6:AC$145)/SUMPRODUCT(($M$167:$M$306=4)*($P$6:$P$145&gt;0)*(AC$6:AC$145&gt;0))*0.45359/365,0)</f>
        <v>4.8423107269351303E-8</v>
      </c>
      <c r="AD151" s="303">
        <f t="shared" si="26"/>
        <v>7.2067631737657904E-8</v>
      </c>
      <c r="AE151" s="303">
        <f t="shared" si="26"/>
        <v>4.3093252105349015E-6</v>
      </c>
      <c r="AF151" s="303">
        <f t="shared" si="26"/>
        <v>2.7016691641397478E-5</v>
      </c>
      <c r="AG151" s="313">
        <f t="shared" si="26"/>
        <v>4.1197319307942146E-5</v>
      </c>
      <c r="AH151" s="303">
        <f t="shared" si="26"/>
        <v>1.9131094640510477E-6</v>
      </c>
      <c r="AI151" s="303">
        <f t="shared" si="26"/>
        <v>8.3281483396100205E-6</v>
      </c>
      <c r="AJ151" s="303">
        <f t="shared" si="26"/>
        <v>9.3275765137241692E-6</v>
      </c>
    </row>
    <row r="152" spans="1:41" x14ac:dyDescent="0.25">
      <c r="P152" s="339">
        <f>COUNTIF($M$167:$M$306,"=5")</f>
        <v>32</v>
      </c>
      <c r="Q152" t="s">
        <v>1248</v>
      </c>
      <c r="R152" s="303">
        <f>IFERROR(SUMPRODUCT(--($M$167:$M$306=5),$P$6:$P$145,R$6:R$145)/SUMPRODUCT(($M$167:$M$306=5)*($P$6:$P$145&gt;0)*(R$6:R$145&gt;0))*907.185/365,0)</f>
        <v>8.4671050930762281E-3</v>
      </c>
      <c r="S152" s="303">
        <f t="shared" ref="S152:AA152" si="27">IFERROR(SUMPRODUCT(--($M$167:$M$306=5),$P$6:$P$145,S$6:S$145)/SUMPRODUCT(($M$167:$M$306=5)*($P$6:$P$145&gt;0)*(S$6:S$145&gt;0))*907.185/365,0)</f>
        <v>9.0869221619022267E-3</v>
      </c>
      <c r="T152" s="303">
        <f t="shared" si="27"/>
        <v>9.3539121077585042E-3</v>
      </c>
      <c r="U152" s="303">
        <f t="shared" si="27"/>
        <v>1.3712179199683247E-2</v>
      </c>
      <c r="V152" s="303">
        <f t="shared" si="27"/>
        <v>3.6676937985201429E-3</v>
      </c>
      <c r="W152" s="303">
        <f t="shared" si="27"/>
        <v>4.0027322508515385E-3</v>
      </c>
      <c r="X152" s="303">
        <f t="shared" si="27"/>
        <v>3.1368074485307082E-4</v>
      </c>
      <c r="Y152" s="303">
        <f t="shared" si="27"/>
        <v>3.3034856419536261E-7</v>
      </c>
      <c r="Z152" s="303">
        <f t="shared" si="27"/>
        <v>4.1937236131243922E-4</v>
      </c>
      <c r="AA152" s="303">
        <f t="shared" si="27"/>
        <v>5.6826791254233565E-4</v>
      </c>
      <c r="AB152" s="303">
        <f>IFERROR(SUMPRODUCT(--($M$167:$M$306=5),$P$6:$P$145,AB$6:AB$145)/SUMPRODUCT(($M$167:$M$306=5)*($P$6:$P$145&gt;0)*(AB$6:AB$145&gt;0))*0.45359/365,0)</f>
        <v>2.2894153254421185E-7</v>
      </c>
      <c r="AC152" s="303">
        <f t="shared" ref="AC152:AJ152" si="28">IFERROR(SUMPRODUCT(--($M$167:$M$306=5),$P$6:$P$145,AC$6:AC$145)/SUMPRODUCT(($M$167:$M$306=5)*($P$6:$P$145&gt;0)*(AC$6:AC$145&gt;0))*0.45359/365,0)</f>
        <v>7.5427678411435695E-8</v>
      </c>
      <c r="AD152" s="303">
        <f t="shared" si="28"/>
        <v>1.0169435237089151E-7</v>
      </c>
      <c r="AE152" s="303">
        <f t="shared" si="28"/>
        <v>5.3314474425246999E-6</v>
      </c>
      <c r="AF152" s="303">
        <f t="shared" si="28"/>
        <v>1.2956887590739031E-4</v>
      </c>
      <c r="AG152" s="313">
        <f t="shared" si="28"/>
        <v>2.5268958742775517E-5</v>
      </c>
      <c r="AH152" s="303">
        <f t="shared" si="28"/>
        <v>1.0371671171017594E-5</v>
      </c>
      <c r="AI152" s="303">
        <f t="shared" si="28"/>
        <v>1.1787524791281031E-5</v>
      </c>
      <c r="AJ152" s="303">
        <f t="shared" si="28"/>
        <v>4.6395664781204144E-6</v>
      </c>
    </row>
    <row r="153" spans="1:41" x14ac:dyDescent="0.25">
      <c r="R153" t="s">
        <v>1228</v>
      </c>
      <c r="S153" t="s">
        <v>1228</v>
      </c>
      <c r="T153" t="s">
        <v>1228</v>
      </c>
      <c r="U153" t="s">
        <v>1228</v>
      </c>
      <c r="V153" t="s">
        <v>1228</v>
      </c>
      <c r="W153" t="s">
        <v>1228</v>
      </c>
      <c r="X153" t="s">
        <v>1228</v>
      </c>
      <c r="Y153" t="s">
        <v>1228</v>
      </c>
      <c r="Z153" t="s">
        <v>1228</v>
      </c>
      <c r="AA153" t="s">
        <v>1228</v>
      </c>
      <c r="AB153" t="s">
        <v>1228</v>
      </c>
      <c r="AC153" t="s">
        <v>1228</v>
      </c>
      <c r="AD153" t="s">
        <v>1228</v>
      </c>
      <c r="AE153" t="s">
        <v>1228</v>
      </c>
      <c r="AF153" t="s">
        <v>1228</v>
      </c>
      <c r="AG153" s="225" t="s">
        <v>1228</v>
      </c>
      <c r="AH153" t="s">
        <v>1228</v>
      </c>
      <c r="AI153" t="s">
        <v>1228</v>
      </c>
      <c r="AJ153" t="s">
        <v>1228</v>
      </c>
    </row>
    <row r="154" spans="1:41" x14ac:dyDescent="0.25">
      <c r="P154" s="339">
        <f>COUNTIF($M$167:$M$306,"=1")</f>
        <v>14</v>
      </c>
      <c r="Q154" s="302" t="s">
        <v>1224</v>
      </c>
      <c r="R154" s="303">
        <f t="array" ref="R154">MIN(IF($M$167:$M$306=1,IF(R$167:R$306&gt;0,R$167:R$306)))</f>
        <v>3.55019287602525E-5</v>
      </c>
      <c r="S154" s="303">
        <f t="array" ref="S154">MIN(IF($M$167:$M$306=1,IF(S$167:S$306&gt;0,S$167:S$306)))</f>
        <v>2.4402070140421689E-6</v>
      </c>
      <c r="T154" s="303">
        <f t="array" ref="T154">MIN(IF($M$167:$M$306=1,IF(T$167:T$306&gt;0,T$167:T$306)))</f>
        <v>2.664847009919697E-7</v>
      </c>
      <c r="U154" s="303">
        <f t="array" ref="U154">MIN(IF($M$167:$M$306=1,IF(U$167:U$306&gt;0,U$167:U$306)))</f>
        <v>4.4047058015201611E-5</v>
      </c>
      <c r="V154" s="303">
        <f t="array" ref="V154">MIN(IF($M$167:$M$306=1,IF(V$167:V$306&gt;0,V$167:V$306)))</f>
        <v>8.7653645450251209E-6</v>
      </c>
      <c r="W154" s="303">
        <f t="array" ref="W154">MIN(IF($M$167:$M$306=1,IF(W$167:W$306&gt;0,W$167:W$306)))</f>
        <v>8.7653645450251209E-6</v>
      </c>
      <c r="X154" s="303">
        <f t="array" ref="X154">MIN(IF($M$167:$M$306=1,IF(X$167:X$306&gt;0,X$167:X$306)))</f>
        <v>3.9173420216667228E-7</v>
      </c>
      <c r="Y154" s="303">
        <f t="array" ref="Y154">MIN(IF($M$167:$M$306=1,IF(Y$167:Y$306&gt;0,Y$167:Y$306)))</f>
        <v>2.2023529007600801E-10</v>
      </c>
      <c r="Z154" s="303">
        <f t="array" ref="Z154">MIN(IF($M$167:$M$306=1,IF(Z$167:Z$306&gt;0,Z$167:Z$306)))</f>
        <v>3.3695999381629229E-6</v>
      </c>
      <c r="AA154" s="303">
        <f t="array" ref="AA154">MIN(IF($M$167:$M$306=1,IF(AA$167:AA$306&gt;0,AA$167:AA$306)))</f>
        <v>2.1671152543479192E-6</v>
      </c>
      <c r="AB154" s="303">
        <f t="array" ref="AB154">MIN(IF($M$167:$M$306=1,IF(AB$167:AB$306&gt;0,AB$167:AB$306)))</f>
        <v>7.4960465334530723E-13</v>
      </c>
      <c r="AC154" s="303">
        <f t="array" ref="AC154">MIN(IF($M$167:$M$306=1,IF(AC$167:AC$306&gt;0,AC$167:AC$306)))</f>
        <v>3.8524082191780821E-10</v>
      </c>
      <c r="AD154" s="303">
        <f t="array" ref="AD154">MIN(IF($M$167:$M$306=1,IF(AD$167:AD$306&gt;0,AD$167:AD$306)))</f>
        <v>1.3773394977168952E-9</v>
      </c>
      <c r="AE154" s="303">
        <f t="array" ref="AE154">MIN(IF($M$167:$M$306=1,IF(AE$167:AE$306&gt;0,AE$167:AE$306)))</f>
        <v>1.3172750684931507E-7</v>
      </c>
      <c r="AF154" s="303">
        <f t="array" ref="AF154">MIN(IF($M$167:$M$306=1,IF(AF$167:AF$306&gt;0,AF$167:AF$306)))</f>
        <v>3.3035111435564905E-8</v>
      </c>
      <c r="AG154" s="313">
        <f t="array" ref="AG154">MIN(IF($M$167:$M$306=1,IF(AG$167:AG$306&gt;0,AG$167:AG$306)))</f>
        <v>1.8572089405645176E-6</v>
      </c>
      <c r="AH154" s="303">
        <f t="array" ref="AH154">MIN(IF($M$167:$M$306=1,IF(AH$167:AH$306&gt;0,AH$167:AH$306)))</f>
        <v>7.6103441667928719E-8</v>
      </c>
      <c r="AI154" s="303">
        <f t="array" ref="AI154">MIN(IF($M$167:$M$306=1,IF(AI$167:AI$306&gt;0,AI$167:AI$306)))</f>
        <v>4.2127947945205482E-9</v>
      </c>
      <c r="AJ154" s="303">
        <f t="array" ref="AJ154">MIN(IF($M$167:$M$306=1,IF(AJ$167:AJ$306&gt;0,AJ$167:AJ$306)))</f>
        <v>3.9145438356164383E-11</v>
      </c>
    </row>
    <row r="155" spans="1:41" x14ac:dyDescent="0.25">
      <c r="P155" s="339">
        <f>COUNTIF($M$167:$M$306,"=2")</f>
        <v>33</v>
      </c>
      <c r="Q155" t="s">
        <v>1225</v>
      </c>
      <c r="R155" s="303">
        <f t="array" ref="R155">MIN(IF($M$167:$M$306=2,IF(R$167:R$306&gt;0,R$167:R$306)))</f>
        <v>1.6745509826660731E-4</v>
      </c>
      <c r="S155" s="303">
        <f t="array" ref="S155">MIN(IF($M$167:$M$306=2,IF(S$167:S$306&gt;0,S$167:S$306)))</f>
        <v>7.2578681848179403E-4</v>
      </c>
      <c r="T155" s="303">
        <f t="array" ref="T155">MIN(IF($M$167:$M$306=2,IF(T$167:T$306&gt;0,T$167:T$306)))</f>
        <v>2.6650678769221318E-6</v>
      </c>
      <c r="U155" s="303">
        <f t="array" ref="U155">MIN(IF($M$167:$M$306=2,IF(U$167:U$306&gt;0,U$167:U$306)))</f>
        <v>1.5679482675891876E-4</v>
      </c>
      <c r="V155" s="303">
        <f t="array" ref="V155">MIN(IF($M$167:$M$306=2,IF(V$167:V$306&gt;0,V$167:V$306)))</f>
        <v>4.2507832636908002E-6</v>
      </c>
      <c r="W155" s="303">
        <f t="array" ref="W155">MIN(IF($M$167:$M$306=2,IF(W$167:W$306&gt;0,W$167:W$306)))</f>
        <v>1.5546229282045769E-5</v>
      </c>
      <c r="X155" s="303">
        <f t="array" ref="X155">MIN(IF($M$167:$M$306=2,IF(X$167:X$306&gt;0,X$167:X$306)))</f>
        <v>3.9976018153831976E-11</v>
      </c>
      <c r="Y155" s="303">
        <f t="array" ref="Y155">MIN(IF($M$167:$M$306=2,IF(Y$167:Y$306&gt;0,Y$167:Y$306)))</f>
        <v>1.6038111656758853E-10</v>
      </c>
      <c r="Z155" s="303">
        <f t="array" ref="Z155">MIN(IF($M$167:$M$306=2,IF(Z$167:Z$306&gt;0,Z$167:Z$306)))</f>
        <v>2.4163282084093997E-8</v>
      </c>
      <c r="AA155" s="303">
        <f t="array" ref="AA155">MIN(IF($M$167:$M$306=2,IF(AA$167:AA$306&gt;0,AA$167:AA$306)))</f>
        <v>8.839141791791738E-8</v>
      </c>
      <c r="AB155" s="303">
        <f t="array" ref="AB155">MIN(IF($M$167:$M$306=2,IF(AB$167:AB$306&gt;0,AB$167:AB$306)))</f>
        <v>2.4758653319283453E-13</v>
      </c>
      <c r="AC155" s="303">
        <f t="array" ref="AC155">MIN(IF($M$167:$M$306=2,IF(AC$167:AC$306&gt;0,AC$167:AC$306)))</f>
        <v>2.7245881623158443E-11</v>
      </c>
      <c r="AD155" s="303">
        <f t="array" ref="AD155">MIN(IF($M$167:$M$306=2,IF(AD$167:AD$306&gt;0,AD$167:AD$306)))</f>
        <v>9.7072246058413037E-11</v>
      </c>
      <c r="AE155" s="303">
        <f t="array" ref="AE155">MIN(IF($M$167:$M$306=2,IF(AE$167:AE$306&gt;0,AE$167:AE$306)))</f>
        <v>1.3492305283757341E-9</v>
      </c>
      <c r="AF155" s="303">
        <f t="array" ref="AF155">MIN(IF($M$167:$M$306=2,IF(AF$167:AF$306&gt;0,AF$167:AF$306)))</f>
        <v>4.3743473972602735E-8</v>
      </c>
      <c r="AG155" s="313">
        <f t="array" ref="AG155">MIN(IF($M$167:$M$306=2,IF(AG$167:AG$306&gt;0,AG$167:AG$306)))</f>
        <v>2.7403400070249385E-10</v>
      </c>
      <c r="AH155" s="303">
        <f t="array" ref="AH155">MIN(IF($M$167:$M$306=2,IF(AH$167:AH$306&gt;0,AH$167:AH$306)))</f>
        <v>1.5240811579219433E-11</v>
      </c>
      <c r="AI155" s="303">
        <f t="array" ref="AI155">MIN(IF($M$167:$M$306=2,IF(AI$167:AI$306&gt;0,AI$167:AI$306)))</f>
        <v>2.4376280295047415E-10</v>
      </c>
      <c r="AJ155" s="303">
        <f t="array" ref="AJ155">MIN(IF($M$167:$M$306=2,IF(AJ$167:AJ$306&gt;0,AJ$167:AJ$306)))</f>
        <v>1.4912547945205481E-7</v>
      </c>
    </row>
    <row r="156" spans="1:41" x14ac:dyDescent="0.25">
      <c r="P156" s="339">
        <f>COUNTIF($M$167:$M$306,"=3")</f>
        <v>14</v>
      </c>
      <c r="Q156" t="s">
        <v>1246</v>
      </c>
      <c r="R156" s="303">
        <f t="array" ref="R156">MIN(IF($M$167:$M$306=3,IF(R$167:R$306&gt;0,R$167:R$306)))</f>
        <v>2.5245760559013266E-4</v>
      </c>
      <c r="S156" s="303">
        <f t="array" ref="S156">MIN(IF($M$167:$M$306=3,IF(S$167:S$306&gt;0,S$167:S$306)))</f>
        <v>1.351683711757761E-3</v>
      </c>
      <c r="T156" s="303">
        <f t="array" ref="T156">MIN(IF($M$167:$M$306=3,IF(T$167:T$306&gt;0,T$167:T$306)))</f>
        <v>4.9897297608849335E-5</v>
      </c>
      <c r="U156" s="303">
        <f t="array" ref="U156">MIN(IF($M$167:$M$306=3,IF(U$167:U$306&gt;0,U$167:U$306)))</f>
        <v>1.3208365207666509E-3</v>
      </c>
      <c r="V156" s="303">
        <f t="array" ref="V156">MIN(IF($M$167:$M$306=3,IF(V$167:V$306&gt;0,V$167:V$306)))</f>
        <v>7.0345577189358528E-5</v>
      </c>
      <c r="W156" s="303">
        <f t="array" ref="W156">MIN(IF($M$167:$M$306=3,IF(W$167:W$306&gt;0,W$167:W$306)))</f>
        <v>7.0345577189358528E-5</v>
      </c>
      <c r="X156" s="303">
        <f t="array" ref="X156">MIN(IF($M$167:$M$306=3,IF(X$167:X$306&gt;0,X$167:X$306)))</f>
        <v>1.1562662823678946E-7</v>
      </c>
      <c r="Y156" s="303">
        <f t="array" ref="Y156">MIN(IF($M$167:$M$306=3,IF(Y$167:Y$306&gt;0,Y$167:Y$306)))</f>
        <v>3.7575898374439963E-10</v>
      </c>
      <c r="Z156" s="303">
        <f t="array" ref="Z156">MIN(IF($M$167:$M$306=3,IF(Z$167:Z$306&gt;0,Z$167:Z$306)))</f>
        <v>1.2146627614063149E-5</v>
      </c>
      <c r="AA156" s="303">
        <f t="array" ref="AA156">MIN(IF($M$167:$M$306=3,IF(AA$167:AA$306&gt;0,AA$167:AA$306)))</f>
        <v>2.0797822821201647E-5</v>
      </c>
      <c r="AB156" s="303">
        <f t="array" ref="AB156">MIN(IF($M$167:$M$306=3,IF(AB$167:AB$306&gt;0,AB$167:AB$306)))</f>
        <v>8.3016062114348403E-14</v>
      </c>
      <c r="AC156" s="303">
        <f t="array" ref="AC156">MIN(IF($M$167:$M$306=3,IF(AC$167:AC$306&gt;0,AC$167:AC$306)))</f>
        <v>4.2076035692693437E-11</v>
      </c>
      <c r="AD156" s="303">
        <f t="array" ref="AD156">MIN(IF($M$167:$M$306=3,IF(AD$167:AD$306&gt;0,AD$167:AD$306)))</f>
        <v>1.5030276509124133E-10</v>
      </c>
      <c r="AE156" s="303">
        <f t="array" ref="AE156">MIN(IF($M$167:$M$306=3,IF(AE$167:AE$306&gt;0,AE$167:AE$306)))</f>
        <v>2.9849981684378611E-7</v>
      </c>
      <c r="AF156" s="303">
        <f t="array" ref="AF156">MIN(IF($M$167:$M$306=3,IF(AF$167:AF$306&gt;0,AF$167:AF$306)))</f>
        <v>5.1251495189542477E-8</v>
      </c>
      <c r="AG156" s="313">
        <f t="array" ref="AG156">MIN(IF($M$167:$M$306=3,IF(AG$167:AG$306&gt;0,AG$167:AG$306)))</f>
        <v>1.9614702702702701E-6</v>
      </c>
      <c r="AH156" s="303">
        <f t="array" ref="AH156">MIN(IF($M$167:$M$306=3,IF(AH$167:AH$306&gt;0,AH$167:AH$306)))</f>
        <v>4.7791309258453949E-8</v>
      </c>
      <c r="AI156" s="303">
        <f t="array" ref="AI156">MIN(IF($M$167:$M$306=3,IF(AI$167:AI$306&gt;0,AI$167:AI$306)))</f>
        <v>1.4878412760783024E-7</v>
      </c>
      <c r="AJ156" s="303">
        <f t="array" ref="AJ156">MIN(IF($M$167:$M$306=3,IF(AJ$167:AJ$306&gt;0,AJ$167:AJ$306)))</f>
        <v>1.1220755642011352E-7</v>
      </c>
    </row>
    <row r="157" spans="1:41" x14ac:dyDescent="0.25">
      <c r="P157" s="339">
        <f>COUNTIF($M$167:$M$306,"=4")</f>
        <v>24</v>
      </c>
      <c r="Q157" t="s">
        <v>1247</v>
      </c>
      <c r="R157" s="303">
        <f t="array" ref="R157">MIN(IF($M$167:$M$306=4,IF(R$167:R$306&gt;0,R$167:R$306)))</f>
        <v>9.3015830255997121E-5</v>
      </c>
      <c r="S157" s="303">
        <f t="array" ref="S157">MIN(IF($M$167:$M$306=4,IF(S$167:S$306&gt;0,S$167:S$306)))</f>
        <v>2.2337892569053848E-4</v>
      </c>
      <c r="T157" s="303">
        <f t="array" ref="T157">MIN(IF($M$167:$M$306=4,IF(T$167:T$306&gt;0,T$167:T$306)))</f>
        <v>2.6424951777271904E-6</v>
      </c>
      <c r="U157" s="303">
        <f t="array" ref="U157">MIN(IF($M$167:$M$306=4,IF(U$167:U$306&gt;0,U$167:U$306)))</f>
        <v>8.4207512996906472E-5</v>
      </c>
      <c r="V157" s="303">
        <f t="array" ref="V157">MIN(IF($M$167:$M$306=4,IF(V$167:V$306&gt;0,V$167:V$306)))</f>
        <v>1.0746147056090573E-5</v>
      </c>
      <c r="W157" s="303">
        <f t="array" ref="W157">MIN(IF($M$167:$M$306=4,IF(W$167:W$306&gt;0,W$167:W$306)))</f>
        <v>1.0746147056090573E-5</v>
      </c>
      <c r="X157" s="303">
        <f t="array" ref="X157">MIN(IF($M$167:$M$306=4,IF(X$167:X$306&gt;0,X$167:X$306)))</f>
        <v>6.1548564584819634E-7</v>
      </c>
      <c r="Y157" s="303">
        <f t="array" ref="Y157">MIN(IF($M$167:$M$306=4,IF(Y$167:Y$306&gt;0,Y$167:Y$306)))</f>
        <v>6.5181547717270696E-10</v>
      </c>
      <c r="Z157" s="303">
        <f t="array" ref="Z157">MIN(IF($M$167:$M$306=4,IF(Z$167:Z$306&gt;0,Z$167:Z$306)))</f>
        <v>2.6424951777271904E-6</v>
      </c>
      <c r="AA157" s="303">
        <f t="array" ref="AA157">MIN(IF($M$167:$M$306=4,IF(AA$167:AA$306&gt;0,AA$167:AA$306)))</f>
        <v>1.9378297969999397E-6</v>
      </c>
      <c r="AB157" s="303">
        <f t="array" ref="AB157">MIN(IF($M$167:$M$306=4,IF(AB$167:AB$306&gt;0,AB$167:AB$306)))</f>
        <v>2.1844506404683244E-14</v>
      </c>
      <c r="AC157" s="303">
        <f t="array" ref="AC157">MIN(IF($M$167:$M$306=4,IF(AC$167:AC$306&gt;0,AC$167:AC$306)))</f>
        <v>5.171389596175517E-11</v>
      </c>
      <c r="AD157" s="303">
        <f t="array" ref="AD157">MIN(IF($M$167:$M$306=4,IF(AD$167:AD$306&gt;0,AD$167:AD$306)))</f>
        <v>1.9379529493444415E-12</v>
      </c>
      <c r="AE157" s="303">
        <f t="array" ref="AE157">MIN(IF($M$167:$M$306=4,IF(AE$167:AE$306&gt;0,AE$167:AE$306)))</f>
        <v>8.6086072229140733E-8</v>
      </c>
      <c r="AF157" s="303">
        <f t="array" ref="AF157">MIN(IF($M$167:$M$306=4,IF(AF$167:AF$306&gt;0,AF$167:AF$306)))</f>
        <v>2.4558911655427223E-9</v>
      </c>
      <c r="AG157" s="313">
        <f t="array" ref="AG157">MIN(IF($M$167:$M$306=4,IF(AG$167:AG$306&gt;0,AG$167:AG$306)))</f>
        <v>4.4922170428985709E-7</v>
      </c>
      <c r="AH157" s="303">
        <f t="array" ref="AH157">MIN(IF($M$167:$M$306=4,IF(AH$167:AH$306&gt;0,AH$167:AH$306)))</f>
        <v>1.3782809464508094E-8</v>
      </c>
      <c r="AI157" s="303">
        <f t="array" ref="AI157">MIN(IF($M$167:$M$306=4,IF(AI$167:AI$306&gt;0,AI$167:AI$306)))</f>
        <v>3.7875555459733049E-12</v>
      </c>
      <c r="AJ157" s="303">
        <f t="array" ref="AJ157">MIN(IF($M$167:$M$306=4,IF(AJ$167:AJ$306&gt;0,AJ$167:AJ$306)))</f>
        <v>3.1058227421160553E-8</v>
      </c>
    </row>
    <row r="158" spans="1:41" x14ac:dyDescent="0.25">
      <c r="P158" s="339">
        <f>COUNTIF($M$167:$M$306,"=5")</f>
        <v>32</v>
      </c>
      <c r="Q158" t="s">
        <v>1248</v>
      </c>
      <c r="R158" s="303">
        <f t="array" ref="R158">MIN(IF($M$167:$M$306=5,IF(R$167:R$306&gt;0,R$167:R$306)))</f>
        <v>7.8410592054383344E-4</v>
      </c>
      <c r="S158" s="303">
        <f t="array" ref="S158">MIN(IF($M$167:$M$306=5,IF(S$167:S$306&gt;0,S$167:S$306)))</f>
        <v>1.028249189684247E-3</v>
      </c>
      <c r="T158" s="303">
        <f t="array" ref="T158">MIN(IF($M$167:$M$306=5,IF(T$167:T$306&gt;0,T$167:T$306)))</f>
        <v>2.4730711280098041E-4</v>
      </c>
      <c r="U158" s="303">
        <f t="array" ref="U158">MIN(IF($M$167:$M$306=5,IF(U$167:U$306&gt;0,U$167:U$306)))</f>
        <v>1.1511117851695954E-3</v>
      </c>
      <c r="V158" s="303">
        <f t="array" ref="V158">MIN(IF($M$167:$M$306=5,IF(V$167:V$306&gt;0,V$167:V$306)))</f>
        <v>7.1567005299280736E-4</v>
      </c>
      <c r="W158" s="303">
        <f t="array" ref="W158">MIN(IF($M$167:$M$306=5,IF(W$167:W$306&gt;0,W$167:W$306)))</f>
        <v>9.204208963285444E-4</v>
      </c>
      <c r="X158" s="303">
        <f t="array" ref="X158">MIN(IF($M$167:$M$306=5,IF(X$167:X$306&gt;0,X$167:X$306)))</f>
        <v>1.3013776109378927E-6</v>
      </c>
      <c r="Y158" s="303">
        <f t="array" ref="Y158">MIN(IF($M$167:$M$306=5,IF(Y$167:Y$306&gt;0,Y$167:Y$306)))</f>
        <v>7.5064690315693091E-10</v>
      </c>
      <c r="Z158" s="303">
        <f t="array" ref="Z158">MIN(IF($M$167:$M$306=5,IF(Z$167:Z$306&gt;0,Z$167:Z$306)))</f>
        <v>4.8625840631039379E-6</v>
      </c>
      <c r="AA158" s="303">
        <f t="array" ref="AA158">MIN(IF($M$167:$M$306=5,IF(AA$167:AA$306&gt;0,AA$167:AA$306)))</f>
        <v>5.2073854784876718E-5</v>
      </c>
      <c r="AB158" s="303">
        <f t="array" ref="AB158">MIN(IF($M$167:$M$306=5,IF(AB$167:AB$306&gt;0,AB$167:AB$306)))</f>
        <v>1.9422377645943635E-12</v>
      </c>
      <c r="AC158" s="303">
        <f t="array" ref="AC158">MIN(IF($M$167:$M$306=5,IF(AC$167:AC$306&gt;0,AC$167:AC$306)))</f>
        <v>3.4312559798770461E-12</v>
      </c>
      <c r="AD158" s="303">
        <f t="array" ref="AD158">MIN(IF($M$167:$M$306=5,IF(AD$167:AD$306&gt;0,AD$167:AD$306)))</f>
        <v>2.0085468850805638E-10</v>
      </c>
      <c r="AE158" s="303">
        <f t="array" ref="AE158">MIN(IF($M$167:$M$306=5,IF(AE$167:AE$306&gt;0,AE$167:AE$306)))</f>
        <v>2.0355234808675638E-9</v>
      </c>
      <c r="AF158" s="303">
        <f t="array" ref="AF158">MIN(IF($M$167:$M$306=5,IF(AF$167:AF$306&gt;0,AF$167:AF$306)))</f>
        <v>4.8519670756031413E-9</v>
      </c>
      <c r="AG158" s="313">
        <f t="array" ref="AG158">MIN(IF($M$167:$M$306=5,IF(AG$167:AG$306&gt;0,AG$167:AG$306)))</f>
        <v>1.0080205267398955E-11</v>
      </c>
      <c r="AH158" s="303">
        <f t="array" ref="AH158">MIN(IF($M$167:$M$306=5,IF(AH$167:AH$306&gt;0,AH$167:AH$306)))</f>
        <v>2.0355234808675638E-9</v>
      </c>
      <c r="AI158" s="303">
        <f t="array" ref="AI158">MIN(IF($M$167:$M$306=5,IF(AI$167:AI$306&gt;0,AI$167:AI$306)))</f>
        <v>8.8490351584036631E-12</v>
      </c>
      <c r="AJ158" s="303">
        <f t="array" ref="AJ158">MIN(IF($M$167:$M$306=5,IF(AJ$167:AJ$306&gt;0,AJ$167:AJ$306)))</f>
        <v>5.7609359958253499E-9</v>
      </c>
    </row>
    <row r="159" spans="1:41" x14ac:dyDescent="0.25">
      <c r="R159" t="s">
        <v>1229</v>
      </c>
      <c r="S159" t="s">
        <v>1229</v>
      </c>
      <c r="T159" t="s">
        <v>1229</v>
      </c>
      <c r="U159" t="s">
        <v>1229</v>
      </c>
      <c r="V159" t="s">
        <v>1229</v>
      </c>
      <c r="W159" t="s">
        <v>1229</v>
      </c>
      <c r="X159" t="s">
        <v>1229</v>
      </c>
      <c r="Y159" t="s">
        <v>1229</v>
      </c>
      <c r="Z159" t="s">
        <v>1229</v>
      </c>
      <c r="AA159" t="s">
        <v>1229</v>
      </c>
      <c r="AB159" t="s">
        <v>1229</v>
      </c>
      <c r="AC159" t="s">
        <v>1229</v>
      </c>
      <c r="AD159" t="s">
        <v>1229</v>
      </c>
      <c r="AE159" t="s">
        <v>1229</v>
      </c>
      <c r="AF159" t="s">
        <v>1229</v>
      </c>
      <c r="AG159" s="225" t="s">
        <v>1229</v>
      </c>
      <c r="AH159" t="s">
        <v>1229</v>
      </c>
      <c r="AI159" t="s">
        <v>1229</v>
      </c>
      <c r="AJ159" t="s">
        <v>1229</v>
      </c>
    </row>
    <row r="160" spans="1:41" x14ac:dyDescent="0.25">
      <c r="P160" s="339">
        <f>COUNTIF($M$167:$M$306,"=1")</f>
        <v>14</v>
      </c>
      <c r="Q160" s="302" t="s">
        <v>1224</v>
      </c>
      <c r="R160" s="303">
        <f t="array" ref="R160">MAX(IF($M$167:$M$306=1,R$167:R$306))</f>
        <v>3.5115994757773793E-2</v>
      </c>
      <c r="S160" s="303">
        <f t="array" ref="S160">MAX(IF($M$167:$M$306=1,S$167:S$306))</f>
        <v>5.4135332835616438E-2</v>
      </c>
      <c r="T160" s="303">
        <f t="array" ref="T160">MAX(IF($M$167:$M$306=1,T$167:T$306))</f>
        <v>0.25318911990410964</v>
      </c>
      <c r="U160" s="303">
        <f t="array" ref="U160">MAX(IF($M$167:$M$306=1,U$167:U$306))</f>
        <v>7.3529208328767123E-2</v>
      </c>
      <c r="V160" s="303">
        <f t="array" ref="V160">MAX(IF($M$167:$M$306=1,V$167:V$306))</f>
        <v>9.056851665092111E-3</v>
      </c>
      <c r="W160" s="303">
        <f t="array" ref="W160">MAX(IF($M$167:$M$306=1,W$167:W$306))</f>
        <v>1.092950090930562E-2</v>
      </c>
      <c r="X160" s="303">
        <f t="array" ref="X160">MAX(IF($M$167:$M$306=1,X$167:X$306))</f>
        <v>1.4988585808312211E-3</v>
      </c>
      <c r="Y160" s="303">
        <f t="array" ref="Y160">MAX(IF($M$167:$M$306=1,Y$167:Y$306))</f>
        <v>1.5832242328767121E-6</v>
      </c>
      <c r="Z160" s="303">
        <f t="array" ref="Z160">MAX(IF($M$167:$M$306=1,Z$167:Z$306))</f>
        <v>1.7230944189891356E-3</v>
      </c>
      <c r="AA160" s="303">
        <f t="array" ref="AA160">MAX(IF($M$167:$M$306=1,AA$167:AA$306))</f>
        <v>2.5895696528105811E-3</v>
      </c>
      <c r="AB160" s="303">
        <f t="array" ref="AB160">MAX(IF($M$167:$M$306=1,AB$167:AB$306))</f>
        <v>6.9094805479452057E-7</v>
      </c>
      <c r="AC160" s="303">
        <f t="array" ref="AC160">MAX(IF($M$167:$M$306=1,AC$167:AC$306))</f>
        <v>1.2750228493150684E-6</v>
      </c>
      <c r="AD160" s="303">
        <f t="array" ref="AD160">MAX(IF($M$167:$M$306=1,AD$167:AD$306))</f>
        <v>2.4866673698630139E-6</v>
      </c>
      <c r="AE160" s="303">
        <f t="array" ref="AE160">MAX(IF($M$167:$M$306=1,AE$167:AE$306))</f>
        <v>4.2852149267831838E-6</v>
      </c>
      <c r="AF160" s="303">
        <f t="array" ref="AF160">MAX(IF($M$167:$M$306=1,AF$167:AF$306))</f>
        <v>2.1422073594494238E-4</v>
      </c>
      <c r="AG160" s="313">
        <f t="array" ref="AG160">MAX(IF($M$167:$M$306=1,AG$167:AG$306))</f>
        <v>3.3492872045363589E-4</v>
      </c>
      <c r="AH160" s="303">
        <f t="array" ref="AH160">MAX(IF($M$167:$M$306=1,AH$167:AH$306))</f>
        <v>2.0606241598173519E-6</v>
      </c>
      <c r="AI160" s="303">
        <f t="array" ref="AI160">MAX(IF($M$167:$M$306=1,AI$167:AI$306))</f>
        <v>8.9061050228310494E-6</v>
      </c>
      <c r="AJ160" s="303">
        <f t="array" ref="AJ160">MAX(IF($M$167:$M$306=1,AJ$167:AJ$306))</f>
        <v>8.5704298535663676E-6</v>
      </c>
    </row>
    <row r="161" spans="9:36" x14ac:dyDescent="0.25">
      <c r="P161" s="339">
        <f>COUNTIF($M$167:$M$306,"=2")</f>
        <v>33</v>
      </c>
      <c r="Q161" t="s">
        <v>1225</v>
      </c>
      <c r="R161" s="303">
        <f t="array" ref="R161">MAX(IF($M$167:$M$306=2,R$167:R$306))</f>
        <v>1.750000003401039E-2</v>
      </c>
      <c r="S161" s="303">
        <f t="array" ref="S161">MAX(IF($M$167:$M$306=2,S$167:S$306))</f>
        <v>0.10733954197548666</v>
      </c>
      <c r="T161" s="303">
        <f t="array" ref="T161">MAX(IF($M$167:$M$306=2,T$167:T$306))</f>
        <v>6.2952367794611275E-2</v>
      </c>
      <c r="U161" s="303">
        <f t="array" ref="U161">MAX(IF($M$167:$M$306=2,U$167:U$306))</f>
        <v>4.4123071449170881E-2</v>
      </c>
      <c r="V161" s="303">
        <f t="array" ref="V161">MAX(IF($M$167:$M$306=2,V$167:V$306))</f>
        <v>1.6838134096475964E-2</v>
      </c>
      <c r="W161" s="303">
        <f t="array" ref="W161">MAX(IF($M$167:$M$306=2,W$167:W$306))</f>
        <v>1.8931229323810542E-2</v>
      </c>
      <c r="X161" s="303">
        <f t="array" ref="X161">MAX(IF($M$167:$M$306=2,X$167:X$306))</f>
        <v>8.2317718356164377E-3</v>
      </c>
      <c r="Y161" s="303">
        <f t="array" ref="Y161">MAX(IF($M$167:$M$306=2,Y$167:Y$306))</f>
        <v>9.6655936073059352E-6</v>
      </c>
      <c r="Z161" s="303">
        <f t="array" ref="Z161">MAX(IF($M$167:$M$306=2,Z$167:Z$306))</f>
        <v>1.5873666301369864E-3</v>
      </c>
      <c r="AA161" s="303">
        <f t="array" ref="AA161">MAX(IF($M$167:$M$306=2,AA$167:AA$306))</f>
        <v>2.9690940135126929E-3</v>
      </c>
      <c r="AB161" s="303">
        <f t="array" ref="AB161">MAX(IF($M$167:$M$306=2,AB$167:AB$306))</f>
        <v>5.9902092928544979E-7</v>
      </c>
      <c r="AC161" s="303">
        <f t="array" ref="AC161">MAX(IF($M$167:$M$306=2,AC$167:AC$306))</f>
        <v>7.6913817104776011E-8</v>
      </c>
      <c r="AD161" s="303">
        <f t="array" ref="AD161">MAX(IF($M$167:$M$306=2,AD$167:AD$306))</f>
        <v>1.2427123287671233E-7</v>
      </c>
      <c r="AE161" s="303">
        <f t="array" ref="AE161">MAX(IF($M$167:$M$306=2,AE$167:AE$306))</f>
        <v>9.548173059360732E-6</v>
      </c>
      <c r="AF161" s="303">
        <f t="array" ref="AF161">MAX(IF($M$167:$M$306=2,AF$167:AF$306))</f>
        <v>6.3095154487981394E-4</v>
      </c>
      <c r="AG161" s="313">
        <f t="array" ref="AG161">MAX(IF($M$167:$M$306=2,AG$167:AG$306))</f>
        <v>4.0028418168709445E-4</v>
      </c>
      <c r="AH161" s="303">
        <f t="array" ref="AH161">MAX(IF($M$167:$M$306=2,AH$167:AH$306))</f>
        <v>7.6721035254054693E-6</v>
      </c>
      <c r="AI161" s="303">
        <f t="array" ref="AI161">MAX(IF($M$167:$M$306=2,AI$167:AI$306))</f>
        <v>4.4784538640475576E-5</v>
      </c>
      <c r="AJ161" s="303">
        <f t="array" ref="AJ161">MAX(IF($M$167:$M$306=2,AJ$167:AJ$306))</f>
        <v>9.935988870788596E-6</v>
      </c>
    </row>
    <row r="162" spans="9:36" x14ac:dyDescent="0.25">
      <c r="P162" s="339">
        <f>COUNTIF($M$167:$M$306,"=3")</f>
        <v>14</v>
      </c>
      <c r="Q162" t="s">
        <v>1246</v>
      </c>
      <c r="R162" s="303">
        <f t="array" ref="R162">MAX(IF($M$167:$M$306=3,R$167:R$306))</f>
        <v>3.1004194054167763E-2</v>
      </c>
      <c r="S162" s="303">
        <f t="array" ref="S162">MAX(IF($M$167:$M$306=3,S$167:S$306))</f>
        <v>5.2276258215783668E-2</v>
      </c>
      <c r="T162" s="303">
        <f t="array" ref="T162">MAX(IF($M$167:$M$306=3,T$167:T$306))</f>
        <v>3.7479677783185887E-2</v>
      </c>
      <c r="U162" s="303">
        <f t="array" ref="U162">MAX(IF($M$167:$M$306=3,U$167:U$306))</f>
        <v>2.8100539148264027E-2</v>
      </c>
      <c r="V162" s="303">
        <f t="array" ref="V162">MAX(IF($M$167:$M$306=3,V$167:V$306))</f>
        <v>8.947584672783641E-3</v>
      </c>
      <c r="W162" s="303">
        <f t="array" ref="W162">MAX(IF($M$167:$M$306=3,W$167:W$306))</f>
        <v>9.3712670112171895E-3</v>
      </c>
      <c r="X162" s="303">
        <f t="array" ref="X162">MAX(IF($M$167:$M$306=3,X$167:X$306))</f>
        <v>1.2521512334756177E-3</v>
      </c>
      <c r="Y162" s="303">
        <f t="array" ref="Y162">MAX(IF($M$167:$M$306=3,Y$167:Y$306))</f>
        <v>1.3364017032537227E-6</v>
      </c>
      <c r="Z162" s="303">
        <f t="array" ref="Z162">MAX(IF($M$167:$M$306=3,Z$167:Z$306))</f>
        <v>1.4315856278866721E-3</v>
      </c>
      <c r="AA162" s="303">
        <f t="array" ref="AA162">MAX(IF($M$167:$M$306=3,AA$167:AA$306))</f>
        <v>2.1107337585223288E-3</v>
      </c>
      <c r="AB162" s="303">
        <f t="array" ref="AB162">MAX(IF($M$167:$M$306=3,AB$167:AB$306))</f>
        <v>8.1820061485853066E-8</v>
      </c>
      <c r="AC162" s="303">
        <f t="array" ref="AC162">MAX(IF($M$167:$M$306=3,AC$167:AC$306))</f>
        <v>8.4547396868714837E-8</v>
      </c>
      <c r="AD162" s="303">
        <f t="array" ref="AD162">MAX(IF($M$167:$M$306=3,AD$167:AD$306))</f>
        <v>2.1818683062894148E-7</v>
      </c>
      <c r="AE162" s="303">
        <f t="array" ref="AE162">MAX(IF($M$167:$M$306=3,AE$167:AE$306))</f>
        <v>5.3728507042376848E-6</v>
      </c>
      <c r="AF162" s="303">
        <f t="array" ref="AF162">MAX(IF($M$167:$M$306=3,AF$167:AF$306))</f>
        <v>1.8245873711345232E-5</v>
      </c>
      <c r="AG162" s="313">
        <f t="array" ref="AG162">MAX(IF($M$167:$M$306=3,AG$167:AG$306))</f>
        <v>2.5802461195119868E-4</v>
      </c>
      <c r="AH162" s="303">
        <f t="array" ref="AH162">MAX(IF($M$167:$M$306=3,AH$167:AH$306))</f>
        <v>6.2515740209508466E-7</v>
      </c>
      <c r="AI162" s="303">
        <f t="array" ref="AI162">MAX(IF($M$167:$M$306=3,AI$167:AI$306))</f>
        <v>8.2305687615495568E-5</v>
      </c>
      <c r="AJ162" s="303">
        <f t="array" ref="AJ162">MAX(IF($M$167:$M$306=3,AJ$167:AJ$306))</f>
        <v>9.3888304654868352E-6</v>
      </c>
    </row>
    <row r="163" spans="9:36" x14ac:dyDescent="0.25">
      <c r="P163" s="339">
        <f>COUNTIF($M$167:$M$306,"=4")</f>
        <v>24</v>
      </c>
      <c r="Q163" t="s">
        <v>1247</v>
      </c>
      <c r="R163" s="303">
        <f t="array" ref="R163">MAX(IF($M$167:$M$306=4,R$167:R$306))</f>
        <v>7.8841418575342465E-2</v>
      </c>
      <c r="S163" s="303">
        <f t="array" ref="S163">MAX(IF($M$167:$M$306=4,S$167:S$306))</f>
        <v>5.0282123425162459E-2</v>
      </c>
      <c r="T163" s="303">
        <f t="array" ref="T163">MAX(IF($M$167:$M$306=4,T$167:T$306))</f>
        <v>2.7164552487062402E-2</v>
      </c>
      <c r="U163" s="303">
        <f t="array" ref="U163">MAX(IF($M$167:$M$306=4,U$167:U$306))</f>
        <v>5.2188489613917553E-2</v>
      </c>
      <c r="V163" s="303">
        <f t="array" ref="V163">MAX(IF($M$167:$M$306=4,V$167:V$306))</f>
        <v>1.6906858270890508E-2</v>
      </c>
      <c r="W163" s="303">
        <f t="array" ref="W163">MAX(IF($M$167:$M$306=4,W$167:W$306))</f>
        <v>1.786772078640636E-2</v>
      </c>
      <c r="X163" s="303">
        <f t="array" ref="X163">MAX(IF($M$167:$M$306=4,X$167:X$306))</f>
        <v>3.4246123009497808E-3</v>
      </c>
      <c r="Y163" s="303">
        <f t="array" ref="Y163">MAX(IF($M$167:$M$306=4,Y$167:Y$306))</f>
        <v>1.6047312255951382E-6</v>
      </c>
      <c r="Z163" s="303">
        <f t="array" ref="Z163">MAX(IF($M$167:$M$306=4,Z$167:Z$306))</f>
        <v>2.2942628283609363E-3</v>
      </c>
      <c r="AA163" s="303">
        <f t="array" ref="AA163">MAX(IF($M$167:$M$306=4,AA$167:AA$306))</f>
        <v>2.0383877712630066E-3</v>
      </c>
      <c r="AB163" s="303">
        <f t="array" ref="AB163">MAX(IF($M$167:$M$306=4,AB$167:AB$306))</f>
        <v>1.1071437110834372E-6</v>
      </c>
      <c r="AC163" s="303">
        <f t="array" ref="AC163">MAX(IF($M$167:$M$306=4,AC$167:AC$306))</f>
        <v>3.0640918538907009E-7</v>
      </c>
      <c r="AD163" s="303">
        <f t="array" ref="AD163">MAX(IF($M$167:$M$306=4,AD$167:AD$306))</f>
        <v>2.7067172493453969E-7</v>
      </c>
      <c r="AE163" s="303">
        <f t="array" ref="AE163">MAX(IF($M$167:$M$306=4,AE$167:AE$306))</f>
        <v>2.7659664073258653E-5</v>
      </c>
      <c r="AF163" s="303">
        <f t="array" ref="AF163">MAX(IF($M$167:$M$306=4,AF$167:AF$306))</f>
        <v>1.8622021829628138E-4</v>
      </c>
      <c r="AG163" s="313">
        <f t="array" ref="AG163">MAX(IF($M$167:$M$306=4,AG$167:AG$306))</f>
        <v>1.3601547790621454E-4</v>
      </c>
      <c r="AH163" s="303">
        <f t="array" ref="AH163">MAX(IF($M$167:$M$306=4,AH$167:AH$306))</f>
        <v>1.0559831634095407E-5</v>
      </c>
      <c r="AI163" s="303">
        <f t="array" ref="AI163">MAX(IF($M$167:$M$306=4,AI$167:AI$306))</f>
        <v>6.0757335491905349E-5</v>
      </c>
      <c r="AJ163" s="303">
        <f t="array" ref="AJ163">MAX(IF($M$167:$M$306=4,AJ$167:AJ$306))</f>
        <v>8.0254127294736242E-5</v>
      </c>
    </row>
    <row r="164" spans="9:36" x14ac:dyDescent="0.25">
      <c r="P164" s="339">
        <f>COUNTIF($M$167:$M$306,"=5")</f>
        <v>32</v>
      </c>
      <c r="Q164" t="s">
        <v>1248</v>
      </c>
      <c r="R164" s="303">
        <f t="array" ref="R164">MAX(IF($M$167:$M$306=5,R$167:R$306))</f>
        <v>1.97097519111082E-2</v>
      </c>
      <c r="S164" s="303">
        <f t="array" ref="S164">MAX(IF($M$167:$M$306=5,S$167:S$306))</f>
        <v>3.3224662098381069E-2</v>
      </c>
      <c r="T164" s="303">
        <f t="array" ref="T164">MAX(IF($M$167:$M$306=5,T$167:T$306))</f>
        <v>5.6829718909450884E-2</v>
      </c>
      <c r="U164" s="303">
        <f t="array" ref="U164">MAX(IF($M$167:$M$306=5,U$167:U$306))</f>
        <v>3.3617131584701261E-2</v>
      </c>
      <c r="V164" s="303">
        <f t="array" ref="V164">MAX(IF($M$167:$M$306=5,V$167:V$306))</f>
        <v>1.3645717529050496E-2</v>
      </c>
      <c r="W164" s="303">
        <f t="array" ref="W164">MAX(IF($M$167:$M$306=5,W$167:W$306))</f>
        <v>1.4492372983994287E-2</v>
      </c>
      <c r="X164" s="303">
        <f t="array" ref="X164">MAX(IF($M$167:$M$306=5,X$167:X$306))</f>
        <v>1.5506038661639283E-3</v>
      </c>
      <c r="Y164" s="303">
        <f t="array" ref="Y164">MAX(IF($M$167:$M$306=5,Y$167:Y$306))</f>
        <v>1.4962822304727559E-6</v>
      </c>
      <c r="Z164" s="303">
        <f t="array" ref="Z164">MAX(IF($M$167:$M$306=5,Z$167:Z$306))</f>
        <v>2.0782586729160761E-3</v>
      </c>
      <c r="AA164" s="303">
        <f t="array" ref="AA164">MAX(IF($M$167:$M$306=5,AA$167:AA$306))</f>
        <v>3.6810322307833242E-3</v>
      </c>
      <c r="AB164" s="303">
        <f t="array" ref="AB164">MAX(IF($M$167:$M$306=5,AB$167:AB$306))</f>
        <v>1.4039526012548179E-6</v>
      </c>
      <c r="AC164" s="303">
        <f t="array" ref="AC164">MAX(IF($M$167:$M$306=5,AC$167:AC$306))</f>
        <v>1.3629987223747104E-6</v>
      </c>
      <c r="AD164" s="303">
        <f t="array" ref="AD164">MAX(IF($M$167:$M$306=5,AD$167:AD$306))</f>
        <v>6.7082986708076832E-7</v>
      </c>
      <c r="AE164" s="303">
        <f t="array" ref="AE164">MAX(IF($M$167:$M$306=5,AE$167:AE$306))</f>
        <v>3.4332997503837582E-5</v>
      </c>
      <c r="AF164" s="303">
        <f t="array" ref="AF164">MAX(IF($M$167:$M$306=5,AF$167:AF$306))</f>
        <v>1.0761675637958662E-3</v>
      </c>
      <c r="AG164" s="313">
        <f t="array" ref="AG164">MAX(IF($M$167:$M$306=5,AG$167:AG$306))</f>
        <v>8.7374097043282366E-5</v>
      </c>
      <c r="AH164" s="303">
        <f t="array" ref="AH164">MAX(IF($M$167:$M$306=5,AH$167:AH$306))</f>
        <v>1.9171240711452533E-4</v>
      </c>
      <c r="AI164" s="303">
        <f t="array" ref="AI164">MAX(IF($M$167:$M$306=5,AI$167:AI$306))</f>
        <v>2.2813084556340871E-4</v>
      </c>
      <c r="AJ164" s="303">
        <f t="array" ref="AJ164">MAX(IF($M$167:$M$306=5,AJ$167:AJ$306))</f>
        <v>3.9356660977988882E-5</v>
      </c>
    </row>
    <row r="166" spans="9:36" x14ac:dyDescent="0.25">
      <c r="I166" s="200" t="str">
        <f>I5</f>
        <v>Crude</v>
      </c>
      <c r="J166" s="200" t="str">
        <f t="shared" ref="J166:L166" si="29">J5</f>
        <v>Vacuum</v>
      </c>
      <c r="K166" s="200" t="str">
        <f t="shared" si="29"/>
        <v>Coking</v>
      </c>
      <c r="L166" s="200" t="str">
        <f t="shared" si="29"/>
        <v>Hydro-Cracking</v>
      </c>
      <c r="M166" s="200" t="s">
        <v>1245</v>
      </c>
      <c r="P166" s="200" t="s">
        <v>947</v>
      </c>
      <c r="Q166" s="304" t="s">
        <v>1223</v>
      </c>
      <c r="R166" s="304" t="str">
        <f>LEFT(R5,LEN(R5)-8) &amp; "(kg/bbl)"</f>
        <v>CO (kg/bbl)</v>
      </c>
      <c r="S166" s="304" t="str">
        <f t="shared" ref="S166:AJ166" si="30">LEFT(S5,LEN(S5)-8) &amp; "(kg/bbl)"</f>
        <v>VOC (kg/bbl)</v>
      </c>
      <c r="T166" s="304" t="str">
        <f t="shared" si="30"/>
        <v>NOX (kg/bbl)</v>
      </c>
      <c r="U166" s="304" t="str">
        <f t="shared" si="30"/>
        <v>SO2 (kg/bbl)</v>
      </c>
      <c r="V166" s="304" t="str">
        <f t="shared" si="30"/>
        <v>PM2.5 (kg/bbl)</v>
      </c>
      <c r="W166" s="304" t="str">
        <f t="shared" si="30"/>
        <v>PM10(kg/bbl)</v>
      </c>
      <c r="X166" s="304" t="str">
        <f t="shared" si="30"/>
        <v>NH3(kg/bbl)</v>
      </c>
      <c r="Y166" s="304" t="str">
        <f t="shared" si="30"/>
        <v>Lead(kg/bbl)</v>
      </c>
      <c r="Z166" s="304" t="str">
        <f t="shared" si="30"/>
        <v>PM2.5_EC(kg/bbl)</v>
      </c>
      <c r="AA166" s="304" t="str">
        <f t="shared" si="30"/>
        <v>PM2.5_OC(kg/bbl)</v>
      </c>
      <c r="AB166" s="304" t="str">
        <f t="shared" si="30"/>
        <v>Mercury(kg/bbl)</v>
      </c>
      <c r="AC166" s="304" t="str">
        <f t="shared" si="30"/>
        <v>Chromium(kg/bbl)</v>
      </c>
      <c r="AD166" s="304" t="str">
        <f t="shared" si="30"/>
        <v>Arsenic(kg/bbl)</v>
      </c>
      <c r="AE166" s="304" t="str">
        <f t="shared" si="30"/>
        <v>Acetaldehyde(kg/bbl)</v>
      </c>
      <c r="AF166" s="304" t="str">
        <f t="shared" si="30"/>
        <v>Formaldehyde(kg/bbl)</v>
      </c>
      <c r="AG166" s="304" t="str">
        <f t="shared" si="30"/>
        <v>Ethylbenzene(kg/bbl)</v>
      </c>
      <c r="AH166" s="304" t="str">
        <f t="shared" si="30"/>
        <v>Acrolein(kg/bbl)</v>
      </c>
      <c r="AI166" s="304" t="str">
        <f t="shared" si="30"/>
        <v>1,3-Butadiene(kg/bbl)</v>
      </c>
      <c r="AJ166" s="304" t="str">
        <f t="shared" si="30"/>
        <v>Tetrachloroethylene(kg/bbl)</v>
      </c>
    </row>
    <row r="167" spans="9:36" x14ac:dyDescent="0.25">
      <c r="I167">
        <f t="shared" ref="I167:L167" si="31">I6</f>
        <v>88000</v>
      </c>
      <c r="J167">
        <f t="shared" si="31"/>
        <v>59800</v>
      </c>
      <c r="K167">
        <f t="shared" si="31"/>
        <v>0</v>
      </c>
      <c r="L167">
        <f t="shared" si="31"/>
        <v>0</v>
      </c>
      <c r="M167">
        <f>IF(AND(K167&gt;0,L167&gt;0),5,IF(K167&gt;0,4,IF(L167&gt;0,3,IF(J167&gt;0,2,IF(I167&gt;0,1,0)))))</f>
        <v>2</v>
      </c>
      <c r="N167">
        <v>1</v>
      </c>
      <c r="P167">
        <f t="shared" ref="P167:Q171" si="32">P6</f>
        <v>1.0873542204774586E-5</v>
      </c>
      <c r="Q167">
        <f t="shared" si="32"/>
        <v>0</v>
      </c>
      <c r="R167" s="302">
        <f>R6*$P6*907.185/365</f>
        <v>1.0107544054806504E-3</v>
      </c>
      <c r="S167" s="302">
        <f t="shared" ref="S167:AA167" si="33">S6*$P6*907.185/365</f>
        <v>3.0233447952171212E-3</v>
      </c>
      <c r="T167" s="302">
        <f t="shared" si="33"/>
        <v>1.3323580799517663E-5</v>
      </c>
      <c r="U167" s="302">
        <f t="shared" si="33"/>
        <v>2.9241611409894751E-4</v>
      </c>
      <c r="V167" s="302">
        <f t="shared" si="33"/>
        <v>5.7213023433222898E-4</v>
      </c>
      <c r="W167" s="302">
        <f t="shared" si="33"/>
        <v>6.153710645132195E-4</v>
      </c>
      <c r="X167" s="302">
        <f t="shared" si="33"/>
        <v>3.7835726408366587E-7</v>
      </c>
      <c r="Y167" s="302">
        <f t="shared" si="33"/>
        <v>0</v>
      </c>
      <c r="Z167" s="302">
        <f t="shared" si="33"/>
        <v>2.7955196712010287E-5</v>
      </c>
      <c r="AA167" s="302">
        <f t="shared" si="33"/>
        <v>5.8915631121599393E-5</v>
      </c>
      <c r="AB167" s="302">
        <f>AB6*$P6*0.45359/365</f>
        <v>6.1347589696803336E-13</v>
      </c>
      <c r="AC167" s="302">
        <f t="shared" ref="AC167:AJ167" si="34">AC6*$P6*0.45359/365</f>
        <v>0</v>
      </c>
      <c r="AD167" s="302">
        <f t="shared" si="34"/>
        <v>0</v>
      </c>
      <c r="AE167" s="302">
        <f t="shared" si="34"/>
        <v>0</v>
      </c>
      <c r="AF167" s="302">
        <f t="shared" si="34"/>
        <v>0</v>
      </c>
      <c r="AG167" s="302">
        <f t="shared" si="34"/>
        <v>1.6080095096739199E-6</v>
      </c>
      <c r="AH167" s="302">
        <f t="shared" si="34"/>
        <v>0</v>
      </c>
      <c r="AI167" s="302">
        <f t="shared" si="34"/>
        <v>0</v>
      </c>
      <c r="AJ167" s="302">
        <f t="shared" si="34"/>
        <v>0</v>
      </c>
    </row>
    <row r="168" spans="9:36" x14ac:dyDescent="0.25">
      <c r="I168">
        <f t="shared" ref="I168:L168" si="35">I7</f>
        <v>440000</v>
      </c>
      <c r="J168">
        <f t="shared" si="35"/>
        <v>79800</v>
      </c>
      <c r="K168">
        <f t="shared" si="35"/>
        <v>88200</v>
      </c>
      <c r="L168">
        <f t="shared" si="35"/>
        <v>37800</v>
      </c>
      <c r="M168">
        <f t="shared" ref="M168:M231" si="36">IF(AND(K168&gt;0,L168&gt;0),5,IF(K168&gt;0,4,IF(L168&gt;0,3,IF(J168&gt;0,2,IF(I168&gt;0,1,0)))))</f>
        <v>5</v>
      </c>
      <c r="N168">
        <v>2</v>
      </c>
      <c r="P168">
        <f t="shared" si="32"/>
        <v>0</v>
      </c>
      <c r="Q168">
        <f t="shared" si="32"/>
        <v>0</v>
      </c>
      <c r="R168" s="302">
        <f t="shared" ref="R168:AA231" si="37">R7*$P7*907.185/365</f>
        <v>0</v>
      </c>
      <c r="S168" s="302">
        <f t="shared" si="37"/>
        <v>0</v>
      </c>
      <c r="T168" s="302">
        <f t="shared" si="37"/>
        <v>0</v>
      </c>
      <c r="U168" s="302">
        <f t="shared" si="37"/>
        <v>0</v>
      </c>
      <c r="V168" s="302">
        <f t="shared" si="37"/>
        <v>0</v>
      </c>
      <c r="W168" s="302">
        <f t="shared" si="37"/>
        <v>0</v>
      </c>
      <c r="X168" s="302">
        <f t="shared" si="37"/>
        <v>0</v>
      </c>
      <c r="Y168" s="302">
        <f t="shared" si="37"/>
        <v>0</v>
      </c>
      <c r="Z168" s="302">
        <f t="shared" si="37"/>
        <v>0</v>
      </c>
      <c r="AA168" s="302">
        <f t="shared" si="37"/>
        <v>0</v>
      </c>
      <c r="AB168" s="302">
        <f t="shared" ref="AB168:AJ231" si="38">AB7*$P7*0.45359/365</f>
        <v>0</v>
      </c>
      <c r="AC168" s="302">
        <f t="shared" si="38"/>
        <v>0</v>
      </c>
      <c r="AD168" s="302">
        <f t="shared" si="38"/>
        <v>0</v>
      </c>
      <c r="AE168" s="302">
        <f t="shared" si="38"/>
        <v>0</v>
      </c>
      <c r="AF168" s="302">
        <f t="shared" si="38"/>
        <v>0</v>
      </c>
      <c r="AG168" s="302">
        <f t="shared" si="38"/>
        <v>0</v>
      </c>
      <c r="AH168" s="302">
        <f t="shared" si="38"/>
        <v>0</v>
      </c>
      <c r="AI168" s="302">
        <f t="shared" si="38"/>
        <v>0</v>
      </c>
      <c r="AJ168" s="302">
        <f t="shared" si="38"/>
        <v>0</v>
      </c>
    </row>
    <row r="169" spans="9:36" x14ac:dyDescent="0.25">
      <c r="I169">
        <f t="shared" ref="I169:L169" si="39">I8</f>
        <v>9500</v>
      </c>
      <c r="J169">
        <f t="shared" si="39"/>
        <v>8500</v>
      </c>
      <c r="K169">
        <f t="shared" si="39"/>
        <v>0</v>
      </c>
      <c r="L169">
        <f t="shared" si="39"/>
        <v>8000</v>
      </c>
      <c r="M169">
        <f t="shared" si="36"/>
        <v>3</v>
      </c>
      <c r="N169">
        <v>3</v>
      </c>
      <c r="P169">
        <f t="shared" si="32"/>
        <v>0</v>
      </c>
      <c r="Q169">
        <f t="shared" si="32"/>
        <v>0</v>
      </c>
      <c r="R169" s="302">
        <f t="shared" si="37"/>
        <v>0</v>
      </c>
      <c r="S169" s="302">
        <f t="shared" si="37"/>
        <v>0</v>
      </c>
      <c r="T169" s="302">
        <f t="shared" si="37"/>
        <v>0</v>
      </c>
      <c r="U169" s="302">
        <f t="shared" si="37"/>
        <v>0</v>
      </c>
      <c r="V169" s="302">
        <f t="shared" si="37"/>
        <v>0</v>
      </c>
      <c r="W169" s="302">
        <f t="shared" si="37"/>
        <v>0</v>
      </c>
      <c r="X169" s="302">
        <f t="shared" si="37"/>
        <v>0</v>
      </c>
      <c r="Y169" s="302">
        <f t="shared" si="37"/>
        <v>0</v>
      </c>
      <c r="Z169" s="302">
        <f t="shared" si="37"/>
        <v>0</v>
      </c>
      <c r="AA169" s="302">
        <f t="shared" si="37"/>
        <v>0</v>
      </c>
      <c r="AB169" s="302">
        <f t="shared" si="38"/>
        <v>0</v>
      </c>
      <c r="AC169" s="302">
        <f t="shared" si="38"/>
        <v>0</v>
      </c>
      <c r="AD169" s="302">
        <f t="shared" si="38"/>
        <v>0</v>
      </c>
      <c r="AE169" s="302">
        <f t="shared" si="38"/>
        <v>0</v>
      </c>
      <c r="AF169" s="302">
        <f t="shared" si="38"/>
        <v>0</v>
      </c>
      <c r="AG169" s="302">
        <f t="shared" si="38"/>
        <v>0</v>
      </c>
      <c r="AH169" s="302">
        <f t="shared" si="38"/>
        <v>0</v>
      </c>
      <c r="AI169" s="302">
        <f t="shared" si="38"/>
        <v>0</v>
      </c>
      <c r="AJ169" s="302">
        <f t="shared" si="38"/>
        <v>0</v>
      </c>
    </row>
    <row r="170" spans="9:36" x14ac:dyDescent="0.25">
      <c r="I170">
        <f t="shared" ref="I170:L170" si="40">I9</f>
        <v>0</v>
      </c>
      <c r="J170">
        <f t="shared" si="40"/>
        <v>0</v>
      </c>
      <c r="K170">
        <f t="shared" si="40"/>
        <v>0</v>
      </c>
      <c r="L170">
        <f t="shared" si="40"/>
        <v>0</v>
      </c>
      <c r="M170">
        <f t="shared" si="36"/>
        <v>0</v>
      </c>
      <c r="N170">
        <v>4</v>
      </c>
      <c r="P170">
        <f t="shared" si="32"/>
        <v>0</v>
      </c>
      <c r="Q170">
        <f t="shared" si="32"/>
        <v>0</v>
      </c>
      <c r="R170" s="302">
        <f t="shared" si="37"/>
        <v>0</v>
      </c>
      <c r="S170" s="302">
        <f t="shared" si="37"/>
        <v>0</v>
      </c>
      <c r="T170" s="302">
        <f t="shared" si="37"/>
        <v>0</v>
      </c>
      <c r="U170" s="302">
        <f t="shared" si="37"/>
        <v>0</v>
      </c>
      <c r="V170" s="302">
        <f t="shared" si="37"/>
        <v>0</v>
      </c>
      <c r="W170" s="302">
        <f t="shared" si="37"/>
        <v>0</v>
      </c>
      <c r="X170" s="302">
        <f t="shared" si="37"/>
        <v>0</v>
      </c>
      <c r="Y170" s="302">
        <f t="shared" si="37"/>
        <v>0</v>
      </c>
      <c r="Z170" s="302">
        <f t="shared" si="37"/>
        <v>0</v>
      </c>
      <c r="AA170" s="302">
        <f t="shared" si="37"/>
        <v>0</v>
      </c>
      <c r="AB170" s="302">
        <f t="shared" si="38"/>
        <v>0</v>
      </c>
      <c r="AC170" s="302">
        <f t="shared" si="38"/>
        <v>0</v>
      </c>
      <c r="AD170" s="302">
        <f t="shared" si="38"/>
        <v>0</v>
      </c>
      <c r="AE170" s="302">
        <f t="shared" si="38"/>
        <v>0</v>
      </c>
      <c r="AF170" s="302">
        <f t="shared" si="38"/>
        <v>0</v>
      </c>
      <c r="AG170" s="302">
        <f t="shared" si="38"/>
        <v>0</v>
      </c>
      <c r="AH170" s="302">
        <f t="shared" si="38"/>
        <v>0</v>
      </c>
      <c r="AI170" s="302">
        <f t="shared" si="38"/>
        <v>0</v>
      </c>
      <c r="AJ170" s="302">
        <f t="shared" si="38"/>
        <v>0</v>
      </c>
    </row>
    <row r="171" spans="9:36" x14ac:dyDescent="0.25">
      <c r="I171">
        <f t="shared" ref="I171:L171" si="41">I10</f>
        <v>48000</v>
      </c>
      <c r="J171">
        <f t="shared" si="41"/>
        <v>0</v>
      </c>
      <c r="K171">
        <f t="shared" si="41"/>
        <v>0</v>
      </c>
      <c r="L171">
        <f t="shared" si="41"/>
        <v>0</v>
      </c>
      <c r="M171">
        <f t="shared" si="36"/>
        <v>1</v>
      </c>
      <c r="N171">
        <v>5</v>
      </c>
      <c r="P171">
        <f t="shared" si="32"/>
        <v>1.5761171513069044E-5</v>
      </c>
      <c r="Q171">
        <f t="shared" si="32"/>
        <v>1</v>
      </c>
      <c r="R171" s="302">
        <f t="shared" si="37"/>
        <v>1.3420813766230192E-3</v>
      </c>
      <c r="S171" s="302">
        <f t="shared" si="37"/>
        <v>7.591808837990109E-4</v>
      </c>
      <c r="T171" s="302">
        <f t="shared" si="37"/>
        <v>2.1937115321333656E-5</v>
      </c>
      <c r="U171" s="302">
        <f t="shared" si="37"/>
        <v>3.1174207808423783E-3</v>
      </c>
      <c r="V171" s="302">
        <f t="shared" si="37"/>
        <v>2.4992642098233691E-4</v>
      </c>
      <c r="W171" s="302">
        <f t="shared" si="37"/>
        <v>3.2043857737233791E-4</v>
      </c>
      <c r="X171" s="302">
        <f t="shared" si="37"/>
        <v>3.9173420216667228E-7</v>
      </c>
      <c r="Y171" s="302">
        <f t="shared" si="37"/>
        <v>0</v>
      </c>
      <c r="Z171" s="302">
        <f t="shared" si="37"/>
        <v>3.6823015003667196E-5</v>
      </c>
      <c r="AA171" s="302">
        <f t="shared" si="37"/>
        <v>7.5212966816001089E-5</v>
      </c>
      <c r="AB171" s="302">
        <f t="shared" si="38"/>
        <v>0</v>
      </c>
      <c r="AC171" s="302">
        <f t="shared" si="38"/>
        <v>0</v>
      </c>
      <c r="AD171" s="302">
        <f t="shared" si="38"/>
        <v>0</v>
      </c>
      <c r="AE171" s="302">
        <f t="shared" si="38"/>
        <v>0</v>
      </c>
      <c r="AF171" s="302">
        <f t="shared" si="38"/>
        <v>0</v>
      </c>
      <c r="AG171" s="302">
        <f t="shared" si="38"/>
        <v>0</v>
      </c>
      <c r="AH171" s="302">
        <f t="shared" si="38"/>
        <v>0</v>
      </c>
      <c r="AI171" s="302">
        <f t="shared" si="38"/>
        <v>0</v>
      </c>
      <c r="AJ171" s="302">
        <f t="shared" si="38"/>
        <v>0</v>
      </c>
    </row>
    <row r="172" spans="9:36" x14ac:dyDescent="0.25">
      <c r="I172">
        <f t="shared" ref="I172:L172" si="42">I11</f>
        <v>0</v>
      </c>
      <c r="J172">
        <f t="shared" si="42"/>
        <v>0</v>
      </c>
      <c r="K172">
        <f t="shared" si="42"/>
        <v>0</v>
      </c>
      <c r="L172">
        <f t="shared" si="42"/>
        <v>0</v>
      </c>
      <c r="M172">
        <f t="shared" si="36"/>
        <v>0</v>
      </c>
      <c r="N172">
        <v>6</v>
      </c>
      <c r="P172">
        <f t="shared" ref="P172:Q185" si="43">P11</f>
        <v>0</v>
      </c>
      <c r="Q172">
        <f t="shared" si="43"/>
        <v>1</v>
      </c>
      <c r="R172" s="302">
        <f t="shared" si="37"/>
        <v>0</v>
      </c>
      <c r="S172" s="302">
        <f t="shared" si="37"/>
        <v>0</v>
      </c>
      <c r="T172" s="302">
        <f t="shared" si="37"/>
        <v>0</v>
      </c>
      <c r="U172" s="302">
        <f t="shared" si="37"/>
        <v>0</v>
      </c>
      <c r="V172" s="302">
        <f t="shared" si="37"/>
        <v>0</v>
      </c>
      <c r="W172" s="302">
        <f t="shared" si="37"/>
        <v>0</v>
      </c>
      <c r="X172" s="302">
        <f t="shared" si="37"/>
        <v>0</v>
      </c>
      <c r="Y172" s="302">
        <f t="shared" si="37"/>
        <v>0</v>
      </c>
      <c r="Z172" s="302">
        <f t="shared" si="37"/>
        <v>0</v>
      </c>
      <c r="AA172" s="302">
        <f t="shared" si="37"/>
        <v>0</v>
      </c>
      <c r="AB172" s="302">
        <f t="shared" si="38"/>
        <v>0</v>
      </c>
      <c r="AC172" s="302">
        <f t="shared" si="38"/>
        <v>0</v>
      </c>
      <c r="AD172" s="302">
        <f t="shared" si="38"/>
        <v>0</v>
      </c>
      <c r="AE172" s="302">
        <f t="shared" si="38"/>
        <v>0</v>
      </c>
      <c r="AF172" s="302">
        <f t="shared" si="38"/>
        <v>0</v>
      </c>
      <c r="AG172" s="302">
        <f t="shared" si="38"/>
        <v>0</v>
      </c>
      <c r="AH172" s="302">
        <f t="shared" si="38"/>
        <v>0</v>
      </c>
      <c r="AI172" s="302">
        <f t="shared" si="38"/>
        <v>0</v>
      </c>
      <c r="AJ172" s="302">
        <f t="shared" si="38"/>
        <v>0</v>
      </c>
    </row>
    <row r="173" spans="9:36" x14ac:dyDescent="0.25">
      <c r="I173">
        <f t="shared" ref="I173:L173" si="44">I12</f>
        <v>0</v>
      </c>
      <c r="J173">
        <f t="shared" si="44"/>
        <v>0</v>
      </c>
      <c r="K173">
        <f t="shared" si="44"/>
        <v>0</v>
      </c>
      <c r="L173">
        <f t="shared" si="44"/>
        <v>0</v>
      </c>
      <c r="M173">
        <f t="shared" si="36"/>
        <v>0</v>
      </c>
      <c r="N173">
        <v>7</v>
      </c>
      <c r="P173">
        <f t="shared" si="43"/>
        <v>0</v>
      </c>
      <c r="Q173">
        <f t="shared" si="43"/>
        <v>1</v>
      </c>
      <c r="R173" s="302">
        <f t="shared" si="37"/>
        <v>0</v>
      </c>
      <c r="S173" s="302">
        <f t="shared" si="37"/>
        <v>0</v>
      </c>
      <c r="T173" s="302">
        <f t="shared" si="37"/>
        <v>0</v>
      </c>
      <c r="U173" s="302">
        <f t="shared" si="37"/>
        <v>0</v>
      </c>
      <c r="V173" s="302">
        <f t="shared" si="37"/>
        <v>0</v>
      </c>
      <c r="W173" s="302">
        <f t="shared" si="37"/>
        <v>0</v>
      </c>
      <c r="X173" s="302">
        <f t="shared" si="37"/>
        <v>0</v>
      </c>
      <c r="Y173" s="302">
        <f t="shared" si="37"/>
        <v>0</v>
      </c>
      <c r="Z173" s="302">
        <f t="shared" si="37"/>
        <v>0</v>
      </c>
      <c r="AA173" s="302">
        <f t="shared" si="37"/>
        <v>0</v>
      </c>
      <c r="AB173" s="302">
        <f t="shared" si="38"/>
        <v>0</v>
      </c>
      <c r="AC173" s="302">
        <f t="shared" si="38"/>
        <v>0</v>
      </c>
      <c r="AD173" s="302">
        <f t="shared" si="38"/>
        <v>0</v>
      </c>
      <c r="AE173" s="302">
        <f t="shared" si="38"/>
        <v>0</v>
      </c>
      <c r="AF173" s="302">
        <f t="shared" si="38"/>
        <v>0</v>
      </c>
      <c r="AG173" s="302">
        <f t="shared" si="38"/>
        <v>0</v>
      </c>
      <c r="AH173" s="302">
        <f t="shared" si="38"/>
        <v>0</v>
      </c>
      <c r="AI173" s="302">
        <f t="shared" si="38"/>
        <v>0</v>
      </c>
      <c r="AJ173" s="302">
        <f t="shared" si="38"/>
        <v>0</v>
      </c>
    </row>
    <row r="174" spans="9:36" x14ac:dyDescent="0.25">
      <c r="I174">
        <f t="shared" ref="I174:L174" si="45">I13</f>
        <v>138700</v>
      </c>
      <c r="J174">
        <f t="shared" si="45"/>
        <v>78000</v>
      </c>
      <c r="K174">
        <f t="shared" si="45"/>
        <v>48000</v>
      </c>
      <c r="L174">
        <f t="shared" si="45"/>
        <v>24750</v>
      </c>
      <c r="M174">
        <f t="shared" si="36"/>
        <v>5</v>
      </c>
      <c r="N174">
        <v>8</v>
      </c>
      <c r="P174">
        <f t="shared" si="43"/>
        <v>6.8988587888980795E-6</v>
      </c>
      <c r="Q174">
        <f t="shared" si="43"/>
        <v>1</v>
      </c>
      <c r="R174" s="302">
        <f t="shared" si="37"/>
        <v>1.148810965906919E-2</v>
      </c>
      <c r="S174" s="302">
        <f t="shared" si="37"/>
        <v>5.7052175806535793E-3</v>
      </c>
      <c r="T174" s="302">
        <f t="shared" si="37"/>
        <v>6.8974268145153986E-3</v>
      </c>
      <c r="U174" s="302">
        <f t="shared" si="37"/>
        <v>1.56705298564455E-2</v>
      </c>
      <c r="V174" s="302">
        <f t="shared" si="37"/>
        <v>2.4403166714111061E-3</v>
      </c>
      <c r="W174" s="302">
        <f t="shared" si="37"/>
        <v>2.5467976054292549E-3</v>
      </c>
      <c r="X174" s="302">
        <f t="shared" si="37"/>
        <v>1.4164879161415928E-3</v>
      </c>
      <c r="Y174" s="302">
        <f t="shared" si="37"/>
        <v>3.6265245643862346E-7</v>
      </c>
      <c r="Z174" s="302">
        <f t="shared" si="37"/>
        <v>2.6508780030927274E-4</v>
      </c>
      <c r="AA174" s="302">
        <f t="shared" si="37"/>
        <v>3.3864709289185878E-4</v>
      </c>
      <c r="AB174" s="302">
        <f t="shared" si="38"/>
        <v>4.0894626076516314E-8</v>
      </c>
      <c r="AC174" s="302">
        <f t="shared" si="38"/>
        <v>1.7353381663311993E-8</v>
      </c>
      <c r="AD174" s="302">
        <f t="shared" si="38"/>
        <v>1.529476161855453E-7</v>
      </c>
      <c r="AE174" s="302">
        <f t="shared" si="38"/>
        <v>1.987298788084394E-5</v>
      </c>
      <c r="AF174" s="302">
        <f t="shared" si="38"/>
        <v>2.6433017447923178E-5</v>
      </c>
      <c r="AG174" s="302">
        <f t="shared" si="38"/>
        <v>9.0486861829054811E-6</v>
      </c>
      <c r="AH174" s="302">
        <f t="shared" si="38"/>
        <v>1.1534256411858017E-5</v>
      </c>
      <c r="AI174" s="302">
        <f t="shared" si="38"/>
        <v>1.0766603409994021E-5</v>
      </c>
      <c r="AJ174" s="302">
        <f t="shared" si="38"/>
        <v>1.7337778263006065E-6</v>
      </c>
    </row>
    <row r="175" spans="9:36" x14ac:dyDescent="0.25">
      <c r="I175">
        <f t="shared" ref="I175:L175" si="46">I14</f>
        <v>0</v>
      </c>
      <c r="J175">
        <f t="shared" si="46"/>
        <v>0</v>
      </c>
      <c r="K175">
        <f t="shared" si="46"/>
        <v>0</v>
      </c>
      <c r="L175">
        <f t="shared" si="46"/>
        <v>0</v>
      </c>
      <c r="M175">
        <f t="shared" si="36"/>
        <v>0</v>
      </c>
      <c r="N175">
        <v>9</v>
      </c>
      <c r="P175">
        <f t="shared" si="43"/>
        <v>0</v>
      </c>
      <c r="Q175">
        <f t="shared" si="43"/>
        <v>1</v>
      </c>
      <c r="R175" s="302">
        <f t="shared" si="37"/>
        <v>0</v>
      </c>
      <c r="S175" s="302">
        <f t="shared" si="37"/>
        <v>0</v>
      </c>
      <c r="T175" s="302">
        <f t="shared" si="37"/>
        <v>0</v>
      </c>
      <c r="U175" s="302">
        <f t="shared" si="37"/>
        <v>0</v>
      </c>
      <c r="V175" s="302">
        <f t="shared" si="37"/>
        <v>0</v>
      </c>
      <c r="W175" s="302">
        <f t="shared" si="37"/>
        <v>0</v>
      </c>
      <c r="X175" s="302">
        <f t="shared" si="37"/>
        <v>0</v>
      </c>
      <c r="Y175" s="302">
        <f t="shared" si="37"/>
        <v>0</v>
      </c>
      <c r="Z175" s="302">
        <f t="shared" si="37"/>
        <v>0</v>
      </c>
      <c r="AA175" s="302">
        <f t="shared" si="37"/>
        <v>0</v>
      </c>
      <c r="AB175" s="302">
        <f t="shared" si="38"/>
        <v>0</v>
      </c>
      <c r="AC175" s="302">
        <f t="shared" si="38"/>
        <v>0</v>
      </c>
      <c r="AD175" s="302">
        <f t="shared" si="38"/>
        <v>0</v>
      </c>
      <c r="AE175" s="302">
        <f t="shared" si="38"/>
        <v>0</v>
      </c>
      <c r="AF175" s="302">
        <f t="shared" si="38"/>
        <v>0</v>
      </c>
      <c r="AG175" s="302">
        <f t="shared" si="38"/>
        <v>0</v>
      </c>
      <c r="AH175" s="302">
        <f t="shared" si="38"/>
        <v>0</v>
      </c>
      <c r="AI175" s="302">
        <f t="shared" si="38"/>
        <v>0</v>
      </c>
      <c r="AJ175" s="302">
        <f t="shared" si="38"/>
        <v>0</v>
      </c>
    </row>
    <row r="176" spans="9:36" x14ac:dyDescent="0.25">
      <c r="I176">
        <f t="shared" ref="I176:L176" si="47">I15</f>
        <v>0</v>
      </c>
      <c r="J176">
        <f t="shared" si="47"/>
        <v>0</v>
      </c>
      <c r="K176">
        <f t="shared" si="47"/>
        <v>0</v>
      </c>
      <c r="L176">
        <f t="shared" si="47"/>
        <v>0</v>
      </c>
      <c r="M176">
        <f t="shared" si="36"/>
        <v>0</v>
      </c>
      <c r="N176">
        <v>10</v>
      </c>
      <c r="P176">
        <f t="shared" si="43"/>
        <v>0</v>
      </c>
      <c r="Q176">
        <f t="shared" si="43"/>
        <v>1</v>
      </c>
      <c r="R176" s="302">
        <f t="shared" si="37"/>
        <v>0</v>
      </c>
      <c r="S176" s="302">
        <f t="shared" si="37"/>
        <v>0</v>
      </c>
      <c r="T176" s="302">
        <f t="shared" si="37"/>
        <v>0</v>
      </c>
      <c r="U176" s="302">
        <f t="shared" si="37"/>
        <v>0</v>
      </c>
      <c r="V176" s="302">
        <f t="shared" si="37"/>
        <v>0</v>
      </c>
      <c r="W176" s="302">
        <f t="shared" si="37"/>
        <v>0</v>
      </c>
      <c r="X176" s="302">
        <f t="shared" si="37"/>
        <v>0</v>
      </c>
      <c r="Y176" s="302">
        <f t="shared" si="37"/>
        <v>0</v>
      </c>
      <c r="Z176" s="302">
        <f t="shared" si="37"/>
        <v>0</v>
      </c>
      <c r="AA176" s="302">
        <f t="shared" si="37"/>
        <v>0</v>
      </c>
      <c r="AB176" s="302">
        <f t="shared" si="38"/>
        <v>0</v>
      </c>
      <c r="AC176" s="302">
        <f t="shared" si="38"/>
        <v>0</v>
      </c>
      <c r="AD176" s="302">
        <f t="shared" si="38"/>
        <v>0</v>
      </c>
      <c r="AE176" s="302">
        <f t="shared" si="38"/>
        <v>0</v>
      </c>
      <c r="AF176" s="302">
        <f t="shared" si="38"/>
        <v>0</v>
      </c>
      <c r="AG176" s="302">
        <f t="shared" si="38"/>
        <v>0</v>
      </c>
      <c r="AH176" s="302">
        <f t="shared" si="38"/>
        <v>0</v>
      </c>
      <c r="AI176" s="302">
        <f t="shared" si="38"/>
        <v>0</v>
      </c>
      <c r="AJ176" s="302">
        <f t="shared" si="38"/>
        <v>0</v>
      </c>
    </row>
    <row r="177" spans="9:36" x14ac:dyDescent="0.25">
      <c r="I177">
        <f t="shared" ref="I177:L177" si="48">I16</f>
        <v>0</v>
      </c>
      <c r="J177">
        <f t="shared" si="48"/>
        <v>0</v>
      </c>
      <c r="K177">
        <f t="shared" si="48"/>
        <v>0</v>
      </c>
      <c r="L177">
        <f t="shared" si="48"/>
        <v>0</v>
      </c>
      <c r="M177">
        <f t="shared" si="36"/>
        <v>0</v>
      </c>
      <c r="N177">
        <v>11</v>
      </c>
      <c r="P177">
        <f t="shared" si="43"/>
        <v>0</v>
      </c>
      <c r="Q177">
        <f t="shared" si="43"/>
        <v>1</v>
      </c>
      <c r="R177" s="302">
        <f t="shared" si="37"/>
        <v>0</v>
      </c>
      <c r="S177" s="302">
        <f t="shared" si="37"/>
        <v>0</v>
      </c>
      <c r="T177" s="302">
        <f t="shared" si="37"/>
        <v>0</v>
      </c>
      <c r="U177" s="302">
        <f t="shared" si="37"/>
        <v>0</v>
      </c>
      <c r="V177" s="302">
        <f t="shared" si="37"/>
        <v>0</v>
      </c>
      <c r="W177" s="302">
        <f t="shared" si="37"/>
        <v>0</v>
      </c>
      <c r="X177" s="302">
        <f t="shared" si="37"/>
        <v>0</v>
      </c>
      <c r="Y177" s="302">
        <f t="shared" si="37"/>
        <v>0</v>
      </c>
      <c r="Z177" s="302">
        <f t="shared" si="37"/>
        <v>0</v>
      </c>
      <c r="AA177" s="302">
        <f t="shared" si="37"/>
        <v>0</v>
      </c>
      <c r="AB177" s="302">
        <f t="shared" si="38"/>
        <v>0</v>
      </c>
      <c r="AC177" s="302">
        <f t="shared" si="38"/>
        <v>0</v>
      </c>
      <c r="AD177" s="302">
        <f t="shared" si="38"/>
        <v>0</v>
      </c>
      <c r="AE177" s="302">
        <f t="shared" si="38"/>
        <v>0</v>
      </c>
      <c r="AF177" s="302">
        <f t="shared" si="38"/>
        <v>0</v>
      </c>
      <c r="AG177" s="302">
        <f t="shared" si="38"/>
        <v>0</v>
      </c>
      <c r="AH177" s="302">
        <f t="shared" si="38"/>
        <v>0</v>
      </c>
      <c r="AI177" s="302">
        <f t="shared" si="38"/>
        <v>0</v>
      </c>
      <c r="AJ177" s="302">
        <f t="shared" si="38"/>
        <v>0</v>
      </c>
    </row>
    <row r="178" spans="9:36" x14ac:dyDescent="0.25">
      <c r="I178">
        <f t="shared" ref="I178:L178" si="49">I17</f>
        <v>0</v>
      </c>
      <c r="J178">
        <f t="shared" si="49"/>
        <v>0</v>
      </c>
      <c r="K178">
        <f t="shared" si="49"/>
        <v>0</v>
      </c>
      <c r="L178">
        <f t="shared" si="49"/>
        <v>0</v>
      </c>
      <c r="M178">
        <f t="shared" si="36"/>
        <v>0</v>
      </c>
      <c r="N178">
        <v>12</v>
      </c>
      <c r="P178">
        <f t="shared" si="43"/>
        <v>0</v>
      </c>
      <c r="Q178">
        <f t="shared" si="43"/>
        <v>1</v>
      </c>
      <c r="R178" s="302">
        <f t="shared" si="37"/>
        <v>0</v>
      </c>
      <c r="S178" s="302">
        <f t="shared" si="37"/>
        <v>0</v>
      </c>
      <c r="T178" s="302">
        <f t="shared" si="37"/>
        <v>0</v>
      </c>
      <c r="U178" s="302">
        <f t="shared" si="37"/>
        <v>0</v>
      </c>
      <c r="V178" s="302">
        <f t="shared" si="37"/>
        <v>0</v>
      </c>
      <c r="W178" s="302">
        <f t="shared" si="37"/>
        <v>0</v>
      </c>
      <c r="X178" s="302">
        <f t="shared" si="37"/>
        <v>0</v>
      </c>
      <c r="Y178" s="302">
        <f t="shared" si="37"/>
        <v>0</v>
      </c>
      <c r="Z178" s="302">
        <f t="shared" si="37"/>
        <v>0</v>
      </c>
      <c r="AA178" s="302">
        <f t="shared" si="37"/>
        <v>0</v>
      </c>
      <c r="AB178" s="302">
        <f t="shared" si="38"/>
        <v>0</v>
      </c>
      <c r="AC178" s="302">
        <f t="shared" si="38"/>
        <v>0</v>
      </c>
      <c r="AD178" s="302">
        <f t="shared" si="38"/>
        <v>0</v>
      </c>
      <c r="AE178" s="302">
        <f t="shared" si="38"/>
        <v>0</v>
      </c>
      <c r="AF178" s="302">
        <f t="shared" si="38"/>
        <v>0</v>
      </c>
      <c r="AG178" s="302">
        <f t="shared" si="38"/>
        <v>0</v>
      </c>
      <c r="AH178" s="302">
        <f t="shared" si="38"/>
        <v>0</v>
      </c>
      <c r="AI178" s="302">
        <f t="shared" si="38"/>
        <v>0</v>
      </c>
      <c r="AJ178" s="302">
        <f t="shared" si="38"/>
        <v>0</v>
      </c>
    </row>
    <row r="179" spans="9:36" x14ac:dyDescent="0.25">
      <c r="I179">
        <f t="shared" ref="I179:L179" si="50">I18</f>
        <v>0</v>
      </c>
      <c r="J179">
        <f t="shared" si="50"/>
        <v>0</v>
      </c>
      <c r="K179">
        <f t="shared" si="50"/>
        <v>0</v>
      </c>
      <c r="L179">
        <f t="shared" si="50"/>
        <v>0</v>
      </c>
      <c r="M179">
        <f t="shared" si="36"/>
        <v>0</v>
      </c>
      <c r="N179">
        <v>13</v>
      </c>
      <c r="P179">
        <f t="shared" si="43"/>
        <v>3.0716147127522115E-5</v>
      </c>
      <c r="Q179">
        <f t="shared" si="43"/>
        <v>1</v>
      </c>
      <c r="R179" s="302">
        <f t="shared" si="37"/>
        <v>1.6490107488455693E-4</v>
      </c>
      <c r="S179" s="302">
        <f t="shared" si="37"/>
        <v>1.1733932967479814E-3</v>
      </c>
      <c r="T179" s="302">
        <f t="shared" si="37"/>
        <v>1.8704057104961323E-6</v>
      </c>
      <c r="U179" s="302">
        <f t="shared" si="37"/>
        <v>2.351367178909423E-4</v>
      </c>
      <c r="V179" s="302">
        <f t="shared" si="37"/>
        <v>4.0461837818895916E-5</v>
      </c>
      <c r="W179" s="302">
        <f t="shared" si="37"/>
        <v>4.0461837818895916E-5</v>
      </c>
      <c r="X179" s="302">
        <f t="shared" si="37"/>
        <v>0</v>
      </c>
      <c r="Y179" s="302">
        <f t="shared" si="37"/>
        <v>0</v>
      </c>
      <c r="Z179" s="302">
        <f t="shared" si="37"/>
        <v>4.7867117570656116E-6</v>
      </c>
      <c r="AA179" s="302">
        <f t="shared" si="37"/>
        <v>9.9246017291631483E-6</v>
      </c>
      <c r="AB179" s="302">
        <f t="shared" si="38"/>
        <v>5.1531301882255406E-11</v>
      </c>
      <c r="AC179" s="302">
        <f t="shared" si="38"/>
        <v>0</v>
      </c>
      <c r="AD179" s="302">
        <f t="shared" si="38"/>
        <v>0</v>
      </c>
      <c r="AE179" s="302">
        <f t="shared" si="38"/>
        <v>0</v>
      </c>
      <c r="AF179" s="302">
        <f t="shared" si="38"/>
        <v>0</v>
      </c>
      <c r="AG179" s="302">
        <f t="shared" si="38"/>
        <v>5.38215819659112E-6</v>
      </c>
      <c r="AH179" s="302">
        <f t="shared" si="38"/>
        <v>0</v>
      </c>
      <c r="AI179" s="302">
        <f t="shared" si="38"/>
        <v>0</v>
      </c>
      <c r="AJ179" s="302">
        <f t="shared" si="38"/>
        <v>0</v>
      </c>
    </row>
    <row r="180" spans="9:36" x14ac:dyDescent="0.25">
      <c r="I180">
        <f t="shared" ref="I180:L180" si="51">I19</f>
        <v>0</v>
      </c>
      <c r="J180">
        <f t="shared" si="51"/>
        <v>0</v>
      </c>
      <c r="K180">
        <f t="shared" si="51"/>
        <v>0</v>
      </c>
      <c r="L180">
        <f t="shared" si="51"/>
        <v>0</v>
      </c>
      <c r="M180">
        <f t="shared" si="36"/>
        <v>0</v>
      </c>
      <c r="N180">
        <v>14</v>
      </c>
      <c r="P180">
        <f t="shared" si="43"/>
        <v>0</v>
      </c>
      <c r="Q180">
        <f t="shared" si="43"/>
        <v>1</v>
      </c>
      <c r="R180" s="302">
        <f t="shared" si="37"/>
        <v>0</v>
      </c>
      <c r="S180" s="302">
        <f t="shared" si="37"/>
        <v>0</v>
      </c>
      <c r="T180" s="302">
        <f t="shared" si="37"/>
        <v>0</v>
      </c>
      <c r="U180" s="302">
        <f t="shared" si="37"/>
        <v>0</v>
      </c>
      <c r="V180" s="302">
        <f t="shared" si="37"/>
        <v>0</v>
      </c>
      <c r="W180" s="302">
        <f t="shared" si="37"/>
        <v>0</v>
      </c>
      <c r="X180" s="302">
        <f t="shared" si="37"/>
        <v>0</v>
      </c>
      <c r="Y180" s="302">
        <f t="shared" si="37"/>
        <v>0</v>
      </c>
      <c r="Z180" s="302">
        <f t="shared" si="37"/>
        <v>0</v>
      </c>
      <c r="AA180" s="302">
        <f t="shared" si="37"/>
        <v>0</v>
      </c>
      <c r="AB180" s="302">
        <f t="shared" si="38"/>
        <v>0</v>
      </c>
      <c r="AC180" s="302">
        <f t="shared" si="38"/>
        <v>0</v>
      </c>
      <c r="AD180" s="302">
        <f t="shared" si="38"/>
        <v>0</v>
      </c>
      <c r="AE180" s="302">
        <f t="shared" si="38"/>
        <v>0</v>
      </c>
      <c r="AF180" s="302">
        <f t="shared" si="38"/>
        <v>0</v>
      </c>
      <c r="AG180" s="302">
        <f t="shared" si="38"/>
        <v>0</v>
      </c>
      <c r="AH180" s="302">
        <f t="shared" si="38"/>
        <v>0</v>
      </c>
      <c r="AI180" s="302">
        <f t="shared" si="38"/>
        <v>0</v>
      </c>
      <c r="AJ180" s="302">
        <f t="shared" si="38"/>
        <v>0</v>
      </c>
    </row>
    <row r="181" spans="9:36" x14ac:dyDescent="0.25">
      <c r="I181">
        <f t="shared" ref="I181:L181" si="52">I20</f>
        <v>0</v>
      </c>
      <c r="J181">
        <f t="shared" si="52"/>
        <v>0</v>
      </c>
      <c r="K181">
        <f t="shared" si="52"/>
        <v>0</v>
      </c>
      <c r="L181">
        <f t="shared" si="52"/>
        <v>0</v>
      </c>
      <c r="M181">
        <f t="shared" si="36"/>
        <v>0</v>
      </c>
      <c r="N181">
        <v>15</v>
      </c>
      <c r="P181">
        <f t="shared" si="43"/>
        <v>0</v>
      </c>
      <c r="Q181">
        <f t="shared" si="43"/>
        <v>1</v>
      </c>
      <c r="R181" s="302">
        <f t="shared" si="37"/>
        <v>0</v>
      </c>
      <c r="S181" s="302">
        <f t="shared" si="37"/>
        <v>0</v>
      </c>
      <c r="T181" s="302">
        <f t="shared" si="37"/>
        <v>0</v>
      </c>
      <c r="U181" s="302">
        <f t="shared" si="37"/>
        <v>0</v>
      </c>
      <c r="V181" s="302">
        <f t="shared" si="37"/>
        <v>0</v>
      </c>
      <c r="W181" s="302">
        <f t="shared" si="37"/>
        <v>0</v>
      </c>
      <c r="X181" s="302">
        <f t="shared" si="37"/>
        <v>0</v>
      </c>
      <c r="Y181" s="302">
        <f t="shared" si="37"/>
        <v>0</v>
      </c>
      <c r="Z181" s="302">
        <f t="shared" si="37"/>
        <v>0</v>
      </c>
      <c r="AA181" s="302">
        <f t="shared" si="37"/>
        <v>0</v>
      </c>
      <c r="AB181" s="302">
        <f t="shared" si="38"/>
        <v>0</v>
      </c>
      <c r="AC181" s="302">
        <f t="shared" si="38"/>
        <v>0</v>
      </c>
      <c r="AD181" s="302">
        <f t="shared" si="38"/>
        <v>0</v>
      </c>
      <c r="AE181" s="302">
        <f t="shared" si="38"/>
        <v>0</v>
      </c>
      <c r="AF181" s="302">
        <f t="shared" si="38"/>
        <v>0</v>
      </c>
      <c r="AG181" s="302">
        <f t="shared" si="38"/>
        <v>0</v>
      </c>
      <c r="AH181" s="302">
        <f t="shared" si="38"/>
        <v>0</v>
      </c>
      <c r="AI181" s="302">
        <f t="shared" si="38"/>
        <v>0</v>
      </c>
      <c r="AJ181" s="302">
        <f t="shared" si="38"/>
        <v>0</v>
      </c>
    </row>
    <row r="182" spans="9:36" x14ac:dyDescent="0.25">
      <c r="I182">
        <f t="shared" ref="I182:L182" si="53">I21</f>
        <v>0</v>
      </c>
      <c r="J182">
        <f t="shared" si="53"/>
        <v>0</v>
      </c>
      <c r="K182">
        <f t="shared" si="53"/>
        <v>0</v>
      </c>
      <c r="L182">
        <f t="shared" si="53"/>
        <v>0</v>
      </c>
      <c r="M182">
        <f t="shared" si="36"/>
        <v>0</v>
      </c>
      <c r="N182">
        <v>16</v>
      </c>
      <c r="P182">
        <f t="shared" si="43"/>
        <v>0</v>
      </c>
      <c r="Q182">
        <f t="shared" si="43"/>
        <v>1</v>
      </c>
      <c r="R182" s="302">
        <f t="shared" si="37"/>
        <v>0</v>
      </c>
      <c r="S182" s="302">
        <f t="shared" si="37"/>
        <v>0</v>
      </c>
      <c r="T182" s="302">
        <f t="shared" si="37"/>
        <v>0</v>
      </c>
      <c r="U182" s="302">
        <f t="shared" si="37"/>
        <v>0</v>
      </c>
      <c r="V182" s="302">
        <f t="shared" si="37"/>
        <v>0</v>
      </c>
      <c r="W182" s="302">
        <f t="shared" si="37"/>
        <v>0</v>
      </c>
      <c r="X182" s="302">
        <f t="shared" si="37"/>
        <v>0</v>
      </c>
      <c r="Y182" s="302">
        <f t="shared" si="37"/>
        <v>0</v>
      </c>
      <c r="Z182" s="302">
        <f t="shared" si="37"/>
        <v>0</v>
      </c>
      <c r="AA182" s="302">
        <f t="shared" si="37"/>
        <v>0</v>
      </c>
      <c r="AB182" s="302">
        <f t="shared" si="38"/>
        <v>0</v>
      </c>
      <c r="AC182" s="302">
        <f t="shared" si="38"/>
        <v>0</v>
      </c>
      <c r="AD182" s="302">
        <f t="shared" si="38"/>
        <v>0</v>
      </c>
      <c r="AE182" s="302">
        <f t="shared" si="38"/>
        <v>0</v>
      </c>
      <c r="AF182" s="302">
        <f t="shared" si="38"/>
        <v>0</v>
      </c>
      <c r="AG182" s="302">
        <f t="shared" si="38"/>
        <v>0</v>
      </c>
      <c r="AH182" s="302">
        <f t="shared" si="38"/>
        <v>0</v>
      </c>
      <c r="AI182" s="302">
        <f t="shared" si="38"/>
        <v>0</v>
      </c>
      <c r="AJ182" s="302">
        <f t="shared" si="38"/>
        <v>0</v>
      </c>
    </row>
    <row r="183" spans="9:36" x14ac:dyDescent="0.25">
      <c r="I183">
        <f t="shared" ref="I183:L183" si="54">I22</f>
        <v>0</v>
      </c>
      <c r="J183">
        <f t="shared" si="54"/>
        <v>0</v>
      </c>
      <c r="K183">
        <f t="shared" si="54"/>
        <v>0</v>
      </c>
      <c r="L183">
        <f t="shared" si="54"/>
        <v>0</v>
      </c>
      <c r="M183">
        <f t="shared" si="36"/>
        <v>0</v>
      </c>
      <c r="N183">
        <v>17</v>
      </c>
      <c r="P183">
        <f t="shared" si="43"/>
        <v>0</v>
      </c>
      <c r="Q183">
        <f t="shared" si="43"/>
        <v>1</v>
      </c>
      <c r="R183" s="302">
        <f t="shared" si="37"/>
        <v>0</v>
      </c>
      <c r="S183" s="302">
        <f t="shared" si="37"/>
        <v>0</v>
      </c>
      <c r="T183" s="302">
        <f t="shared" si="37"/>
        <v>0</v>
      </c>
      <c r="U183" s="302">
        <f t="shared" si="37"/>
        <v>0</v>
      </c>
      <c r="V183" s="302">
        <f t="shared" si="37"/>
        <v>0</v>
      </c>
      <c r="W183" s="302">
        <f t="shared" si="37"/>
        <v>0</v>
      </c>
      <c r="X183" s="302">
        <f t="shared" si="37"/>
        <v>0</v>
      </c>
      <c r="Y183" s="302">
        <f t="shared" si="37"/>
        <v>0</v>
      </c>
      <c r="Z183" s="302">
        <f t="shared" si="37"/>
        <v>0</v>
      </c>
      <c r="AA183" s="302">
        <f t="shared" si="37"/>
        <v>0</v>
      </c>
      <c r="AB183" s="302">
        <f t="shared" si="38"/>
        <v>0</v>
      </c>
      <c r="AC183" s="302">
        <f t="shared" si="38"/>
        <v>0</v>
      </c>
      <c r="AD183" s="302">
        <f t="shared" si="38"/>
        <v>0</v>
      </c>
      <c r="AE183" s="302">
        <f t="shared" si="38"/>
        <v>0</v>
      </c>
      <c r="AF183" s="302">
        <f t="shared" si="38"/>
        <v>0</v>
      </c>
      <c r="AG183" s="302">
        <f t="shared" si="38"/>
        <v>0</v>
      </c>
      <c r="AH183" s="302">
        <f t="shared" si="38"/>
        <v>0</v>
      </c>
      <c r="AI183" s="302">
        <f t="shared" si="38"/>
        <v>0</v>
      </c>
      <c r="AJ183" s="302">
        <f t="shared" si="38"/>
        <v>0</v>
      </c>
    </row>
    <row r="184" spans="9:36" x14ac:dyDescent="0.25">
      <c r="I184">
        <f t="shared" ref="I184:L184" si="55">I23</f>
        <v>0</v>
      </c>
      <c r="J184">
        <f t="shared" si="55"/>
        <v>0</v>
      </c>
      <c r="K184">
        <f t="shared" si="55"/>
        <v>0</v>
      </c>
      <c r="L184">
        <f t="shared" si="55"/>
        <v>0</v>
      </c>
      <c r="M184">
        <f t="shared" si="36"/>
        <v>0</v>
      </c>
      <c r="N184">
        <v>18</v>
      </c>
      <c r="P184">
        <f t="shared" si="43"/>
        <v>0</v>
      </c>
      <c r="Q184">
        <f t="shared" si="43"/>
        <v>1</v>
      </c>
      <c r="R184" s="302">
        <f t="shared" si="37"/>
        <v>0</v>
      </c>
      <c r="S184" s="302">
        <f t="shared" si="37"/>
        <v>0</v>
      </c>
      <c r="T184" s="302">
        <f t="shared" si="37"/>
        <v>0</v>
      </c>
      <c r="U184" s="302">
        <f t="shared" si="37"/>
        <v>0</v>
      </c>
      <c r="V184" s="302">
        <f t="shared" si="37"/>
        <v>0</v>
      </c>
      <c r="W184" s="302">
        <f t="shared" si="37"/>
        <v>0</v>
      </c>
      <c r="X184" s="302">
        <f t="shared" si="37"/>
        <v>0</v>
      </c>
      <c r="Y184" s="302">
        <f t="shared" si="37"/>
        <v>0</v>
      </c>
      <c r="Z184" s="302">
        <f t="shared" si="37"/>
        <v>0</v>
      </c>
      <c r="AA184" s="302">
        <f t="shared" si="37"/>
        <v>0</v>
      </c>
      <c r="AB184" s="302">
        <f t="shared" si="38"/>
        <v>0</v>
      </c>
      <c r="AC184" s="302">
        <f t="shared" si="38"/>
        <v>0</v>
      </c>
      <c r="AD184" s="302">
        <f t="shared" si="38"/>
        <v>0</v>
      </c>
      <c r="AE184" s="302">
        <f t="shared" si="38"/>
        <v>0</v>
      </c>
      <c r="AF184" s="302">
        <f t="shared" si="38"/>
        <v>0</v>
      </c>
      <c r="AG184" s="302">
        <f t="shared" si="38"/>
        <v>0</v>
      </c>
      <c r="AH184" s="302">
        <f t="shared" si="38"/>
        <v>0</v>
      </c>
      <c r="AI184" s="302">
        <f t="shared" si="38"/>
        <v>0</v>
      </c>
      <c r="AJ184" s="302">
        <f t="shared" si="38"/>
        <v>0</v>
      </c>
    </row>
    <row r="185" spans="9:36" x14ac:dyDescent="0.25">
      <c r="I185">
        <f t="shared" ref="I185:L185" si="56">I24</f>
        <v>0</v>
      </c>
      <c r="J185">
        <f t="shared" si="56"/>
        <v>0</v>
      </c>
      <c r="K185">
        <f t="shared" si="56"/>
        <v>0</v>
      </c>
      <c r="L185">
        <f t="shared" si="56"/>
        <v>0</v>
      </c>
      <c r="M185">
        <f t="shared" si="36"/>
        <v>0</v>
      </c>
      <c r="N185">
        <v>19</v>
      </c>
      <c r="P185">
        <f t="shared" si="43"/>
        <v>0</v>
      </c>
      <c r="Q185">
        <f t="shared" si="43"/>
        <v>1</v>
      </c>
      <c r="R185" s="302">
        <f t="shared" si="37"/>
        <v>0</v>
      </c>
      <c r="S185" s="302">
        <f t="shared" si="37"/>
        <v>0</v>
      </c>
      <c r="T185" s="302">
        <f t="shared" si="37"/>
        <v>0</v>
      </c>
      <c r="U185" s="302">
        <f t="shared" si="37"/>
        <v>0</v>
      </c>
      <c r="V185" s="302">
        <f t="shared" si="37"/>
        <v>0</v>
      </c>
      <c r="W185" s="302">
        <f t="shared" si="37"/>
        <v>0</v>
      </c>
      <c r="X185" s="302">
        <f t="shared" si="37"/>
        <v>0</v>
      </c>
      <c r="Y185" s="302">
        <f t="shared" si="37"/>
        <v>0</v>
      </c>
      <c r="Z185" s="302">
        <f t="shared" si="37"/>
        <v>0</v>
      </c>
      <c r="AA185" s="302">
        <f t="shared" si="37"/>
        <v>0</v>
      </c>
      <c r="AB185" s="302">
        <f t="shared" si="38"/>
        <v>0</v>
      </c>
      <c r="AC185" s="302">
        <f t="shared" si="38"/>
        <v>0</v>
      </c>
      <c r="AD185" s="302">
        <f t="shared" si="38"/>
        <v>0</v>
      </c>
      <c r="AE185" s="302">
        <f t="shared" si="38"/>
        <v>0</v>
      </c>
      <c r="AF185" s="302">
        <f t="shared" si="38"/>
        <v>0</v>
      </c>
      <c r="AG185" s="302">
        <f t="shared" si="38"/>
        <v>0</v>
      </c>
      <c r="AH185" s="302">
        <f t="shared" si="38"/>
        <v>0</v>
      </c>
      <c r="AI185" s="302">
        <f t="shared" si="38"/>
        <v>0</v>
      </c>
      <c r="AJ185" s="302">
        <f t="shared" si="38"/>
        <v>0</v>
      </c>
    </row>
    <row r="186" spans="9:36" x14ac:dyDescent="0.25">
      <c r="I186">
        <f t="shared" ref="I186:L186" si="57">I25</f>
        <v>0</v>
      </c>
      <c r="J186">
        <f t="shared" si="57"/>
        <v>0</v>
      </c>
      <c r="K186">
        <f t="shared" si="57"/>
        <v>0</v>
      </c>
      <c r="L186">
        <f t="shared" si="57"/>
        <v>0</v>
      </c>
      <c r="M186">
        <f t="shared" si="36"/>
        <v>0</v>
      </c>
      <c r="N186">
        <v>20</v>
      </c>
      <c r="P186">
        <f t="shared" ref="P186:Q190" si="58">P25</f>
        <v>0</v>
      </c>
      <c r="Q186">
        <f t="shared" si="58"/>
        <v>1</v>
      </c>
      <c r="R186" s="302">
        <f t="shared" si="37"/>
        <v>0</v>
      </c>
      <c r="S186" s="302">
        <f t="shared" si="37"/>
        <v>0</v>
      </c>
      <c r="T186" s="302">
        <f t="shared" si="37"/>
        <v>0</v>
      </c>
      <c r="U186" s="302">
        <f t="shared" si="37"/>
        <v>0</v>
      </c>
      <c r="V186" s="302">
        <f t="shared" si="37"/>
        <v>0</v>
      </c>
      <c r="W186" s="302">
        <f t="shared" si="37"/>
        <v>0</v>
      </c>
      <c r="X186" s="302">
        <f t="shared" si="37"/>
        <v>0</v>
      </c>
      <c r="Y186" s="302">
        <f t="shared" si="37"/>
        <v>0</v>
      </c>
      <c r="Z186" s="302">
        <f t="shared" si="37"/>
        <v>0</v>
      </c>
      <c r="AA186" s="302">
        <f t="shared" si="37"/>
        <v>0</v>
      </c>
      <c r="AB186" s="302">
        <f t="shared" si="38"/>
        <v>0</v>
      </c>
      <c r="AC186" s="302">
        <f t="shared" si="38"/>
        <v>0</v>
      </c>
      <c r="AD186" s="302">
        <f t="shared" si="38"/>
        <v>0</v>
      </c>
      <c r="AE186" s="302">
        <f t="shared" si="38"/>
        <v>0</v>
      </c>
      <c r="AF186" s="302">
        <f t="shared" si="38"/>
        <v>0</v>
      </c>
      <c r="AG186" s="302">
        <f t="shared" si="38"/>
        <v>0</v>
      </c>
      <c r="AH186" s="302">
        <f t="shared" si="38"/>
        <v>0</v>
      </c>
      <c r="AI186" s="302">
        <f t="shared" si="38"/>
        <v>0</v>
      </c>
      <c r="AJ186" s="302">
        <f t="shared" si="38"/>
        <v>0</v>
      </c>
    </row>
    <row r="187" spans="9:36" x14ac:dyDescent="0.25">
      <c r="I187">
        <f t="shared" ref="I187:L187" si="59">I26</f>
        <v>0</v>
      </c>
      <c r="J187">
        <f t="shared" si="59"/>
        <v>0</v>
      </c>
      <c r="K187">
        <f t="shared" si="59"/>
        <v>0</v>
      </c>
      <c r="L187">
        <f t="shared" si="59"/>
        <v>0</v>
      </c>
      <c r="M187">
        <f t="shared" si="36"/>
        <v>0</v>
      </c>
      <c r="N187">
        <v>21</v>
      </c>
      <c r="P187">
        <f t="shared" si="58"/>
        <v>0</v>
      </c>
      <c r="Q187">
        <f t="shared" si="58"/>
        <v>1</v>
      </c>
      <c r="R187" s="302">
        <f t="shared" si="37"/>
        <v>0</v>
      </c>
      <c r="S187" s="302">
        <f t="shared" si="37"/>
        <v>0</v>
      </c>
      <c r="T187" s="302">
        <f t="shared" si="37"/>
        <v>0</v>
      </c>
      <c r="U187" s="302">
        <f t="shared" si="37"/>
        <v>0</v>
      </c>
      <c r="V187" s="302">
        <f t="shared" si="37"/>
        <v>0</v>
      </c>
      <c r="W187" s="302">
        <f t="shared" si="37"/>
        <v>0</v>
      </c>
      <c r="X187" s="302">
        <f t="shared" si="37"/>
        <v>0</v>
      </c>
      <c r="Y187" s="302">
        <f t="shared" si="37"/>
        <v>0</v>
      </c>
      <c r="Z187" s="302">
        <f t="shared" si="37"/>
        <v>0</v>
      </c>
      <c r="AA187" s="302">
        <f t="shared" si="37"/>
        <v>0</v>
      </c>
      <c r="AB187" s="302">
        <f t="shared" si="38"/>
        <v>0</v>
      </c>
      <c r="AC187" s="302">
        <f t="shared" si="38"/>
        <v>0</v>
      </c>
      <c r="AD187" s="302">
        <f t="shared" si="38"/>
        <v>0</v>
      </c>
      <c r="AE187" s="302">
        <f t="shared" si="38"/>
        <v>0</v>
      </c>
      <c r="AF187" s="302">
        <f t="shared" si="38"/>
        <v>0</v>
      </c>
      <c r="AG187" s="302">
        <f t="shared" si="38"/>
        <v>0</v>
      </c>
      <c r="AH187" s="302">
        <f t="shared" si="38"/>
        <v>0</v>
      </c>
      <c r="AI187" s="302">
        <f t="shared" si="38"/>
        <v>0</v>
      </c>
      <c r="AJ187" s="302">
        <f t="shared" si="38"/>
        <v>0</v>
      </c>
    </row>
    <row r="188" spans="9:36" x14ac:dyDescent="0.25">
      <c r="I188">
        <f t="shared" ref="I188:L188" si="60">I27</f>
        <v>152000</v>
      </c>
      <c r="J188">
        <f t="shared" si="60"/>
        <v>67925</v>
      </c>
      <c r="K188">
        <f t="shared" si="60"/>
        <v>31050</v>
      </c>
      <c r="L188">
        <f t="shared" si="60"/>
        <v>27900</v>
      </c>
      <c r="M188">
        <f t="shared" si="36"/>
        <v>5</v>
      </c>
      <c r="N188">
        <v>22</v>
      </c>
      <c r="P188">
        <f t="shared" si="58"/>
        <v>0</v>
      </c>
      <c r="Q188">
        <f t="shared" si="58"/>
        <v>1</v>
      </c>
      <c r="R188" s="302">
        <f t="shared" si="37"/>
        <v>0</v>
      </c>
      <c r="S188" s="302">
        <f t="shared" si="37"/>
        <v>0</v>
      </c>
      <c r="T188" s="302">
        <f t="shared" si="37"/>
        <v>0</v>
      </c>
      <c r="U188" s="302">
        <f t="shared" si="37"/>
        <v>0</v>
      </c>
      <c r="V188" s="302">
        <f t="shared" si="37"/>
        <v>0</v>
      </c>
      <c r="W188" s="302">
        <f t="shared" si="37"/>
        <v>0</v>
      </c>
      <c r="X188" s="302">
        <f t="shared" si="37"/>
        <v>0</v>
      </c>
      <c r="Y188" s="302">
        <f t="shared" si="37"/>
        <v>0</v>
      </c>
      <c r="Z188" s="302">
        <f t="shared" si="37"/>
        <v>0</v>
      </c>
      <c r="AA188" s="302">
        <f t="shared" si="37"/>
        <v>0</v>
      </c>
      <c r="AB188" s="302">
        <f t="shared" si="38"/>
        <v>0</v>
      </c>
      <c r="AC188" s="302">
        <f t="shared" si="38"/>
        <v>0</v>
      </c>
      <c r="AD188" s="302">
        <f t="shared" si="38"/>
        <v>0</v>
      </c>
      <c r="AE188" s="302">
        <f t="shared" si="38"/>
        <v>0</v>
      </c>
      <c r="AF188" s="302">
        <f t="shared" si="38"/>
        <v>0</v>
      </c>
      <c r="AG188" s="302">
        <f t="shared" si="38"/>
        <v>0</v>
      </c>
      <c r="AH188" s="302">
        <f t="shared" si="38"/>
        <v>0</v>
      </c>
      <c r="AI188" s="302">
        <f t="shared" si="38"/>
        <v>0</v>
      </c>
      <c r="AJ188" s="302">
        <f t="shared" si="38"/>
        <v>0</v>
      </c>
    </row>
    <row r="189" spans="9:36" x14ac:dyDescent="0.25">
      <c r="I189">
        <f t="shared" ref="I189:L189" si="61">I28</f>
        <v>0</v>
      </c>
      <c r="J189">
        <f t="shared" si="61"/>
        <v>0</v>
      </c>
      <c r="K189">
        <f t="shared" si="61"/>
        <v>0</v>
      </c>
      <c r="L189">
        <f t="shared" si="61"/>
        <v>0</v>
      </c>
      <c r="M189">
        <f t="shared" si="36"/>
        <v>0</v>
      </c>
      <c r="N189">
        <v>23</v>
      </c>
      <c r="P189">
        <f t="shared" si="58"/>
        <v>0</v>
      </c>
      <c r="Q189">
        <f t="shared" si="58"/>
        <v>1</v>
      </c>
      <c r="R189" s="302">
        <f t="shared" si="37"/>
        <v>0</v>
      </c>
      <c r="S189" s="302">
        <f t="shared" si="37"/>
        <v>0</v>
      </c>
      <c r="T189" s="302">
        <f t="shared" si="37"/>
        <v>0</v>
      </c>
      <c r="U189" s="302">
        <f t="shared" ref="S189:AA204" si="62">U28*$P28*907.185/365</f>
        <v>0</v>
      </c>
      <c r="V189" s="302">
        <f t="shared" si="62"/>
        <v>0</v>
      </c>
      <c r="W189" s="302">
        <f t="shared" si="62"/>
        <v>0</v>
      </c>
      <c r="X189" s="302">
        <f t="shared" si="62"/>
        <v>0</v>
      </c>
      <c r="Y189" s="302">
        <f t="shared" si="62"/>
        <v>0</v>
      </c>
      <c r="Z189" s="302">
        <f t="shared" si="62"/>
        <v>0</v>
      </c>
      <c r="AA189" s="302">
        <f t="shared" si="62"/>
        <v>0</v>
      </c>
      <c r="AB189" s="302">
        <f t="shared" si="38"/>
        <v>0</v>
      </c>
      <c r="AC189" s="302">
        <f t="shared" si="38"/>
        <v>0</v>
      </c>
      <c r="AD189" s="302">
        <f t="shared" si="38"/>
        <v>0</v>
      </c>
      <c r="AE189" s="302">
        <f t="shared" si="38"/>
        <v>0</v>
      </c>
      <c r="AF189" s="302">
        <f t="shared" si="38"/>
        <v>0</v>
      </c>
      <c r="AG189" s="302">
        <f t="shared" si="38"/>
        <v>0</v>
      </c>
      <c r="AH189" s="302">
        <f t="shared" si="38"/>
        <v>0</v>
      </c>
      <c r="AI189" s="302">
        <f t="shared" si="38"/>
        <v>0</v>
      </c>
      <c r="AJ189" s="302">
        <f t="shared" si="38"/>
        <v>0</v>
      </c>
    </row>
    <row r="190" spans="9:36" x14ac:dyDescent="0.25">
      <c r="I190">
        <f t="shared" ref="I190:L190" si="63">I29</f>
        <v>125000</v>
      </c>
      <c r="J190">
        <f t="shared" si="63"/>
        <v>0</v>
      </c>
      <c r="K190">
        <f t="shared" si="63"/>
        <v>0</v>
      </c>
      <c r="L190">
        <f t="shared" si="63"/>
        <v>0</v>
      </c>
      <c r="M190">
        <f t="shared" si="36"/>
        <v>1</v>
      </c>
      <c r="N190">
        <v>24</v>
      </c>
      <c r="P190">
        <f t="shared" si="58"/>
        <v>7.815632801997311E-6</v>
      </c>
      <c r="Q190">
        <f t="shared" si="58"/>
        <v>1</v>
      </c>
      <c r="R190" s="302">
        <f t="shared" si="37"/>
        <v>1.8899042883479614E-2</v>
      </c>
      <c r="S190" s="302">
        <f t="shared" si="62"/>
        <v>2.5441280760289495E-2</v>
      </c>
      <c r="T190" s="302">
        <f t="shared" si="62"/>
        <v>3.2837647914819405E-2</v>
      </c>
      <c r="U190" s="302">
        <f t="shared" si="62"/>
        <v>1.8894963576035421E-2</v>
      </c>
      <c r="V190" s="302">
        <f t="shared" si="62"/>
        <v>2.3842580747636347E-3</v>
      </c>
      <c r="W190" s="302">
        <f t="shared" si="62"/>
        <v>7.2848660843886116E-3</v>
      </c>
      <c r="X190" s="302">
        <f t="shared" si="62"/>
        <v>4.739766744682474E-4</v>
      </c>
      <c r="Y190" s="302">
        <f t="shared" si="62"/>
        <v>3.8850547087561263E-8</v>
      </c>
      <c r="Z190" s="302">
        <f t="shared" si="62"/>
        <v>3.3003539750883293E-4</v>
      </c>
      <c r="AA190" s="302">
        <f t="shared" si="62"/>
        <v>3.7510203213040401E-4</v>
      </c>
      <c r="AB190" s="302">
        <f t="shared" si="38"/>
        <v>2.1367683128349349E-7</v>
      </c>
      <c r="AC190" s="302">
        <f t="shared" si="38"/>
        <v>4.8562916200793974E-8</v>
      </c>
      <c r="AD190" s="302">
        <f t="shared" si="38"/>
        <v>6.2937539396229002E-8</v>
      </c>
      <c r="AE190" s="302">
        <f t="shared" si="38"/>
        <v>2.6806729742838272E-6</v>
      </c>
      <c r="AF190" s="302">
        <f t="shared" si="38"/>
        <v>2.1422073594494238E-4</v>
      </c>
      <c r="AG190" s="302">
        <f t="shared" si="38"/>
        <v>3.3492872045363589E-4</v>
      </c>
      <c r="AH190" s="302">
        <f t="shared" si="38"/>
        <v>7.770066592127036E-8</v>
      </c>
      <c r="AI190" s="302">
        <f t="shared" si="38"/>
        <v>5.8275499440952768E-7</v>
      </c>
      <c r="AJ190" s="302">
        <f t="shared" si="38"/>
        <v>2.3892954770790635E-6</v>
      </c>
    </row>
    <row r="191" spans="9:36" x14ac:dyDescent="0.25">
      <c r="I191">
        <f t="shared" ref="I191:L191" si="64">I30</f>
        <v>0</v>
      </c>
      <c r="J191">
        <f t="shared" si="64"/>
        <v>0</v>
      </c>
      <c r="K191">
        <f t="shared" si="64"/>
        <v>0</v>
      </c>
      <c r="L191">
        <f t="shared" si="64"/>
        <v>0</v>
      </c>
      <c r="M191">
        <f t="shared" si="36"/>
        <v>0</v>
      </c>
      <c r="N191">
        <v>25</v>
      </c>
      <c r="P191">
        <f t="shared" ref="P191:Q204" si="65">P30</f>
        <v>0</v>
      </c>
      <c r="Q191">
        <f t="shared" si="65"/>
        <v>1</v>
      </c>
      <c r="R191" s="302">
        <f t="shared" si="37"/>
        <v>0</v>
      </c>
      <c r="S191" s="302">
        <f t="shared" si="62"/>
        <v>0</v>
      </c>
      <c r="T191" s="302">
        <f t="shared" si="62"/>
        <v>0</v>
      </c>
      <c r="U191" s="302">
        <f t="shared" si="62"/>
        <v>0</v>
      </c>
      <c r="V191" s="302">
        <f t="shared" si="62"/>
        <v>0</v>
      </c>
      <c r="W191" s="302">
        <f t="shared" si="62"/>
        <v>0</v>
      </c>
      <c r="X191" s="302">
        <f t="shared" si="62"/>
        <v>0</v>
      </c>
      <c r="Y191" s="302">
        <f t="shared" si="62"/>
        <v>0</v>
      </c>
      <c r="Z191" s="302">
        <f t="shared" si="62"/>
        <v>0</v>
      </c>
      <c r="AA191" s="302">
        <f t="shared" si="62"/>
        <v>0</v>
      </c>
      <c r="AB191" s="302">
        <f t="shared" si="38"/>
        <v>0</v>
      </c>
      <c r="AC191" s="302">
        <f t="shared" si="38"/>
        <v>0</v>
      </c>
      <c r="AD191" s="302">
        <f t="shared" si="38"/>
        <v>0</v>
      </c>
      <c r="AE191" s="302">
        <f t="shared" si="38"/>
        <v>0</v>
      </c>
      <c r="AF191" s="302">
        <f t="shared" si="38"/>
        <v>0</v>
      </c>
      <c r="AG191" s="302">
        <f t="shared" si="38"/>
        <v>0</v>
      </c>
      <c r="AH191" s="302">
        <f t="shared" si="38"/>
        <v>0</v>
      </c>
      <c r="AI191" s="302">
        <f t="shared" si="38"/>
        <v>0</v>
      </c>
      <c r="AJ191" s="302">
        <f t="shared" ref="AC191:AJ206" si="66">AJ30*$P30*0.45359/365</f>
        <v>0</v>
      </c>
    </row>
    <row r="192" spans="9:36" x14ac:dyDescent="0.25">
      <c r="I192">
        <f t="shared" ref="I192:L192" si="67">I31</f>
        <v>0</v>
      </c>
      <c r="J192">
        <f t="shared" si="67"/>
        <v>0</v>
      </c>
      <c r="K192">
        <f t="shared" si="67"/>
        <v>0</v>
      </c>
      <c r="L192">
        <f t="shared" si="67"/>
        <v>0</v>
      </c>
      <c r="M192">
        <f t="shared" si="36"/>
        <v>0</v>
      </c>
      <c r="N192">
        <v>26</v>
      </c>
      <c r="P192">
        <f t="shared" si="65"/>
        <v>0</v>
      </c>
      <c r="Q192">
        <f t="shared" si="65"/>
        <v>1</v>
      </c>
      <c r="R192" s="302">
        <f t="shared" si="37"/>
        <v>0</v>
      </c>
      <c r="S192" s="302">
        <f t="shared" si="62"/>
        <v>0</v>
      </c>
      <c r="T192" s="302">
        <f t="shared" si="62"/>
        <v>0</v>
      </c>
      <c r="U192" s="302">
        <f t="shared" si="62"/>
        <v>0</v>
      </c>
      <c r="V192" s="302">
        <f t="shared" si="62"/>
        <v>0</v>
      </c>
      <c r="W192" s="302">
        <f t="shared" si="62"/>
        <v>0</v>
      </c>
      <c r="X192" s="302">
        <f t="shared" si="62"/>
        <v>0</v>
      </c>
      <c r="Y192" s="302">
        <f t="shared" si="62"/>
        <v>0</v>
      </c>
      <c r="Z192" s="302">
        <f t="shared" si="62"/>
        <v>0</v>
      </c>
      <c r="AA192" s="302">
        <f t="shared" si="62"/>
        <v>0</v>
      </c>
      <c r="AB192" s="302">
        <f t="shared" si="38"/>
        <v>0</v>
      </c>
      <c r="AC192" s="302">
        <f t="shared" si="66"/>
        <v>0</v>
      </c>
      <c r="AD192" s="302">
        <f t="shared" si="66"/>
        <v>0</v>
      </c>
      <c r="AE192" s="302">
        <f t="shared" si="66"/>
        <v>0</v>
      </c>
      <c r="AF192" s="302">
        <f t="shared" si="66"/>
        <v>0</v>
      </c>
      <c r="AG192" s="302">
        <f t="shared" si="66"/>
        <v>0</v>
      </c>
      <c r="AH192" s="302">
        <f t="shared" si="66"/>
        <v>0</v>
      </c>
      <c r="AI192" s="302">
        <f t="shared" si="66"/>
        <v>0</v>
      </c>
      <c r="AJ192" s="302">
        <f t="shared" si="66"/>
        <v>0</v>
      </c>
    </row>
    <row r="193" spans="9:36" x14ac:dyDescent="0.25">
      <c r="I193">
        <f t="shared" ref="I193:L193" si="68">I32</f>
        <v>0</v>
      </c>
      <c r="J193">
        <f t="shared" si="68"/>
        <v>0</v>
      </c>
      <c r="K193">
        <f t="shared" si="68"/>
        <v>0</v>
      </c>
      <c r="L193">
        <f t="shared" si="68"/>
        <v>0</v>
      </c>
      <c r="M193">
        <f t="shared" si="36"/>
        <v>0</v>
      </c>
      <c r="N193">
        <v>27</v>
      </c>
      <c r="P193">
        <f t="shared" si="65"/>
        <v>0</v>
      </c>
      <c r="Q193">
        <f t="shared" si="65"/>
        <v>1</v>
      </c>
      <c r="R193" s="302">
        <f t="shared" si="37"/>
        <v>0</v>
      </c>
      <c r="S193" s="302">
        <f t="shared" si="62"/>
        <v>0</v>
      </c>
      <c r="T193" s="302">
        <f t="shared" si="62"/>
        <v>0</v>
      </c>
      <c r="U193" s="302">
        <f t="shared" si="62"/>
        <v>0</v>
      </c>
      <c r="V193" s="302">
        <f t="shared" si="62"/>
        <v>0</v>
      </c>
      <c r="W193" s="302">
        <f t="shared" si="62"/>
        <v>0</v>
      </c>
      <c r="X193" s="302">
        <f t="shared" si="62"/>
        <v>0</v>
      </c>
      <c r="Y193" s="302">
        <f t="shared" si="62"/>
        <v>0</v>
      </c>
      <c r="Z193" s="302">
        <f t="shared" si="62"/>
        <v>0</v>
      </c>
      <c r="AA193" s="302">
        <f t="shared" si="62"/>
        <v>0</v>
      </c>
      <c r="AB193" s="302">
        <f t="shared" si="38"/>
        <v>0</v>
      </c>
      <c r="AC193" s="302">
        <f t="shared" si="66"/>
        <v>0</v>
      </c>
      <c r="AD193" s="302">
        <f t="shared" si="66"/>
        <v>0</v>
      </c>
      <c r="AE193" s="302">
        <f t="shared" si="66"/>
        <v>0</v>
      </c>
      <c r="AF193" s="302">
        <f t="shared" si="66"/>
        <v>0</v>
      </c>
      <c r="AG193" s="302">
        <f t="shared" si="66"/>
        <v>0</v>
      </c>
      <c r="AH193" s="302">
        <f t="shared" si="66"/>
        <v>0</v>
      </c>
      <c r="AI193" s="302">
        <f t="shared" si="66"/>
        <v>0</v>
      </c>
      <c r="AJ193" s="302">
        <f t="shared" si="66"/>
        <v>0</v>
      </c>
    </row>
    <row r="194" spans="9:36" x14ac:dyDescent="0.25">
      <c r="I194">
        <f t="shared" ref="I194:L194" si="69">I33</f>
        <v>0</v>
      </c>
      <c r="J194">
        <f t="shared" si="69"/>
        <v>0</v>
      </c>
      <c r="K194">
        <f t="shared" si="69"/>
        <v>0</v>
      </c>
      <c r="L194">
        <f t="shared" si="69"/>
        <v>0</v>
      </c>
      <c r="M194">
        <f t="shared" si="36"/>
        <v>0</v>
      </c>
      <c r="N194">
        <v>28</v>
      </c>
      <c r="P194">
        <f t="shared" si="65"/>
        <v>0</v>
      </c>
      <c r="Q194">
        <f t="shared" si="65"/>
        <v>1</v>
      </c>
      <c r="R194" s="302">
        <f t="shared" si="37"/>
        <v>0</v>
      </c>
      <c r="S194" s="302">
        <f t="shared" si="62"/>
        <v>0</v>
      </c>
      <c r="T194" s="302">
        <f t="shared" si="62"/>
        <v>0</v>
      </c>
      <c r="U194" s="302">
        <f t="shared" si="62"/>
        <v>0</v>
      </c>
      <c r="V194" s="302">
        <f t="shared" si="62"/>
        <v>0</v>
      </c>
      <c r="W194" s="302">
        <f t="shared" si="62"/>
        <v>0</v>
      </c>
      <c r="X194" s="302">
        <f t="shared" si="62"/>
        <v>0</v>
      </c>
      <c r="Y194" s="302">
        <f t="shared" si="62"/>
        <v>0</v>
      </c>
      <c r="Z194" s="302">
        <f t="shared" si="62"/>
        <v>0</v>
      </c>
      <c r="AA194" s="302">
        <f t="shared" si="62"/>
        <v>0</v>
      </c>
      <c r="AB194" s="302">
        <f t="shared" si="38"/>
        <v>0</v>
      </c>
      <c r="AC194" s="302">
        <f t="shared" si="66"/>
        <v>0</v>
      </c>
      <c r="AD194" s="302">
        <f t="shared" si="66"/>
        <v>0</v>
      </c>
      <c r="AE194" s="302">
        <f t="shared" si="66"/>
        <v>0</v>
      </c>
      <c r="AF194" s="302">
        <f t="shared" si="66"/>
        <v>0</v>
      </c>
      <c r="AG194" s="302">
        <f t="shared" si="66"/>
        <v>0</v>
      </c>
      <c r="AH194" s="302">
        <f t="shared" si="66"/>
        <v>0</v>
      </c>
      <c r="AI194" s="302">
        <f t="shared" si="66"/>
        <v>0</v>
      </c>
      <c r="AJ194" s="302">
        <f t="shared" si="66"/>
        <v>0</v>
      </c>
    </row>
    <row r="195" spans="9:36" x14ac:dyDescent="0.25">
      <c r="I195">
        <f t="shared" ref="I195:L195" si="70">I34</f>
        <v>215175</v>
      </c>
      <c r="J195">
        <f t="shared" si="70"/>
        <v>5225</v>
      </c>
      <c r="K195">
        <f t="shared" si="70"/>
        <v>0</v>
      </c>
      <c r="L195">
        <f t="shared" si="70"/>
        <v>135900</v>
      </c>
      <c r="M195">
        <f t="shared" si="36"/>
        <v>3</v>
      </c>
      <c r="N195">
        <v>29</v>
      </c>
      <c r="P195">
        <f t="shared" si="65"/>
        <v>3.5159113866727742E-6</v>
      </c>
      <c r="Q195">
        <f t="shared" si="65"/>
        <v>1.1552224933193911</v>
      </c>
      <c r="R195" s="302">
        <f t="shared" si="37"/>
        <v>2.5245760559013266E-4</v>
      </c>
      <c r="S195" s="302">
        <f t="shared" si="62"/>
        <v>1.351683711757761E-3</v>
      </c>
      <c r="T195" s="302">
        <f t="shared" si="62"/>
        <v>4.9897297608849335E-5</v>
      </c>
      <c r="U195" s="302">
        <f t="shared" si="62"/>
        <v>1.3208365207666509E-3</v>
      </c>
      <c r="V195" s="302">
        <f t="shared" si="62"/>
        <v>7.0345577189358528E-5</v>
      </c>
      <c r="W195" s="302">
        <f t="shared" si="62"/>
        <v>7.0345577189358528E-5</v>
      </c>
      <c r="X195" s="302">
        <f t="shared" si="62"/>
        <v>0</v>
      </c>
      <c r="Y195" s="302">
        <f t="shared" si="62"/>
        <v>3.7575898374439963E-10</v>
      </c>
      <c r="Z195" s="302">
        <f t="shared" si="62"/>
        <v>1.2146627614063149E-5</v>
      </c>
      <c r="AA195" s="302">
        <f t="shared" si="62"/>
        <v>2.0797822821201647E-5</v>
      </c>
      <c r="AB195" s="302">
        <f t="shared" si="38"/>
        <v>8.3016062114348403E-14</v>
      </c>
      <c r="AC195" s="302">
        <f t="shared" si="66"/>
        <v>4.2076035692693437E-11</v>
      </c>
      <c r="AD195" s="302">
        <f t="shared" si="66"/>
        <v>1.5030276509124133E-10</v>
      </c>
      <c r="AE195" s="302">
        <f t="shared" si="66"/>
        <v>0</v>
      </c>
      <c r="AF195" s="302">
        <f t="shared" si="66"/>
        <v>5.1251495189542477E-8</v>
      </c>
      <c r="AG195" s="302">
        <f t="shared" si="66"/>
        <v>8.4020993392574724E-6</v>
      </c>
      <c r="AH195" s="302">
        <f t="shared" si="66"/>
        <v>0</v>
      </c>
      <c r="AI195" s="302">
        <f t="shared" si="66"/>
        <v>0</v>
      </c>
      <c r="AJ195" s="302">
        <f t="shared" si="66"/>
        <v>0</v>
      </c>
    </row>
    <row r="196" spans="9:36" x14ac:dyDescent="0.25">
      <c r="I196">
        <f t="shared" ref="I196:L196" si="71">I35</f>
        <v>55000</v>
      </c>
      <c r="J196">
        <f t="shared" si="71"/>
        <v>28000</v>
      </c>
      <c r="K196">
        <f t="shared" si="71"/>
        <v>0</v>
      </c>
      <c r="L196">
        <f t="shared" si="71"/>
        <v>0</v>
      </c>
      <c r="M196">
        <f t="shared" si="36"/>
        <v>2</v>
      </c>
      <c r="N196">
        <v>30</v>
      </c>
      <c r="P196">
        <f t="shared" si="65"/>
        <v>1.7871212874194684E-5</v>
      </c>
      <c r="Q196">
        <f t="shared" si="65"/>
        <v>2.0181818181818181</v>
      </c>
      <c r="R196" s="302">
        <f t="shared" si="37"/>
        <v>1.6745509826660731E-4</v>
      </c>
      <c r="S196" s="302">
        <f t="shared" si="62"/>
        <v>7.2578681848179403E-4</v>
      </c>
      <c r="T196" s="302">
        <f t="shared" si="62"/>
        <v>2.6650678769221318E-6</v>
      </c>
      <c r="U196" s="302">
        <f t="shared" si="62"/>
        <v>1.5679482675891876E-4</v>
      </c>
      <c r="V196" s="302">
        <f t="shared" si="62"/>
        <v>4.2507832636908002E-6</v>
      </c>
      <c r="W196" s="302">
        <f t="shared" si="62"/>
        <v>1.5546229282045769E-5</v>
      </c>
      <c r="X196" s="302">
        <f t="shared" si="62"/>
        <v>3.9976018153831976E-11</v>
      </c>
      <c r="Y196" s="302">
        <f t="shared" si="62"/>
        <v>0</v>
      </c>
      <c r="Z196" s="302">
        <f t="shared" si="62"/>
        <v>2.4163282084093997E-8</v>
      </c>
      <c r="AA196" s="302">
        <f t="shared" si="62"/>
        <v>8.839141791791738E-8</v>
      </c>
      <c r="AB196" s="302">
        <f t="shared" si="38"/>
        <v>1.0615795199878499E-10</v>
      </c>
      <c r="AC196" s="302">
        <f t="shared" si="66"/>
        <v>0</v>
      </c>
      <c r="AD196" s="302">
        <f t="shared" si="66"/>
        <v>0</v>
      </c>
      <c r="AE196" s="302">
        <f t="shared" si="66"/>
        <v>0</v>
      </c>
      <c r="AF196" s="302">
        <f t="shared" si="66"/>
        <v>0</v>
      </c>
      <c r="AG196" s="302">
        <f t="shared" si="66"/>
        <v>7.3066874911297624E-6</v>
      </c>
      <c r="AH196" s="302">
        <f t="shared" si="66"/>
        <v>0</v>
      </c>
      <c r="AI196" s="302">
        <f t="shared" si="66"/>
        <v>0</v>
      </c>
      <c r="AJ196" s="302">
        <f t="shared" si="66"/>
        <v>0</v>
      </c>
    </row>
    <row r="197" spans="9:36" x14ac:dyDescent="0.25">
      <c r="I197">
        <f t="shared" ref="I197:L197" si="72">I36</f>
        <v>9500</v>
      </c>
      <c r="J197">
        <f t="shared" si="72"/>
        <v>0</v>
      </c>
      <c r="K197">
        <f t="shared" si="72"/>
        <v>0</v>
      </c>
      <c r="L197">
        <f t="shared" si="72"/>
        <v>0</v>
      </c>
      <c r="M197">
        <f t="shared" si="36"/>
        <v>1</v>
      </c>
      <c r="N197">
        <v>31</v>
      </c>
      <c r="P197">
        <f t="shared" si="65"/>
        <v>1.0346491664007448E-4</v>
      </c>
      <c r="Q197">
        <f t="shared" si="65"/>
        <v>2.0531578947368416</v>
      </c>
      <c r="R197" s="302">
        <f t="shared" si="37"/>
        <v>1.7687167143173217E-2</v>
      </c>
      <c r="S197" s="302">
        <f t="shared" si="62"/>
        <v>4.9391889985305019E-2</v>
      </c>
      <c r="T197" s="302">
        <f t="shared" si="62"/>
        <v>1.8232337168522549E-3</v>
      </c>
      <c r="U197" s="302">
        <f t="shared" si="62"/>
        <v>1.7054564189230115E-2</v>
      </c>
      <c r="V197" s="302">
        <f t="shared" si="62"/>
        <v>6.639759459679157E-3</v>
      </c>
      <c r="W197" s="302">
        <f t="shared" si="62"/>
        <v>7.5963785607638373E-3</v>
      </c>
      <c r="X197" s="302">
        <f t="shared" si="62"/>
        <v>0</v>
      </c>
      <c r="Y197" s="302">
        <f t="shared" si="62"/>
        <v>4.0630596228865481E-7</v>
      </c>
      <c r="Z197" s="302">
        <f t="shared" si="62"/>
        <v>1.6149376222612357E-3</v>
      </c>
      <c r="AA197" s="302">
        <f t="shared" si="62"/>
        <v>1.1263418448255117E-3</v>
      </c>
      <c r="AB197" s="302">
        <f t="shared" si="38"/>
        <v>7.4960465334530723E-13</v>
      </c>
      <c r="AC197" s="302">
        <f t="shared" si="66"/>
        <v>4.5001994626219134E-8</v>
      </c>
      <c r="AD197" s="302">
        <f t="shared" si="66"/>
        <v>1.620071806543889E-7</v>
      </c>
      <c r="AE197" s="302">
        <f t="shared" si="66"/>
        <v>0</v>
      </c>
      <c r="AF197" s="302">
        <f t="shared" si="66"/>
        <v>1.331416155298569E-5</v>
      </c>
      <c r="AG197" s="302">
        <f t="shared" si="66"/>
        <v>1.4272061152886641E-4</v>
      </c>
      <c r="AH197" s="302">
        <f t="shared" si="66"/>
        <v>0</v>
      </c>
      <c r="AI197" s="302">
        <f t="shared" si="66"/>
        <v>0</v>
      </c>
      <c r="AJ197" s="302">
        <f t="shared" si="66"/>
        <v>0</v>
      </c>
    </row>
    <row r="198" spans="9:36" x14ac:dyDescent="0.25">
      <c r="I198">
        <f t="shared" ref="I198:L198" si="73">I37</f>
        <v>14500</v>
      </c>
      <c r="J198">
        <f t="shared" si="73"/>
        <v>0</v>
      </c>
      <c r="K198">
        <f t="shared" si="73"/>
        <v>0</v>
      </c>
      <c r="L198">
        <f t="shared" si="73"/>
        <v>0</v>
      </c>
      <c r="M198">
        <f t="shared" si="36"/>
        <v>1</v>
      </c>
      <c r="N198">
        <v>32</v>
      </c>
      <c r="P198">
        <f t="shared" si="65"/>
        <v>8.2299881066426637E-5</v>
      </c>
      <c r="Q198">
        <f t="shared" si="65"/>
        <v>2.2413793103448274</v>
      </c>
      <c r="R198" s="302">
        <f t="shared" si="37"/>
        <v>4.1994378011937132E-3</v>
      </c>
      <c r="S198" s="302">
        <f t="shared" si="62"/>
        <v>3.0611099218150962E-2</v>
      </c>
      <c r="T198" s="302">
        <f t="shared" si="62"/>
        <v>9.8184614932926567E-5</v>
      </c>
      <c r="U198" s="302">
        <f t="shared" si="62"/>
        <v>5.5249301027882223E-3</v>
      </c>
      <c r="V198" s="302">
        <f t="shared" si="62"/>
        <v>1.1025314051843213E-3</v>
      </c>
      <c r="W198" s="302">
        <f t="shared" si="62"/>
        <v>1.1782153791951187E-3</v>
      </c>
      <c r="X198" s="302">
        <f t="shared" si="62"/>
        <v>0</v>
      </c>
      <c r="Y198" s="302">
        <f t="shared" si="62"/>
        <v>0</v>
      </c>
      <c r="Z198" s="302">
        <f t="shared" si="62"/>
        <v>1.0227564055513184E-4</v>
      </c>
      <c r="AA198" s="302">
        <f t="shared" si="62"/>
        <v>2.352339732768032E-4</v>
      </c>
      <c r="AB198" s="302">
        <f t="shared" si="38"/>
        <v>0</v>
      </c>
      <c r="AC198" s="302">
        <f t="shared" si="66"/>
        <v>0</v>
      </c>
      <c r="AD198" s="302">
        <f t="shared" si="66"/>
        <v>0</v>
      </c>
      <c r="AE198" s="302">
        <f t="shared" si="66"/>
        <v>0</v>
      </c>
      <c r="AF198" s="302">
        <f t="shared" si="66"/>
        <v>0</v>
      </c>
      <c r="AG198" s="302">
        <f t="shared" si="66"/>
        <v>2.7624498259161141E-4</v>
      </c>
      <c r="AH198" s="302">
        <f t="shared" si="66"/>
        <v>0</v>
      </c>
      <c r="AI198" s="302">
        <f t="shared" si="66"/>
        <v>0</v>
      </c>
      <c r="AJ198" s="302">
        <f t="shared" si="66"/>
        <v>0</v>
      </c>
    </row>
    <row r="199" spans="9:36" x14ac:dyDescent="0.25">
      <c r="I199">
        <f t="shared" ref="I199:L199" si="74">I38</f>
        <v>25000</v>
      </c>
      <c r="J199">
        <f t="shared" si="74"/>
        <v>0</v>
      </c>
      <c r="K199">
        <f t="shared" si="74"/>
        <v>0</v>
      </c>
      <c r="L199">
        <f t="shared" si="74"/>
        <v>0</v>
      </c>
      <c r="M199">
        <f t="shared" si="36"/>
        <v>1</v>
      </c>
      <c r="N199">
        <v>33</v>
      </c>
      <c r="P199">
        <f t="shared" si="65"/>
        <v>3.8274868560806543E-5</v>
      </c>
      <c r="Q199">
        <f t="shared" si="65"/>
        <v>2.6399999999999997</v>
      </c>
      <c r="R199" s="302">
        <f t="shared" si="37"/>
        <v>5.8904388505752348E-3</v>
      </c>
      <c r="S199" s="302">
        <f t="shared" si="62"/>
        <v>9.8212032773479837E-3</v>
      </c>
      <c r="T199" s="302">
        <f t="shared" si="62"/>
        <v>5.1179846602220221E-4</v>
      </c>
      <c r="U199" s="302">
        <f t="shared" si="62"/>
        <v>1.9330380724109945E-3</v>
      </c>
      <c r="V199" s="302">
        <f t="shared" si="62"/>
        <v>8.4094766535990106E-4</v>
      </c>
      <c r="W199" s="302">
        <f t="shared" si="62"/>
        <v>8.4855805147175537E-4</v>
      </c>
      <c r="X199" s="302">
        <f t="shared" si="62"/>
        <v>1.2366877431763251E-5</v>
      </c>
      <c r="Y199" s="302">
        <f t="shared" si="62"/>
        <v>2.9490246183435447E-8</v>
      </c>
      <c r="Z199" s="302">
        <f t="shared" si="62"/>
        <v>2.6826611044286435E-4</v>
      </c>
      <c r="AA199" s="302">
        <f t="shared" si="62"/>
        <v>1.9787003890821202E-4</v>
      </c>
      <c r="AB199" s="302">
        <f t="shared" si="38"/>
        <v>3.4579501307865112E-12</v>
      </c>
      <c r="AC199" s="302">
        <f t="shared" si="66"/>
        <v>3.3057432474506542E-9</v>
      </c>
      <c r="AD199" s="302">
        <f t="shared" si="66"/>
        <v>1.1891162760613862E-8</v>
      </c>
      <c r="AE199" s="302">
        <f t="shared" si="66"/>
        <v>4.7612215693497904E-7</v>
      </c>
      <c r="AF199" s="302">
        <f t="shared" si="66"/>
        <v>9.8420775937048802E-6</v>
      </c>
      <c r="AG199" s="302">
        <f t="shared" si="66"/>
        <v>5.232111614670099E-6</v>
      </c>
      <c r="AH199" s="302">
        <f t="shared" si="66"/>
        <v>7.6103441667928719E-8</v>
      </c>
      <c r="AI199" s="302">
        <f t="shared" si="66"/>
        <v>0</v>
      </c>
      <c r="AJ199" s="302">
        <f t="shared" si="66"/>
        <v>0</v>
      </c>
    </row>
    <row r="200" spans="9:36" x14ac:dyDescent="0.25">
      <c r="I200">
        <f t="shared" ref="I200:L200" si="75">I39</f>
        <v>5500</v>
      </c>
      <c r="J200">
        <f t="shared" si="75"/>
        <v>0</v>
      </c>
      <c r="K200">
        <f t="shared" si="75"/>
        <v>0</v>
      </c>
      <c r="L200">
        <f t="shared" si="75"/>
        <v>0</v>
      </c>
      <c r="M200">
        <f t="shared" si="36"/>
        <v>1</v>
      </c>
      <c r="N200">
        <v>34</v>
      </c>
      <c r="P200">
        <f t="shared" si="65"/>
        <v>1.7722048066875652E-4</v>
      </c>
      <c r="Q200">
        <f t="shared" si="65"/>
        <v>3.0909090909090908</v>
      </c>
      <c r="R200" s="302">
        <f t="shared" si="37"/>
        <v>3.55019287602525E-5</v>
      </c>
      <c r="S200" s="302">
        <f t="shared" si="62"/>
        <v>2.4402070140421689E-6</v>
      </c>
      <c r="T200" s="302">
        <f t="shared" si="62"/>
        <v>2.664847009919697E-7</v>
      </c>
      <c r="U200" s="302">
        <f t="shared" si="62"/>
        <v>4.4047058015201611E-5</v>
      </c>
      <c r="V200" s="302">
        <f t="shared" si="62"/>
        <v>8.7653645450251209E-6</v>
      </c>
      <c r="W200" s="302">
        <f t="shared" si="62"/>
        <v>8.7653645450251209E-6</v>
      </c>
      <c r="X200" s="302">
        <f t="shared" si="62"/>
        <v>0</v>
      </c>
      <c r="Y200" s="302">
        <f t="shared" si="62"/>
        <v>2.2023529007600801E-10</v>
      </c>
      <c r="Z200" s="302">
        <f t="shared" si="62"/>
        <v>3.3695999381629229E-6</v>
      </c>
      <c r="AA200" s="302">
        <f t="shared" si="62"/>
        <v>2.1671152543479192E-6</v>
      </c>
      <c r="AB200" s="302">
        <f t="shared" si="38"/>
        <v>0</v>
      </c>
      <c r="AC200" s="302">
        <f t="shared" si="66"/>
        <v>0</v>
      </c>
      <c r="AD200" s="302">
        <f t="shared" si="66"/>
        <v>0</v>
      </c>
      <c r="AE200" s="302">
        <f t="shared" si="66"/>
        <v>0</v>
      </c>
      <c r="AF200" s="302">
        <f t="shared" si="66"/>
        <v>3.3035111435564905E-8</v>
      </c>
      <c r="AG200" s="302">
        <f t="shared" si="66"/>
        <v>0</v>
      </c>
      <c r="AH200" s="302">
        <f t="shared" si="66"/>
        <v>0</v>
      </c>
      <c r="AI200" s="302">
        <f t="shared" si="66"/>
        <v>0</v>
      </c>
      <c r="AJ200" s="302">
        <f t="shared" si="66"/>
        <v>0</v>
      </c>
    </row>
    <row r="201" spans="9:36" x14ac:dyDescent="0.25">
      <c r="I201">
        <f t="shared" ref="I201:L201" si="76">I40</f>
        <v>66000</v>
      </c>
      <c r="J201">
        <f t="shared" si="76"/>
        <v>6500</v>
      </c>
      <c r="K201">
        <f t="shared" si="76"/>
        <v>0</v>
      </c>
      <c r="L201">
        <f t="shared" si="76"/>
        <v>0</v>
      </c>
      <c r="M201">
        <f t="shared" si="36"/>
        <v>2</v>
      </c>
      <c r="N201">
        <v>35</v>
      </c>
      <c r="P201">
        <f t="shared" si="65"/>
        <v>1.4823125900789958E-5</v>
      </c>
      <c r="Q201">
        <f t="shared" si="65"/>
        <v>3.0928030303030303</v>
      </c>
      <c r="R201" s="302">
        <f t="shared" si="37"/>
        <v>1.0110172219731395E-2</v>
      </c>
      <c r="S201" s="302">
        <f t="shared" si="62"/>
        <v>2.9467309403497424E-2</v>
      </c>
      <c r="T201" s="302">
        <f t="shared" si="62"/>
        <v>2.0966025824665634E-2</v>
      </c>
      <c r="U201" s="302">
        <f t="shared" si="62"/>
        <v>9.7012264007713383E-3</v>
      </c>
      <c r="V201" s="302">
        <f t="shared" si="62"/>
        <v>1.0779222316336315E-2</v>
      </c>
      <c r="W201" s="302">
        <f t="shared" si="62"/>
        <v>1.2790056802718282E-2</v>
      </c>
      <c r="X201" s="302">
        <f t="shared" si="62"/>
        <v>8.6578619329381152E-5</v>
      </c>
      <c r="Y201" s="302">
        <f t="shared" si="62"/>
        <v>7.7368127911361895E-7</v>
      </c>
      <c r="Z201" s="302">
        <f t="shared" si="62"/>
        <v>1.5713098359140878E-3</v>
      </c>
      <c r="AA201" s="302">
        <f t="shared" si="62"/>
        <v>2.9690940135126929E-3</v>
      </c>
      <c r="AB201" s="302">
        <f t="shared" si="38"/>
        <v>9.0446527221194641E-8</v>
      </c>
      <c r="AC201" s="302">
        <f t="shared" si="66"/>
        <v>0</v>
      </c>
      <c r="AD201" s="302">
        <f t="shared" si="66"/>
        <v>0</v>
      </c>
      <c r="AE201" s="302">
        <f t="shared" si="66"/>
        <v>1.123673759774516E-7</v>
      </c>
      <c r="AF201" s="302">
        <f t="shared" si="66"/>
        <v>2.2105057569334743E-6</v>
      </c>
      <c r="AG201" s="302">
        <f t="shared" si="66"/>
        <v>3.3807843464166706E-5</v>
      </c>
      <c r="AH201" s="302">
        <f t="shared" si="66"/>
        <v>1.8052463681623371E-8</v>
      </c>
      <c r="AI201" s="302">
        <f t="shared" si="66"/>
        <v>2.2105057569334743E-7</v>
      </c>
      <c r="AJ201" s="302">
        <f t="shared" si="66"/>
        <v>0</v>
      </c>
    </row>
    <row r="202" spans="9:36" x14ac:dyDescent="0.25">
      <c r="I202">
        <f t="shared" ref="I202:L202" si="77">I41</f>
        <v>93700</v>
      </c>
      <c r="J202">
        <f t="shared" si="77"/>
        <v>39500</v>
      </c>
      <c r="K202">
        <f t="shared" si="77"/>
        <v>0</v>
      </c>
      <c r="L202">
        <f t="shared" si="77"/>
        <v>17600</v>
      </c>
      <c r="M202">
        <f t="shared" si="36"/>
        <v>3</v>
      </c>
      <c r="N202">
        <v>36</v>
      </c>
      <c r="P202">
        <f t="shared" si="65"/>
        <v>1.0672358591248667E-5</v>
      </c>
      <c r="Q202">
        <f t="shared" si="65"/>
        <v>4.2800747065101383</v>
      </c>
      <c r="R202" s="302">
        <f t="shared" si="37"/>
        <v>6.8650619099135972E-3</v>
      </c>
      <c r="S202" s="302">
        <f t="shared" si="62"/>
        <v>1.1642302549670327E-2</v>
      </c>
      <c r="T202" s="302">
        <f t="shared" si="62"/>
        <v>2.2842955700940044E-2</v>
      </c>
      <c r="U202" s="302">
        <f t="shared" si="62"/>
        <v>2.288990581716642E-2</v>
      </c>
      <c r="V202" s="302">
        <f t="shared" si="62"/>
        <v>1.2848947062177453E-3</v>
      </c>
      <c r="W202" s="302">
        <f t="shared" si="62"/>
        <v>1.7193822224821271E-3</v>
      </c>
      <c r="X202" s="302">
        <f t="shared" si="62"/>
        <v>3.893941842955512E-4</v>
      </c>
      <c r="Y202" s="302">
        <f t="shared" si="62"/>
        <v>5.9682351135217322E-7</v>
      </c>
      <c r="Z202" s="302">
        <f t="shared" si="62"/>
        <v>2.1034713088989926E-4</v>
      </c>
      <c r="AA202" s="302">
        <f t="shared" si="62"/>
        <v>9.3900232452741929E-5</v>
      </c>
      <c r="AB202" s="302">
        <f t="shared" si="38"/>
        <v>5.7427368020935372E-8</v>
      </c>
      <c r="AC202" s="302">
        <f t="shared" si="66"/>
        <v>0</v>
      </c>
      <c r="AD202" s="302">
        <f t="shared" si="66"/>
        <v>0</v>
      </c>
      <c r="AE202" s="302">
        <f t="shared" si="66"/>
        <v>0</v>
      </c>
      <c r="AF202" s="302">
        <f t="shared" si="66"/>
        <v>2.1220274557389515E-6</v>
      </c>
      <c r="AG202" s="302">
        <f t="shared" si="66"/>
        <v>1.0477510562711071E-5</v>
      </c>
      <c r="AH202" s="302">
        <f t="shared" si="66"/>
        <v>0</v>
      </c>
      <c r="AI202" s="302">
        <f t="shared" si="66"/>
        <v>0</v>
      </c>
      <c r="AJ202" s="302">
        <f t="shared" si="66"/>
        <v>0</v>
      </c>
    </row>
    <row r="203" spans="9:36" x14ac:dyDescent="0.25">
      <c r="I203">
        <f t="shared" ref="I203:L203" si="78">I42</f>
        <v>72000</v>
      </c>
      <c r="J203">
        <f t="shared" si="78"/>
        <v>19000</v>
      </c>
      <c r="K203">
        <f t="shared" si="78"/>
        <v>0</v>
      </c>
      <c r="L203">
        <f t="shared" si="78"/>
        <v>12500</v>
      </c>
      <c r="M203">
        <f t="shared" si="36"/>
        <v>3</v>
      </c>
      <c r="N203">
        <v>37</v>
      </c>
      <c r="P203">
        <f t="shared" si="65"/>
        <v>1.0507447675379363E-5</v>
      </c>
      <c r="Q203">
        <f t="shared" si="65"/>
        <v>4.6043472222222217</v>
      </c>
      <c r="R203" s="302">
        <f t="shared" si="37"/>
        <v>6.930561504732766E-3</v>
      </c>
      <c r="S203" s="302">
        <f t="shared" si="62"/>
        <v>1.6923701002004576E-2</v>
      </c>
      <c r="T203" s="302">
        <f t="shared" si="62"/>
        <v>3.8912264081889458E-4</v>
      </c>
      <c r="U203" s="302">
        <f t="shared" si="62"/>
        <v>8.94198605479124E-3</v>
      </c>
      <c r="V203" s="302">
        <f t="shared" si="62"/>
        <v>6.6020270871823181E-4</v>
      </c>
      <c r="W203" s="302">
        <f t="shared" si="62"/>
        <v>6.6020270871823181E-4</v>
      </c>
      <c r="X203" s="302">
        <f t="shared" si="62"/>
        <v>2.0814143941789192E-4</v>
      </c>
      <c r="Y203" s="302">
        <f t="shared" si="62"/>
        <v>5.223122695555631E-8</v>
      </c>
      <c r="Z203" s="302">
        <f t="shared" si="62"/>
        <v>1.4415818639733542E-4</v>
      </c>
      <c r="AA203" s="302">
        <f t="shared" si="62"/>
        <v>1.8803241704000272E-4</v>
      </c>
      <c r="AB203" s="302">
        <f t="shared" si="38"/>
        <v>2.6115469540138766E-8</v>
      </c>
      <c r="AC203" s="302">
        <f t="shared" si="66"/>
        <v>1.0824862124387519E-10</v>
      </c>
      <c r="AD203" s="302">
        <f t="shared" si="66"/>
        <v>3.8650894919405375E-10</v>
      </c>
      <c r="AE203" s="302">
        <f t="shared" si="66"/>
        <v>2.9849981684378611E-7</v>
      </c>
      <c r="AF203" s="302">
        <f t="shared" si="66"/>
        <v>6.1026629221396266E-6</v>
      </c>
      <c r="AG203" s="302">
        <f t="shared" si="66"/>
        <v>1.4755240290178404E-5</v>
      </c>
      <c r="AH203" s="302">
        <f t="shared" si="66"/>
        <v>4.7791309258453949E-8</v>
      </c>
      <c r="AI203" s="302">
        <f t="shared" si="66"/>
        <v>0</v>
      </c>
      <c r="AJ203" s="302">
        <f t="shared" si="66"/>
        <v>0</v>
      </c>
    </row>
    <row r="204" spans="9:36" x14ac:dyDescent="0.25">
      <c r="I204">
        <f t="shared" ref="I204:L204" si="79">I43</f>
        <v>39000</v>
      </c>
      <c r="J204">
        <f t="shared" si="79"/>
        <v>17700</v>
      </c>
      <c r="K204">
        <f t="shared" si="79"/>
        <v>0</v>
      </c>
      <c r="L204">
        <f t="shared" si="79"/>
        <v>0</v>
      </c>
      <c r="M204">
        <f t="shared" si="36"/>
        <v>2</v>
      </c>
      <c r="N204">
        <v>38</v>
      </c>
      <c r="P204">
        <f t="shared" si="65"/>
        <v>2.564102564102564E-5</v>
      </c>
      <c r="Q204">
        <f t="shared" si="65"/>
        <v>4.9294871794871788</v>
      </c>
      <c r="R204" s="302">
        <f t="shared" si="37"/>
        <v>4.7522855953635399E-3</v>
      </c>
      <c r="S204" s="302">
        <f t="shared" si="62"/>
        <v>7.3091006427818753E-3</v>
      </c>
      <c r="T204" s="302">
        <f t="shared" si="62"/>
        <v>3.1163573234984184E-4</v>
      </c>
      <c r="U204" s="302">
        <f t="shared" si="62"/>
        <v>8.5237789778714428E-3</v>
      </c>
      <c r="V204" s="302">
        <f t="shared" si="62"/>
        <v>1.6321045205479451E-3</v>
      </c>
      <c r="W204" s="302">
        <f t="shared" si="62"/>
        <v>1.6709793256059007E-3</v>
      </c>
      <c r="X204" s="302">
        <f t="shared" si="62"/>
        <v>2.698931138040042E-3</v>
      </c>
      <c r="Y204" s="302">
        <f t="shared" si="62"/>
        <v>3.5051053740779766E-8</v>
      </c>
      <c r="Z204" s="302">
        <f t="shared" si="62"/>
        <v>5.5380664910432021E-4</v>
      </c>
      <c r="AA204" s="302">
        <f t="shared" si="62"/>
        <v>3.6261908324552159E-4</v>
      </c>
      <c r="AB204" s="302">
        <f t="shared" si="38"/>
        <v>2.4758653319283453E-13</v>
      </c>
      <c r="AC204" s="302">
        <f t="shared" si="66"/>
        <v>1.6250853530031612E-8</v>
      </c>
      <c r="AD204" s="302">
        <f t="shared" si="66"/>
        <v>5.8311886195995777E-8</v>
      </c>
      <c r="AE204" s="302">
        <f t="shared" si="66"/>
        <v>0</v>
      </c>
      <c r="AF204" s="302">
        <f t="shared" si="66"/>
        <v>5.4312901650860549E-6</v>
      </c>
      <c r="AG204" s="302">
        <f t="shared" si="66"/>
        <v>9.0399355813136631E-5</v>
      </c>
      <c r="AH204" s="302">
        <f t="shared" si="66"/>
        <v>0</v>
      </c>
      <c r="AI204" s="302">
        <f t="shared" si="66"/>
        <v>0</v>
      </c>
      <c r="AJ204" s="302">
        <f t="shared" si="66"/>
        <v>0</v>
      </c>
    </row>
    <row r="205" spans="9:36" x14ac:dyDescent="0.25">
      <c r="I205">
        <f t="shared" ref="I205:L205" si="80">I44</f>
        <v>0</v>
      </c>
      <c r="J205">
        <f t="shared" si="80"/>
        <v>0</v>
      </c>
      <c r="K205">
        <f t="shared" si="80"/>
        <v>0</v>
      </c>
      <c r="L205">
        <f t="shared" si="80"/>
        <v>0</v>
      </c>
      <c r="M205">
        <f t="shared" si="36"/>
        <v>0</v>
      </c>
      <c r="N205">
        <v>39</v>
      </c>
      <c r="P205">
        <f t="shared" ref="P205:Q224" si="81">P44</f>
        <v>1.0873542204774586E-5</v>
      </c>
      <c r="Q205">
        <f t="shared" si="81"/>
        <v>5.055113636363636</v>
      </c>
      <c r="R205" s="302">
        <f t="shared" si="37"/>
        <v>1.1075057630106162E-3</v>
      </c>
      <c r="S205" s="302">
        <f t="shared" ref="S205:AA220" si="82">S44*$P44*907.185/365</f>
        <v>1.9952940576640748E-3</v>
      </c>
      <c r="T205" s="302">
        <f t="shared" si="82"/>
        <v>3.2619801267784622E-4</v>
      </c>
      <c r="U205" s="302">
        <f t="shared" si="82"/>
        <v>1.8428701312760841E-3</v>
      </c>
      <c r="V205" s="302">
        <f t="shared" si="82"/>
        <v>1.2642537724167067E-3</v>
      </c>
      <c r="W205" s="302">
        <f t="shared" si="82"/>
        <v>1.3423575219311203E-3</v>
      </c>
      <c r="X205" s="302">
        <f t="shared" si="82"/>
        <v>7.1347369798634144E-5</v>
      </c>
      <c r="Y205" s="302">
        <f t="shared" si="82"/>
        <v>0</v>
      </c>
      <c r="Z205" s="302">
        <f t="shared" si="82"/>
        <v>7.296890093042128E-6</v>
      </c>
      <c r="AA205" s="302">
        <f t="shared" si="82"/>
        <v>4.5673126878671098E-5</v>
      </c>
      <c r="AB205" s="302">
        <f t="shared" si="38"/>
        <v>3.7835517874680479E-9</v>
      </c>
      <c r="AC205" s="302">
        <f t="shared" si="66"/>
        <v>1.8917758937340239E-9</v>
      </c>
      <c r="AD205" s="302">
        <f t="shared" si="66"/>
        <v>4.6078255697378709E-10</v>
      </c>
      <c r="AE205" s="302">
        <f t="shared" si="66"/>
        <v>5.3510232422762383E-7</v>
      </c>
      <c r="AF205" s="302">
        <f t="shared" si="66"/>
        <v>6.3416381763451049E-6</v>
      </c>
      <c r="AG205" s="302">
        <f t="shared" si="66"/>
        <v>1.0008845746348507E-6</v>
      </c>
      <c r="AH205" s="302">
        <f t="shared" si="66"/>
        <v>5.8239672157097439E-8</v>
      </c>
      <c r="AI205" s="302">
        <f t="shared" si="66"/>
        <v>6.6212156280690831E-8</v>
      </c>
      <c r="AJ205" s="302">
        <f t="shared" si="66"/>
        <v>0</v>
      </c>
    </row>
    <row r="206" spans="9:36" x14ac:dyDescent="0.25">
      <c r="I206">
        <f t="shared" ref="I206:L206" si="83">I45</f>
        <v>125000</v>
      </c>
      <c r="J206">
        <f t="shared" si="83"/>
        <v>34700</v>
      </c>
      <c r="K206">
        <f t="shared" si="83"/>
        <v>0</v>
      </c>
      <c r="L206">
        <f t="shared" si="83"/>
        <v>0</v>
      </c>
      <c r="M206">
        <f t="shared" si="36"/>
        <v>2</v>
      </c>
      <c r="N206">
        <v>40</v>
      </c>
      <c r="P206">
        <f t="shared" si="81"/>
        <v>7.9007885823769569E-6</v>
      </c>
      <c r="Q206">
        <f t="shared" si="81"/>
        <v>5.3816000000000006</v>
      </c>
      <c r="R206" s="302">
        <f t="shared" si="37"/>
        <v>4.1720606577299157E-3</v>
      </c>
      <c r="S206" s="302">
        <f t="shared" si="82"/>
        <v>1.1743272684437749E-2</v>
      </c>
      <c r="T206" s="302">
        <f t="shared" si="82"/>
        <v>1.3290269477320941E-3</v>
      </c>
      <c r="U206" s="302">
        <f t="shared" si="82"/>
        <v>1.2328845727897723E-2</v>
      </c>
      <c r="V206" s="302">
        <f t="shared" si="82"/>
        <v>3.0342973398871627E-3</v>
      </c>
      <c r="W206" s="302">
        <f t="shared" si="82"/>
        <v>3.0688583243435527E-3</v>
      </c>
      <c r="X206" s="302">
        <f t="shared" si="82"/>
        <v>0</v>
      </c>
      <c r="Y206" s="302">
        <f t="shared" si="82"/>
        <v>9.2293538036950989E-8</v>
      </c>
      <c r="Z206" s="302">
        <f t="shared" si="82"/>
        <v>2.2052264513935311E-4</v>
      </c>
      <c r="AA206" s="302">
        <f t="shared" si="82"/>
        <v>3.8468732130720625E-4</v>
      </c>
      <c r="AB206" s="302">
        <f t="shared" si="38"/>
        <v>2.9455222134907096E-8</v>
      </c>
      <c r="AC206" s="302">
        <f t="shared" si="66"/>
        <v>3.4560793971624332E-8</v>
      </c>
      <c r="AD206" s="302">
        <f t="shared" si="66"/>
        <v>2.5527859183586156E-8</v>
      </c>
      <c r="AE206" s="302">
        <f t="shared" si="66"/>
        <v>7.6524667106488642E-6</v>
      </c>
      <c r="AF206" s="302">
        <f t="shared" si="66"/>
        <v>6.6213375677795497E-5</v>
      </c>
      <c r="AG206" s="302">
        <f t="shared" si="66"/>
        <v>2.7738964525179846E-5</v>
      </c>
      <c r="AH206" s="302">
        <f t="shared" si="66"/>
        <v>7.6721035254054693E-6</v>
      </c>
      <c r="AI206" s="302">
        <f t="shared" si="66"/>
        <v>1.2685382332766656E-6</v>
      </c>
      <c r="AJ206" s="302">
        <f t="shared" si="66"/>
        <v>0</v>
      </c>
    </row>
    <row r="207" spans="9:36" x14ac:dyDescent="0.25">
      <c r="I207">
        <f t="shared" ref="I207:L207" si="84">I46</f>
        <v>24300</v>
      </c>
      <c r="J207">
        <f t="shared" si="84"/>
        <v>14000</v>
      </c>
      <c r="K207">
        <f t="shared" si="84"/>
        <v>0</v>
      </c>
      <c r="L207">
        <f t="shared" si="84"/>
        <v>0</v>
      </c>
      <c r="M207">
        <f t="shared" si="36"/>
        <v>2</v>
      </c>
      <c r="N207">
        <v>41</v>
      </c>
      <c r="P207">
        <f t="shared" si="81"/>
        <v>3.9377436790953232E-5</v>
      </c>
      <c r="Q207">
        <f t="shared" si="81"/>
        <v>5.7265102880658443</v>
      </c>
      <c r="R207" s="302">
        <f t="shared" si="37"/>
        <v>7.9274855331815705E-4</v>
      </c>
      <c r="S207" s="302">
        <f t="shared" si="82"/>
        <v>8.0361214460436883E-3</v>
      </c>
      <c r="T207" s="302">
        <f t="shared" si="82"/>
        <v>5.0892499719190337E-5</v>
      </c>
      <c r="U207" s="302">
        <f t="shared" si="82"/>
        <v>1.7694930671595408E-3</v>
      </c>
      <c r="V207" s="302">
        <f t="shared" si="82"/>
        <v>4.7271302623786403E-4</v>
      </c>
      <c r="W207" s="302">
        <f t="shared" si="82"/>
        <v>4.8250004541463133E-4</v>
      </c>
      <c r="X207" s="302">
        <f t="shared" si="82"/>
        <v>0</v>
      </c>
      <c r="Y207" s="302">
        <f t="shared" si="82"/>
        <v>3.6407711337574625E-9</v>
      </c>
      <c r="Z207" s="302">
        <f t="shared" si="82"/>
        <v>1.1940163395656192E-4</v>
      </c>
      <c r="AA207" s="302">
        <f t="shared" si="82"/>
        <v>1.105933166974713E-4</v>
      </c>
      <c r="AB207" s="302">
        <f t="shared" si="38"/>
        <v>4.0420166420852059E-13</v>
      </c>
      <c r="AC207" s="302">
        <f t="shared" ref="AC207:AJ222" si="85">AC46*$P46*0.45359/365</f>
        <v>4.0811645030254983E-10</v>
      </c>
      <c r="AD207" s="302">
        <f t="shared" si="85"/>
        <v>1.4582578200258975E-9</v>
      </c>
      <c r="AE207" s="302">
        <f t="shared" si="85"/>
        <v>1.9329256339269447E-7</v>
      </c>
      <c r="AF207" s="302">
        <f t="shared" si="85"/>
        <v>2.4467413087682848E-7</v>
      </c>
      <c r="AG207" s="302">
        <f t="shared" si="85"/>
        <v>1.2184771717666058E-7</v>
      </c>
      <c r="AH207" s="302">
        <f t="shared" si="85"/>
        <v>1.8742038425165061E-7</v>
      </c>
      <c r="AI207" s="302">
        <f t="shared" si="85"/>
        <v>0</v>
      </c>
      <c r="AJ207" s="302">
        <f t="shared" si="85"/>
        <v>0</v>
      </c>
    </row>
    <row r="208" spans="9:36" x14ac:dyDescent="0.25">
      <c r="I208">
        <f t="shared" ref="I208:L208" si="86">I47</f>
        <v>135000</v>
      </c>
      <c r="J208">
        <f t="shared" si="86"/>
        <v>50000</v>
      </c>
      <c r="K208">
        <f t="shared" si="86"/>
        <v>0</v>
      </c>
      <c r="L208">
        <f t="shared" si="86"/>
        <v>0</v>
      </c>
      <c r="M208">
        <f t="shared" si="36"/>
        <v>2</v>
      </c>
      <c r="N208">
        <v>42</v>
      </c>
      <c r="P208">
        <f t="shared" si="81"/>
        <v>7.8633336646456609E-6</v>
      </c>
      <c r="Q208">
        <f t="shared" si="81"/>
        <v>5.8481481481481481</v>
      </c>
      <c r="R208" s="302">
        <f t="shared" si="37"/>
        <v>5.4105142010122346E-3</v>
      </c>
      <c r="S208" s="302">
        <f t="shared" si="82"/>
        <v>8.466778508028178E-3</v>
      </c>
      <c r="T208" s="302">
        <f t="shared" si="82"/>
        <v>4.0594491572469703E-3</v>
      </c>
      <c r="U208" s="302">
        <f t="shared" si="82"/>
        <v>1.3881396913570872E-2</v>
      </c>
      <c r="V208" s="302">
        <f t="shared" si="82"/>
        <v>5.6663429500775813E-3</v>
      </c>
      <c r="W208" s="302">
        <f t="shared" si="82"/>
        <v>5.6663429500775813E-3</v>
      </c>
      <c r="X208" s="302">
        <f t="shared" si="82"/>
        <v>5.7810652386194883E-4</v>
      </c>
      <c r="Y208" s="302">
        <f t="shared" si="82"/>
        <v>7.8175324389715883E-8</v>
      </c>
      <c r="Z208" s="302">
        <f t="shared" si="82"/>
        <v>6.1113559841660388E-4</v>
      </c>
      <c r="AA208" s="302">
        <f t="shared" si="82"/>
        <v>8.5484717220154311E-4</v>
      </c>
      <c r="AB208" s="302">
        <f t="shared" si="38"/>
        <v>5.8631170141588365E-8</v>
      </c>
      <c r="AC208" s="302">
        <f t="shared" si="85"/>
        <v>7.9738391392560184E-10</v>
      </c>
      <c r="AD208" s="302">
        <f t="shared" si="85"/>
        <v>1.1921671262122967E-8</v>
      </c>
      <c r="AE208" s="302">
        <f t="shared" si="85"/>
        <v>0</v>
      </c>
      <c r="AF208" s="302">
        <f t="shared" si="85"/>
        <v>3.7680298677660788E-5</v>
      </c>
      <c r="AG208" s="302">
        <f t="shared" si="85"/>
        <v>1.849969767754157E-5</v>
      </c>
      <c r="AH208" s="302">
        <f t="shared" si="85"/>
        <v>0</v>
      </c>
      <c r="AI208" s="302">
        <f t="shared" si="85"/>
        <v>4.3641134308722266E-7</v>
      </c>
      <c r="AJ208" s="302">
        <f t="shared" si="85"/>
        <v>5.6481360569730127E-6</v>
      </c>
    </row>
    <row r="209" spans="9:36" x14ac:dyDescent="0.25">
      <c r="I209">
        <f t="shared" ref="I209:L209" si="87">I48</f>
        <v>54000</v>
      </c>
      <c r="J209">
        <f t="shared" si="87"/>
        <v>30000</v>
      </c>
      <c r="K209">
        <f t="shared" si="87"/>
        <v>0</v>
      </c>
      <c r="L209">
        <f t="shared" si="87"/>
        <v>0</v>
      </c>
      <c r="M209">
        <f t="shared" si="36"/>
        <v>2</v>
      </c>
      <c r="N209">
        <v>43</v>
      </c>
      <c r="P209">
        <f t="shared" si="81"/>
        <v>1.8518518518518518E-5</v>
      </c>
      <c r="Q209">
        <f t="shared" si="81"/>
        <v>5.8509629629629636</v>
      </c>
      <c r="R209" s="302">
        <f t="shared" si="37"/>
        <v>5.1379534018264833E-3</v>
      </c>
      <c r="S209" s="302">
        <f t="shared" si="82"/>
        <v>5.5353013523592086E-2</v>
      </c>
      <c r="T209" s="302">
        <f t="shared" si="82"/>
        <v>2.9220010007610351E-2</v>
      </c>
      <c r="U209" s="302">
        <f t="shared" si="82"/>
        <v>1.881246702435312E-2</v>
      </c>
      <c r="V209" s="302">
        <f t="shared" si="82"/>
        <v>3.5689053729071538E-3</v>
      </c>
      <c r="W209" s="302">
        <f t="shared" si="82"/>
        <v>4.4438717275494671E-3</v>
      </c>
      <c r="X209" s="302">
        <f t="shared" si="82"/>
        <v>8.9383727549467284E-4</v>
      </c>
      <c r="Y209" s="302">
        <f t="shared" si="82"/>
        <v>9.6655936073059352E-6</v>
      </c>
      <c r="Z209" s="302">
        <f t="shared" si="82"/>
        <v>9.3894337899543367E-5</v>
      </c>
      <c r="AA209" s="302">
        <f t="shared" si="82"/>
        <v>1.5510976407914764E-4</v>
      </c>
      <c r="AB209" s="302">
        <f t="shared" si="38"/>
        <v>7.6633926940639279E-8</v>
      </c>
      <c r="AC209" s="302">
        <f t="shared" si="85"/>
        <v>0</v>
      </c>
      <c r="AD209" s="302">
        <f t="shared" si="85"/>
        <v>0</v>
      </c>
      <c r="AE209" s="302">
        <f t="shared" si="85"/>
        <v>0</v>
      </c>
      <c r="AF209" s="302">
        <f t="shared" si="85"/>
        <v>0</v>
      </c>
      <c r="AG209" s="302">
        <f t="shared" si="85"/>
        <v>9.4354084221207507E-5</v>
      </c>
      <c r="AH209" s="302">
        <f t="shared" si="85"/>
        <v>0</v>
      </c>
      <c r="AI209" s="302">
        <f t="shared" si="85"/>
        <v>9.4584216133942162E-6</v>
      </c>
      <c r="AJ209" s="302">
        <f t="shared" si="85"/>
        <v>0</v>
      </c>
    </row>
    <row r="210" spans="9:36" x14ac:dyDescent="0.25">
      <c r="I210">
        <f t="shared" ref="I210:L210" si="88">I49</f>
        <v>60000</v>
      </c>
      <c r="J210">
        <f t="shared" si="88"/>
        <v>0</v>
      </c>
      <c r="K210">
        <f t="shared" si="88"/>
        <v>0</v>
      </c>
      <c r="L210">
        <f t="shared" si="88"/>
        <v>0</v>
      </c>
      <c r="M210">
        <f t="shared" si="36"/>
        <v>1</v>
      </c>
      <c r="N210">
        <v>44</v>
      </c>
      <c r="P210">
        <f t="shared" si="81"/>
        <v>1.6666666666666667E-5</v>
      </c>
      <c r="Q210">
        <f t="shared" si="81"/>
        <v>6.0666666666666664</v>
      </c>
      <c r="R210" s="302">
        <f t="shared" si="37"/>
        <v>1.3330234383561642E-2</v>
      </c>
      <c r="S210" s="302">
        <f t="shared" si="82"/>
        <v>1.1140977431506849E-2</v>
      </c>
      <c r="T210" s="302">
        <f t="shared" si="82"/>
        <v>3.2944899650684929E-2</v>
      </c>
      <c r="U210" s="302">
        <f t="shared" si="82"/>
        <v>1.5895621006849315E-2</v>
      </c>
      <c r="V210" s="302">
        <f t="shared" si="82"/>
        <v>2.9054774383561644E-3</v>
      </c>
      <c r="W210" s="302">
        <f t="shared" si="82"/>
        <v>5.2223202260273972E-3</v>
      </c>
      <c r="X210" s="302">
        <f t="shared" si="82"/>
        <v>1.6652436986301368E-4</v>
      </c>
      <c r="Y210" s="302">
        <f t="shared" si="82"/>
        <v>1.6818132876712329E-7</v>
      </c>
      <c r="Z210" s="302">
        <f t="shared" si="82"/>
        <v>6.8639522602739734E-4</v>
      </c>
      <c r="AA210" s="302">
        <f t="shared" si="82"/>
        <v>8.1398106164383551E-4</v>
      </c>
      <c r="AB210" s="302">
        <f t="shared" si="38"/>
        <v>6.8349178082191793E-7</v>
      </c>
      <c r="AC210" s="302">
        <f t="shared" si="85"/>
        <v>3.8524082191780821E-10</v>
      </c>
      <c r="AD210" s="302">
        <f t="shared" si="85"/>
        <v>1.3773394977168952E-9</v>
      </c>
      <c r="AE210" s="302">
        <f t="shared" si="85"/>
        <v>4.0444072739726032E-6</v>
      </c>
      <c r="AF210" s="302">
        <f t="shared" si="85"/>
        <v>5.7645489675799083E-5</v>
      </c>
      <c r="AG210" s="302">
        <f t="shared" si="85"/>
        <v>1.408407305936073E-5</v>
      </c>
      <c r="AH210" s="302">
        <f t="shared" si="85"/>
        <v>2.0606241598173519E-6</v>
      </c>
      <c r="AI210" s="302">
        <f t="shared" si="85"/>
        <v>8.9061050228310494E-6</v>
      </c>
      <c r="AJ210" s="302">
        <f t="shared" si="85"/>
        <v>0</v>
      </c>
    </row>
    <row r="211" spans="9:36" x14ac:dyDescent="0.25">
      <c r="I211">
        <f t="shared" ref="I211:L211" si="89">I50</f>
        <v>10000</v>
      </c>
      <c r="J211">
        <f t="shared" si="89"/>
        <v>0</v>
      </c>
      <c r="K211">
        <f t="shared" si="89"/>
        <v>0</v>
      </c>
      <c r="L211">
        <f t="shared" si="89"/>
        <v>0</v>
      </c>
      <c r="M211">
        <f t="shared" si="36"/>
        <v>1</v>
      </c>
      <c r="N211">
        <v>45</v>
      </c>
      <c r="P211">
        <f t="shared" si="81"/>
        <v>1E-4</v>
      </c>
      <c r="Q211">
        <f t="shared" si="81"/>
        <v>6.1</v>
      </c>
      <c r="R211" s="302">
        <f t="shared" si="37"/>
        <v>2.387760628767123E-2</v>
      </c>
      <c r="S211" s="302">
        <f t="shared" si="82"/>
        <v>5.4135332835616438E-2</v>
      </c>
      <c r="T211" s="302">
        <f t="shared" si="82"/>
        <v>0.25318911990410964</v>
      </c>
      <c r="U211" s="302">
        <f t="shared" si="82"/>
        <v>7.3529208328767123E-2</v>
      </c>
      <c r="V211" s="302">
        <f t="shared" si="82"/>
        <v>5.0131291643835622E-3</v>
      </c>
      <c r="W211" s="302">
        <f t="shared" si="82"/>
        <v>5.1672263424657533E-3</v>
      </c>
      <c r="X211" s="302">
        <f t="shared" si="82"/>
        <v>0</v>
      </c>
      <c r="Y211" s="302">
        <f t="shared" si="82"/>
        <v>1.5832242328767121E-6</v>
      </c>
      <c r="Z211" s="302">
        <f t="shared" si="82"/>
        <v>3.2559242465753427E-4</v>
      </c>
      <c r="AA211" s="302">
        <f t="shared" si="82"/>
        <v>2.758836575342466E-4</v>
      </c>
      <c r="AB211" s="302">
        <f t="shared" si="38"/>
        <v>6.9094805479452057E-7</v>
      </c>
      <c r="AC211" s="302">
        <f t="shared" si="85"/>
        <v>1.2750228493150684E-6</v>
      </c>
      <c r="AD211" s="302">
        <f t="shared" si="85"/>
        <v>2.4866673698630139E-6</v>
      </c>
      <c r="AE211" s="302">
        <f t="shared" si="85"/>
        <v>1.3172750684931507E-7</v>
      </c>
      <c r="AF211" s="302">
        <f t="shared" si="85"/>
        <v>2.8818498904109592E-6</v>
      </c>
      <c r="AG211" s="302">
        <f t="shared" si="85"/>
        <v>9.6633310684931511E-5</v>
      </c>
      <c r="AH211" s="302">
        <f t="shared" si="85"/>
        <v>8.0776301369863026E-8</v>
      </c>
      <c r="AI211" s="302">
        <f t="shared" si="85"/>
        <v>4.2127947945205482E-9</v>
      </c>
      <c r="AJ211" s="302">
        <f t="shared" si="85"/>
        <v>3.9145438356164383E-11</v>
      </c>
    </row>
    <row r="212" spans="9:36" x14ac:dyDescent="0.25">
      <c r="I212">
        <f t="shared" ref="I212:L212" si="90">I51</f>
        <v>40000</v>
      </c>
      <c r="J212">
        <f t="shared" si="90"/>
        <v>0</v>
      </c>
      <c r="K212">
        <f t="shared" si="90"/>
        <v>0</v>
      </c>
      <c r="L212">
        <f t="shared" si="90"/>
        <v>0</v>
      </c>
      <c r="M212">
        <f t="shared" si="36"/>
        <v>1</v>
      </c>
      <c r="N212">
        <v>46</v>
      </c>
      <c r="P212">
        <f t="shared" si="81"/>
        <v>2.2060881735479357E-5</v>
      </c>
      <c r="Q212">
        <f t="shared" si="81"/>
        <v>6.125</v>
      </c>
      <c r="R212" s="302">
        <f t="shared" si="37"/>
        <v>5.8954249951206411E-3</v>
      </c>
      <c r="S212" s="302">
        <f t="shared" si="82"/>
        <v>1.8801536745041555E-3</v>
      </c>
      <c r="T212" s="302">
        <f t="shared" si="82"/>
        <v>2.6752026182285727E-3</v>
      </c>
      <c r="U212" s="302">
        <f t="shared" si="82"/>
        <v>1.8148499991954812E-2</v>
      </c>
      <c r="V212" s="302">
        <f t="shared" si="82"/>
        <v>1.2660469041790886E-3</v>
      </c>
      <c r="W212" s="302">
        <f t="shared" si="82"/>
        <v>1.9256633726621737E-3</v>
      </c>
      <c r="X212" s="302">
        <f t="shared" si="82"/>
        <v>7.2212376474831532E-4</v>
      </c>
      <c r="Y212" s="302">
        <f t="shared" si="82"/>
        <v>4.0574911610763343E-8</v>
      </c>
      <c r="Z212" s="302">
        <f t="shared" si="82"/>
        <v>1.9300498495930675E-4</v>
      </c>
      <c r="AA212" s="302">
        <f t="shared" si="82"/>
        <v>3.7723701605682676E-4</v>
      </c>
      <c r="AB212" s="302">
        <f t="shared" si="38"/>
        <v>0</v>
      </c>
      <c r="AC212" s="302">
        <f t="shared" si="85"/>
        <v>0</v>
      </c>
      <c r="AD212" s="302">
        <f t="shared" si="85"/>
        <v>0</v>
      </c>
      <c r="AE212" s="302">
        <f t="shared" si="85"/>
        <v>0</v>
      </c>
      <c r="AF212" s="302">
        <f t="shared" si="85"/>
        <v>1.6191959790965517E-4</v>
      </c>
      <c r="AG212" s="302">
        <f t="shared" si="85"/>
        <v>7.2952192374684856E-5</v>
      </c>
      <c r="AH212" s="302">
        <f t="shared" si="85"/>
        <v>0</v>
      </c>
      <c r="AI212" s="302">
        <f t="shared" si="85"/>
        <v>0</v>
      </c>
      <c r="AJ212" s="302">
        <f t="shared" si="85"/>
        <v>0</v>
      </c>
    </row>
    <row r="213" spans="9:36" x14ac:dyDescent="0.25">
      <c r="I213">
        <f t="shared" ref="I213:L213" si="91">I52</f>
        <v>83000</v>
      </c>
      <c r="J213">
        <f t="shared" si="91"/>
        <v>36000</v>
      </c>
      <c r="K213">
        <f t="shared" si="91"/>
        <v>0</v>
      </c>
      <c r="L213">
        <f t="shared" si="91"/>
        <v>0</v>
      </c>
      <c r="M213">
        <f t="shared" si="36"/>
        <v>2</v>
      </c>
      <c r="N213">
        <v>47</v>
      </c>
      <c r="P213">
        <f t="shared" si="81"/>
        <v>1.1842369976875995E-5</v>
      </c>
      <c r="Q213">
        <f t="shared" si="81"/>
        <v>6.4879518072289155</v>
      </c>
      <c r="R213" s="302">
        <f t="shared" si="37"/>
        <v>9.1146659276217304E-3</v>
      </c>
      <c r="S213" s="302">
        <f t="shared" si="82"/>
        <v>1.3398709024354844E-2</v>
      </c>
      <c r="T213" s="302">
        <f t="shared" si="82"/>
        <v>1.1796056007404529E-2</v>
      </c>
      <c r="U213" s="302">
        <f t="shared" si="82"/>
        <v>1.28100394129865E-2</v>
      </c>
      <c r="V213" s="302">
        <f t="shared" si="82"/>
        <v>6.6687436923862668E-3</v>
      </c>
      <c r="W213" s="302">
        <f t="shared" si="82"/>
        <v>6.7717608743757263E-3</v>
      </c>
      <c r="X213" s="302">
        <f t="shared" si="82"/>
        <v>3.7086185516205571E-5</v>
      </c>
      <c r="Y213" s="302">
        <f t="shared" si="82"/>
        <v>3.7380520321889747E-8</v>
      </c>
      <c r="Z213" s="302">
        <f t="shared" si="82"/>
        <v>4.568076184218337E-4</v>
      </c>
      <c r="AA213" s="302">
        <f t="shared" si="82"/>
        <v>4.8388642054477749E-4</v>
      </c>
      <c r="AB213" s="302">
        <f t="shared" si="38"/>
        <v>2.0603322840919605E-8</v>
      </c>
      <c r="AC213" s="302">
        <f t="shared" si="85"/>
        <v>7.3583295860427156E-9</v>
      </c>
      <c r="AD213" s="302">
        <f t="shared" si="85"/>
        <v>3.3112483137192223E-8</v>
      </c>
      <c r="AE213" s="302">
        <f t="shared" si="85"/>
        <v>1.1979360566077541E-6</v>
      </c>
      <c r="AF213" s="302">
        <f t="shared" si="85"/>
        <v>1.2055887193772387E-5</v>
      </c>
      <c r="AG213" s="302">
        <f t="shared" si="85"/>
        <v>5.2415441973666357E-5</v>
      </c>
      <c r="AH213" s="302">
        <f t="shared" si="85"/>
        <v>9.6246950985438719E-8</v>
      </c>
      <c r="AI213" s="302">
        <f t="shared" si="85"/>
        <v>1.4966842378010885E-6</v>
      </c>
      <c r="AJ213" s="302">
        <f t="shared" si="85"/>
        <v>5.4201455730790646E-7</v>
      </c>
    </row>
    <row r="214" spans="9:36" x14ac:dyDescent="0.25">
      <c r="I214">
        <f t="shared" ref="I214:L214" si="92">I53</f>
        <v>195000</v>
      </c>
      <c r="J214">
        <f t="shared" si="92"/>
        <v>0</v>
      </c>
      <c r="K214">
        <f t="shared" si="92"/>
        <v>0</v>
      </c>
      <c r="L214">
        <f t="shared" si="92"/>
        <v>0</v>
      </c>
      <c r="M214">
        <f t="shared" si="36"/>
        <v>1</v>
      </c>
      <c r="N214">
        <v>48</v>
      </c>
      <c r="P214">
        <f t="shared" si="81"/>
        <v>5.1282051282051279E-6</v>
      </c>
      <c r="Q214">
        <f t="shared" si="81"/>
        <v>6.521179487179487</v>
      </c>
      <c r="R214" s="302">
        <f t="shared" si="37"/>
        <v>2.6917934689146467E-3</v>
      </c>
      <c r="S214" s="302">
        <f t="shared" si="82"/>
        <v>7.4528736923076926E-3</v>
      </c>
      <c r="T214" s="302">
        <f t="shared" si="82"/>
        <v>8.4670599999999991E-4</v>
      </c>
      <c r="U214" s="302">
        <f t="shared" si="82"/>
        <v>6.7759422507903044E-3</v>
      </c>
      <c r="V214" s="302">
        <f t="shared" si="82"/>
        <v>1.654537194942044E-3</v>
      </c>
      <c r="W214" s="302">
        <f t="shared" si="82"/>
        <v>1.654537194942044E-3</v>
      </c>
      <c r="X214" s="302">
        <f t="shared" si="82"/>
        <v>7.583773445732349E-5</v>
      </c>
      <c r="Y214" s="302">
        <f t="shared" si="82"/>
        <v>3.8747346680716537E-7</v>
      </c>
      <c r="Z214" s="302">
        <f t="shared" si="82"/>
        <v>1.1088878819810325E-4</v>
      </c>
      <c r="AA214" s="302">
        <f t="shared" si="82"/>
        <v>1.5919551317175972E-4</v>
      </c>
      <c r="AB214" s="302">
        <f t="shared" si="38"/>
        <v>3.30115377590446E-8</v>
      </c>
      <c r="AC214" s="302">
        <f t="shared" si="85"/>
        <v>1.9501024236037938E-8</v>
      </c>
      <c r="AD214" s="302">
        <f t="shared" si="85"/>
        <v>7.5327485774499474E-8</v>
      </c>
      <c r="AE214" s="302">
        <f t="shared" si="85"/>
        <v>1.4932941173164734E-6</v>
      </c>
      <c r="AF214" s="302">
        <f t="shared" si="85"/>
        <v>6.4702614007727434E-6</v>
      </c>
      <c r="AG214" s="302">
        <f t="shared" si="85"/>
        <v>2.9038554579557423E-5</v>
      </c>
      <c r="AH214" s="302">
        <f t="shared" si="85"/>
        <v>1.2000140077274322E-7</v>
      </c>
      <c r="AI214" s="302">
        <f t="shared" si="85"/>
        <v>4.6675000491745694E-7</v>
      </c>
      <c r="AJ214" s="302">
        <f t="shared" si="85"/>
        <v>4.0149167544783978E-9</v>
      </c>
    </row>
    <row r="215" spans="9:36" x14ac:dyDescent="0.25">
      <c r="I215">
        <f t="shared" ref="I215:L215" si="93">I54</f>
        <v>98000</v>
      </c>
      <c r="J215">
        <f t="shared" si="93"/>
        <v>34200</v>
      </c>
      <c r="K215">
        <f t="shared" si="93"/>
        <v>0</v>
      </c>
      <c r="L215">
        <f t="shared" si="93"/>
        <v>0</v>
      </c>
      <c r="M215">
        <f t="shared" si="36"/>
        <v>2</v>
      </c>
      <c r="N215">
        <v>49</v>
      </c>
      <c r="P215">
        <f t="shared" si="81"/>
        <v>1.075268817204301E-5</v>
      </c>
      <c r="Q215">
        <f t="shared" si="81"/>
        <v>6.8778163265306125</v>
      </c>
      <c r="R215" s="302">
        <f t="shared" si="37"/>
        <v>9.4820809544851961E-3</v>
      </c>
      <c r="S215" s="302">
        <f t="shared" si="82"/>
        <v>8.4232307644719392E-3</v>
      </c>
      <c r="T215" s="302">
        <f t="shared" si="82"/>
        <v>6.2470023199292972E-3</v>
      </c>
      <c r="U215" s="302">
        <f t="shared" si="82"/>
        <v>1.791707078214759E-2</v>
      </c>
      <c r="V215" s="302">
        <f t="shared" si="82"/>
        <v>6.4276642907644703E-3</v>
      </c>
      <c r="W215" s="302">
        <f t="shared" si="82"/>
        <v>6.430069553689792E-3</v>
      </c>
      <c r="X215" s="302">
        <f t="shared" si="82"/>
        <v>5.7726310207688905E-5</v>
      </c>
      <c r="Y215" s="302">
        <f t="shared" si="82"/>
        <v>7.2959642068051252E-7</v>
      </c>
      <c r="Z215" s="302">
        <f t="shared" si="82"/>
        <v>1.8627425099425538E-4</v>
      </c>
      <c r="AA215" s="302">
        <f t="shared" si="82"/>
        <v>2.6217365885992044E-4</v>
      </c>
      <c r="AB215" s="302">
        <f t="shared" si="38"/>
        <v>1.1090873471792606E-7</v>
      </c>
      <c r="AC215" s="302">
        <f t="shared" si="85"/>
        <v>0</v>
      </c>
      <c r="AD215" s="302">
        <f t="shared" si="85"/>
        <v>0</v>
      </c>
      <c r="AE215" s="302">
        <f t="shared" si="85"/>
        <v>0</v>
      </c>
      <c r="AF215" s="302">
        <f t="shared" si="85"/>
        <v>6.688665265871262E-5</v>
      </c>
      <c r="AG215" s="302">
        <f t="shared" si="85"/>
        <v>3.3058820444837232E-5</v>
      </c>
      <c r="AH215" s="302">
        <f t="shared" si="85"/>
        <v>0</v>
      </c>
      <c r="AI215" s="302">
        <f t="shared" si="85"/>
        <v>0</v>
      </c>
      <c r="AJ215" s="302">
        <f t="shared" si="85"/>
        <v>0</v>
      </c>
    </row>
    <row r="216" spans="9:36" x14ac:dyDescent="0.25">
      <c r="I216">
        <f t="shared" ref="I216:L216" si="94">I55</f>
        <v>6250</v>
      </c>
      <c r="J216">
        <f t="shared" si="94"/>
        <v>6000</v>
      </c>
      <c r="K216">
        <f t="shared" si="94"/>
        <v>0</v>
      </c>
      <c r="L216">
        <f t="shared" si="94"/>
        <v>0</v>
      </c>
      <c r="M216">
        <f t="shared" si="36"/>
        <v>2</v>
      </c>
      <c r="N216">
        <v>50</v>
      </c>
      <c r="P216">
        <f t="shared" si="81"/>
        <v>1.6000000000000001E-4</v>
      </c>
      <c r="Q216">
        <f t="shared" si="81"/>
        <v>6.952</v>
      </c>
      <c r="R216" s="302">
        <f t="shared" si="37"/>
        <v>1.037123717260274E-2</v>
      </c>
      <c r="S216" s="302">
        <f t="shared" si="82"/>
        <v>2.2205900449315072E-2</v>
      </c>
      <c r="T216" s="302">
        <f t="shared" si="82"/>
        <v>5.7662169863013696E-4</v>
      </c>
      <c r="U216" s="302">
        <f t="shared" si="82"/>
        <v>9.7508717589041092E-3</v>
      </c>
      <c r="V216" s="302">
        <f t="shared" si="82"/>
        <v>1.5350067287671233E-3</v>
      </c>
      <c r="W216" s="302">
        <f t="shared" si="82"/>
        <v>3.0143396383561648E-3</v>
      </c>
      <c r="X216" s="302">
        <f t="shared" si="82"/>
        <v>3.4994972054794521E-4</v>
      </c>
      <c r="Y216" s="302">
        <f t="shared" si="82"/>
        <v>2.5530422794520549E-7</v>
      </c>
      <c r="Z216" s="302">
        <f t="shared" si="82"/>
        <v>3.8971673424657534E-4</v>
      </c>
      <c r="AA216" s="302">
        <f t="shared" si="82"/>
        <v>2.7836909589041095E-4</v>
      </c>
      <c r="AB216" s="302">
        <f t="shared" si="38"/>
        <v>7.7545249315068491E-11</v>
      </c>
      <c r="AC216" s="302">
        <f t="shared" si="85"/>
        <v>5.9650191780821923E-9</v>
      </c>
      <c r="AD216" s="302">
        <f t="shared" si="85"/>
        <v>2.1871736986301367E-8</v>
      </c>
      <c r="AE216" s="302">
        <f t="shared" si="85"/>
        <v>0</v>
      </c>
      <c r="AF216" s="302">
        <f t="shared" si="85"/>
        <v>7.9931256986301387E-6</v>
      </c>
      <c r="AG216" s="302">
        <f t="shared" si="85"/>
        <v>1.3228424197260276E-5</v>
      </c>
      <c r="AH216" s="302">
        <f t="shared" si="85"/>
        <v>0</v>
      </c>
      <c r="AI216" s="302">
        <f t="shared" si="85"/>
        <v>0</v>
      </c>
      <c r="AJ216" s="302">
        <f t="shared" si="85"/>
        <v>0</v>
      </c>
    </row>
    <row r="217" spans="9:36" x14ac:dyDescent="0.25">
      <c r="I217">
        <f t="shared" ref="I217:L217" si="95">I56</f>
        <v>20000</v>
      </c>
      <c r="J217">
        <f t="shared" si="95"/>
        <v>8400</v>
      </c>
      <c r="K217">
        <f t="shared" si="95"/>
        <v>0</v>
      </c>
      <c r="L217">
        <f t="shared" si="95"/>
        <v>0</v>
      </c>
      <c r="M217">
        <f t="shared" si="36"/>
        <v>2</v>
      </c>
      <c r="N217">
        <v>51</v>
      </c>
      <c r="P217">
        <f t="shared" si="81"/>
        <v>5.1546391752577322E-5</v>
      </c>
      <c r="Q217">
        <f t="shared" si="81"/>
        <v>7.1902050000000006</v>
      </c>
      <c r="R217" s="302">
        <f t="shared" si="37"/>
        <v>1.5809437791272418E-2</v>
      </c>
      <c r="S217" s="302">
        <f t="shared" si="82"/>
        <v>1.5607015492162122E-2</v>
      </c>
      <c r="T217" s="302">
        <f t="shared" si="82"/>
        <v>2.3842272066092358E-3</v>
      </c>
      <c r="U217" s="302">
        <f t="shared" si="82"/>
        <v>1.4578248997316764E-2</v>
      </c>
      <c r="V217" s="302">
        <f t="shared" si="82"/>
        <v>3.9075190651037984E-4</v>
      </c>
      <c r="W217" s="302">
        <f t="shared" si="82"/>
        <v>3.9075190651037984E-4</v>
      </c>
      <c r="X217" s="302">
        <f t="shared" si="82"/>
        <v>6.38014588334981E-4</v>
      </c>
      <c r="Y217" s="302">
        <f t="shared" si="82"/>
        <v>1.247843793249541E-8</v>
      </c>
      <c r="Z217" s="302">
        <f t="shared" si="82"/>
        <v>1.1402268747352067E-4</v>
      </c>
      <c r="AA217" s="302">
        <f t="shared" si="82"/>
        <v>1.037734571388222E-4</v>
      </c>
      <c r="AB217" s="302">
        <f t="shared" si="38"/>
        <v>0</v>
      </c>
      <c r="AC217" s="302">
        <f t="shared" si="85"/>
        <v>1.396449936449654E-9</v>
      </c>
      <c r="AD217" s="302">
        <f t="shared" si="85"/>
        <v>4.990066516028809E-9</v>
      </c>
      <c r="AE217" s="302">
        <f t="shared" si="85"/>
        <v>0</v>
      </c>
      <c r="AF217" s="302">
        <f t="shared" si="85"/>
        <v>2.3118292755260558E-6</v>
      </c>
      <c r="AG217" s="302">
        <f t="shared" si="85"/>
        <v>6.7907182460104511E-6</v>
      </c>
      <c r="AH217" s="302">
        <f t="shared" si="85"/>
        <v>0</v>
      </c>
      <c r="AI217" s="302">
        <f t="shared" si="85"/>
        <v>0</v>
      </c>
      <c r="AJ217" s="302">
        <f t="shared" si="85"/>
        <v>0</v>
      </c>
    </row>
    <row r="218" spans="9:36" x14ac:dyDescent="0.25">
      <c r="I218">
        <f t="shared" ref="I218:L218" si="96">I57</f>
        <v>12500</v>
      </c>
      <c r="J218">
        <f t="shared" si="96"/>
        <v>1500</v>
      </c>
      <c r="K218">
        <f t="shared" si="96"/>
        <v>0</v>
      </c>
      <c r="L218">
        <f t="shared" si="96"/>
        <v>0</v>
      </c>
      <c r="M218">
        <f t="shared" si="36"/>
        <v>2</v>
      </c>
      <c r="N218">
        <v>52</v>
      </c>
      <c r="P218">
        <f t="shared" si="81"/>
        <v>7.8266104756170981E-5</v>
      </c>
      <c r="Q218">
        <f t="shared" si="81"/>
        <v>7.22</v>
      </c>
      <c r="R218" s="302">
        <f t="shared" si="37"/>
        <v>8.7030743932108891E-3</v>
      </c>
      <c r="S218" s="302">
        <f t="shared" si="82"/>
        <v>1.5134090026638515E-2</v>
      </c>
      <c r="T218" s="302">
        <f t="shared" si="82"/>
        <v>6.2952367794611275E-2</v>
      </c>
      <c r="U218" s="302">
        <f t="shared" si="82"/>
        <v>1.7159101301411097E-2</v>
      </c>
      <c r="V218" s="302">
        <f t="shared" si="82"/>
        <v>1.6838134096475964E-2</v>
      </c>
      <c r="W218" s="302">
        <f t="shared" si="82"/>
        <v>1.8931229323810542E-2</v>
      </c>
      <c r="X218" s="302">
        <f t="shared" si="82"/>
        <v>0</v>
      </c>
      <c r="Y218" s="302">
        <f t="shared" si="82"/>
        <v>0</v>
      </c>
      <c r="Z218" s="302">
        <f t="shared" si="82"/>
        <v>4.9798548159633166E-4</v>
      </c>
      <c r="AA218" s="302">
        <f t="shared" si="82"/>
        <v>1.3188834239152845E-3</v>
      </c>
      <c r="AB218" s="302">
        <f t="shared" si="38"/>
        <v>0</v>
      </c>
      <c r="AC218" s="302">
        <f t="shared" si="85"/>
        <v>0</v>
      </c>
      <c r="AD218" s="302">
        <f t="shared" si="85"/>
        <v>0</v>
      </c>
      <c r="AE218" s="302">
        <f t="shared" si="85"/>
        <v>0</v>
      </c>
      <c r="AF218" s="302">
        <f t="shared" si="85"/>
        <v>0</v>
      </c>
      <c r="AG218" s="302">
        <f t="shared" si="85"/>
        <v>1.2079971860490051E-5</v>
      </c>
      <c r="AH218" s="302">
        <f t="shared" si="85"/>
        <v>0</v>
      </c>
      <c r="AI218" s="302">
        <f t="shared" si="85"/>
        <v>0</v>
      </c>
      <c r="AJ218" s="302">
        <f t="shared" si="85"/>
        <v>0</v>
      </c>
    </row>
    <row r="219" spans="9:36" x14ac:dyDescent="0.25">
      <c r="I219">
        <f t="shared" ref="I219:L219" si="97">I58</f>
        <v>22500</v>
      </c>
      <c r="J219">
        <f t="shared" si="97"/>
        <v>6000</v>
      </c>
      <c r="K219">
        <f t="shared" si="97"/>
        <v>0</v>
      </c>
      <c r="L219">
        <f t="shared" si="97"/>
        <v>0</v>
      </c>
      <c r="M219">
        <f t="shared" si="36"/>
        <v>2</v>
      </c>
      <c r="N219">
        <v>53</v>
      </c>
      <c r="P219">
        <f t="shared" si="81"/>
        <v>4.3481169308983878E-5</v>
      </c>
      <c r="Q219">
        <f t="shared" si="81"/>
        <v>7.2888888888888888</v>
      </c>
      <c r="R219" s="302">
        <f t="shared" si="37"/>
        <v>1.4700730265093095E-2</v>
      </c>
      <c r="S219" s="302">
        <f t="shared" si="82"/>
        <v>2.7800947296149372E-2</v>
      </c>
      <c r="T219" s="302">
        <f t="shared" si="82"/>
        <v>2.9633810527024757E-2</v>
      </c>
      <c r="U219" s="302">
        <f t="shared" si="82"/>
        <v>2.5369377561792285E-2</v>
      </c>
      <c r="V219" s="302">
        <f t="shared" si="82"/>
        <v>5.6088208539170166E-3</v>
      </c>
      <c r="W219" s="302">
        <f t="shared" si="82"/>
        <v>6.1448468931352895E-3</v>
      </c>
      <c r="X219" s="302">
        <f t="shared" si="82"/>
        <v>4.1066511069141931E-5</v>
      </c>
      <c r="Y219" s="302">
        <f t="shared" si="82"/>
        <v>5.7817324794712976E-7</v>
      </c>
      <c r="Z219" s="302">
        <f t="shared" si="82"/>
        <v>1.286030215059971E-4</v>
      </c>
      <c r="AA219" s="302">
        <f t="shared" si="82"/>
        <v>4.3011766856627606E-4</v>
      </c>
      <c r="AB219" s="302">
        <f t="shared" si="38"/>
        <v>2.8746399310165982E-7</v>
      </c>
      <c r="AC219" s="302">
        <f t="shared" si="85"/>
        <v>0</v>
      </c>
      <c r="AD219" s="302">
        <f t="shared" si="85"/>
        <v>0</v>
      </c>
      <c r="AE219" s="302">
        <f t="shared" si="85"/>
        <v>0</v>
      </c>
      <c r="AF219" s="302">
        <f t="shared" si="85"/>
        <v>0</v>
      </c>
      <c r="AG219" s="302">
        <f t="shared" si="85"/>
        <v>1.0904557529298244E-4</v>
      </c>
      <c r="AH219" s="302">
        <f t="shared" si="85"/>
        <v>0</v>
      </c>
      <c r="AI219" s="302">
        <f t="shared" si="85"/>
        <v>2.7017292584742461E-7</v>
      </c>
      <c r="AJ219" s="302">
        <f t="shared" si="85"/>
        <v>0</v>
      </c>
    </row>
    <row r="220" spans="9:36" x14ac:dyDescent="0.25">
      <c r="I220">
        <f t="shared" ref="I220:L220" si="98">I59</f>
        <v>100000</v>
      </c>
      <c r="J220">
        <f t="shared" si="98"/>
        <v>46400</v>
      </c>
      <c r="K220">
        <f t="shared" si="98"/>
        <v>0</v>
      </c>
      <c r="L220">
        <f t="shared" si="98"/>
        <v>0</v>
      </c>
      <c r="M220">
        <f t="shared" si="36"/>
        <v>2</v>
      </c>
      <c r="N220">
        <v>54</v>
      </c>
      <c r="P220">
        <f t="shared" si="81"/>
        <v>1.0000000000000001E-5</v>
      </c>
      <c r="Q220">
        <f t="shared" si="81"/>
        <v>7.2970000000000006</v>
      </c>
      <c r="R220" s="302">
        <f t="shared" si="37"/>
        <v>5.8904889041095894E-3</v>
      </c>
      <c r="S220" s="302">
        <f t="shared" si="82"/>
        <v>2.1374769863013697E-2</v>
      </c>
      <c r="T220" s="302">
        <f t="shared" si="82"/>
        <v>2.684273424657534E-3</v>
      </c>
      <c r="U220" s="302">
        <f t="shared" si="82"/>
        <v>1.958525424657534E-2</v>
      </c>
      <c r="V220" s="302">
        <f t="shared" si="82"/>
        <v>1.3172823287671235E-3</v>
      </c>
      <c r="W220" s="302">
        <f t="shared" si="82"/>
        <v>1.4664086301369862E-3</v>
      </c>
      <c r="X220" s="302">
        <f t="shared" si="82"/>
        <v>1.4912630136986303E-4</v>
      </c>
      <c r="Y220" s="302">
        <f t="shared" si="82"/>
        <v>4.374371506849315E-7</v>
      </c>
      <c r="Z220" s="302">
        <f t="shared" si="82"/>
        <v>7.530878219178082E-5</v>
      </c>
      <c r="AA220" s="302">
        <f t="shared" si="82"/>
        <v>8.5001991780821933E-5</v>
      </c>
      <c r="AB220" s="302">
        <f t="shared" si="38"/>
        <v>1.3545564383561645E-7</v>
      </c>
      <c r="AC220" s="302">
        <f t="shared" si="85"/>
        <v>5.5673512328767128E-10</v>
      </c>
      <c r="AD220" s="302">
        <f t="shared" si="85"/>
        <v>1.9883397260273973E-9</v>
      </c>
      <c r="AE220" s="302">
        <f t="shared" si="85"/>
        <v>3.6287200000000002E-6</v>
      </c>
      <c r="AF220" s="302">
        <f t="shared" si="85"/>
        <v>1.09731498630137E-5</v>
      </c>
      <c r="AG220" s="302">
        <f t="shared" si="85"/>
        <v>5.878029315068493E-5</v>
      </c>
      <c r="AH220" s="302">
        <f t="shared" si="85"/>
        <v>2.0380482191780822E-6</v>
      </c>
      <c r="AI220" s="302">
        <f t="shared" si="85"/>
        <v>2.2368821917808218E-7</v>
      </c>
      <c r="AJ220" s="302">
        <f t="shared" si="85"/>
        <v>1.4912547945205481E-7</v>
      </c>
    </row>
    <row r="221" spans="9:36" x14ac:dyDescent="0.25">
      <c r="I221">
        <f t="shared" ref="I221:L221" si="99">I60</f>
        <v>106000</v>
      </c>
      <c r="J221">
        <f t="shared" si="99"/>
        <v>52300</v>
      </c>
      <c r="K221">
        <f t="shared" si="99"/>
        <v>0</v>
      </c>
      <c r="L221">
        <f t="shared" si="99"/>
        <v>0</v>
      </c>
      <c r="M221">
        <f t="shared" si="36"/>
        <v>2</v>
      </c>
      <c r="N221">
        <v>55</v>
      </c>
      <c r="P221">
        <f t="shared" si="81"/>
        <v>9.4339622641509439E-6</v>
      </c>
      <c r="Q221">
        <f t="shared" si="81"/>
        <v>7.3349056603773581</v>
      </c>
      <c r="R221" s="302">
        <f t="shared" si="37"/>
        <v>2.867867597570432E-3</v>
      </c>
      <c r="S221" s="302">
        <f t="shared" ref="S221:AA231" si="100">S60*$P60*907.185/365</f>
        <v>1.5919232671232877E-2</v>
      </c>
      <c r="T221" s="302">
        <f t="shared" si="100"/>
        <v>2.2568249224605842E-3</v>
      </c>
      <c r="U221" s="302">
        <f t="shared" si="100"/>
        <v>9.6486592788834324E-3</v>
      </c>
      <c r="V221" s="302">
        <f t="shared" si="100"/>
        <v>1.6950220638407858E-3</v>
      </c>
      <c r="W221" s="302">
        <f t="shared" si="100"/>
        <v>1.8675958968725772E-3</v>
      </c>
      <c r="X221" s="302">
        <f t="shared" si="100"/>
        <v>1.5240895580253294E-4</v>
      </c>
      <c r="Y221" s="302">
        <f t="shared" si="100"/>
        <v>2.4854383561643835E-8</v>
      </c>
      <c r="Z221" s="302">
        <f t="shared" si="100"/>
        <v>2.3799244636857071E-4</v>
      </c>
      <c r="AA221" s="302">
        <f t="shared" si="100"/>
        <v>2.2439287800465237E-4</v>
      </c>
      <c r="AB221" s="302">
        <f t="shared" si="38"/>
        <v>1.1442332385629362E-7</v>
      </c>
      <c r="AC221" s="302">
        <f t="shared" si="85"/>
        <v>4.5722434737658314E-9</v>
      </c>
      <c r="AD221" s="302">
        <f t="shared" si="85"/>
        <v>9.027249935383821E-9</v>
      </c>
      <c r="AE221" s="302">
        <f t="shared" si="85"/>
        <v>3.9942650038769707E-7</v>
      </c>
      <c r="AF221" s="302">
        <f t="shared" si="85"/>
        <v>6.3095154487981394E-4</v>
      </c>
      <c r="AG221" s="302">
        <f t="shared" si="85"/>
        <v>4.8665083742569136E-5</v>
      </c>
      <c r="AH221" s="302">
        <f t="shared" si="85"/>
        <v>1.5240811579219433E-11</v>
      </c>
      <c r="AI221" s="302">
        <f t="shared" si="85"/>
        <v>4.4784538640475576E-5</v>
      </c>
      <c r="AJ221" s="302">
        <f t="shared" si="85"/>
        <v>0</v>
      </c>
    </row>
    <row r="222" spans="9:36" x14ac:dyDescent="0.25">
      <c r="I222">
        <f t="shared" ref="I222:L222" si="101">I61</f>
        <v>117000</v>
      </c>
      <c r="J222">
        <f t="shared" si="101"/>
        <v>41000</v>
      </c>
      <c r="K222">
        <f t="shared" si="101"/>
        <v>12000</v>
      </c>
      <c r="L222">
        <f t="shared" si="101"/>
        <v>0</v>
      </c>
      <c r="M222">
        <f t="shared" si="36"/>
        <v>4</v>
      </c>
      <c r="N222">
        <v>56</v>
      </c>
      <c r="P222">
        <f t="shared" si="81"/>
        <v>8.4410134427104247E-6</v>
      </c>
      <c r="Q222">
        <f t="shared" si="81"/>
        <v>7.4273504273504267</v>
      </c>
      <c r="R222" s="302">
        <f t="shared" si="37"/>
        <v>5.9481414585007145E-3</v>
      </c>
      <c r="S222" s="302">
        <f t="shared" si="100"/>
        <v>1.4367891781370677E-2</v>
      </c>
      <c r="T222" s="302">
        <f t="shared" si="100"/>
        <v>1.7171608007788691E-2</v>
      </c>
      <c r="U222" s="302">
        <f t="shared" si="100"/>
        <v>9.3321539347146158E-3</v>
      </c>
      <c r="V222" s="302">
        <f t="shared" si="100"/>
        <v>7.5197246859848021E-3</v>
      </c>
      <c r="W222" s="302">
        <f t="shared" si="100"/>
        <v>9.6499951561321018E-3</v>
      </c>
      <c r="X222" s="302">
        <f t="shared" si="100"/>
        <v>3.6714332506970404E-5</v>
      </c>
      <c r="Y222" s="302">
        <f t="shared" si="100"/>
        <v>0</v>
      </c>
      <c r="Z222" s="302">
        <f t="shared" si="100"/>
        <v>2.0622965059629664E-4</v>
      </c>
      <c r="AA222" s="302">
        <f t="shared" si="100"/>
        <v>6.3903918180703925E-4</v>
      </c>
      <c r="AB222" s="302">
        <f t="shared" si="38"/>
        <v>2.8322328975872212E-7</v>
      </c>
      <c r="AC222" s="302">
        <f t="shared" si="85"/>
        <v>0</v>
      </c>
      <c r="AD222" s="302">
        <f t="shared" si="85"/>
        <v>0</v>
      </c>
      <c r="AE222" s="302">
        <f t="shared" si="85"/>
        <v>4.4518505249482101E-7</v>
      </c>
      <c r="AF222" s="302">
        <f t="shared" si="85"/>
        <v>7.699477580848224E-6</v>
      </c>
      <c r="AG222" s="302">
        <f t="shared" si="85"/>
        <v>1.082017864393044E-4</v>
      </c>
      <c r="AH222" s="302">
        <f t="shared" si="85"/>
        <v>4.4371648728866467E-7</v>
      </c>
      <c r="AI222" s="302">
        <f t="shared" si="85"/>
        <v>4.901021683002598E-5</v>
      </c>
      <c r="AJ222" s="302">
        <f t="shared" si="85"/>
        <v>0</v>
      </c>
    </row>
    <row r="223" spans="9:36" x14ac:dyDescent="0.25">
      <c r="I223">
        <f t="shared" ref="I223:L223" si="102">I62</f>
        <v>85000</v>
      </c>
      <c r="J223">
        <f t="shared" si="102"/>
        <v>28000</v>
      </c>
      <c r="K223">
        <f t="shared" si="102"/>
        <v>0</v>
      </c>
      <c r="L223">
        <f t="shared" si="102"/>
        <v>30000</v>
      </c>
      <c r="M223">
        <f t="shared" si="36"/>
        <v>3</v>
      </c>
      <c r="N223">
        <v>57</v>
      </c>
      <c r="P223">
        <f t="shared" si="81"/>
        <v>1.1764705882352942E-5</v>
      </c>
      <c r="Q223">
        <f t="shared" si="81"/>
        <v>7.4353647058823533</v>
      </c>
      <c r="R223" s="302">
        <f t="shared" si="37"/>
        <v>7.8817636341659957E-3</v>
      </c>
      <c r="S223" s="302">
        <f t="shared" si="100"/>
        <v>1.0310767919419823E-2</v>
      </c>
      <c r="T223" s="302">
        <f t="shared" si="100"/>
        <v>2.2456666559226426E-4</v>
      </c>
      <c r="U223" s="302">
        <f t="shared" si="100"/>
        <v>8.7279822933118457E-3</v>
      </c>
      <c r="V223" s="302">
        <f t="shared" si="100"/>
        <v>1.5982830652699436E-3</v>
      </c>
      <c r="W223" s="302">
        <f t="shared" si="100"/>
        <v>1.6222602352941177E-3</v>
      </c>
      <c r="X223" s="302">
        <f t="shared" si="100"/>
        <v>0</v>
      </c>
      <c r="Y223" s="302">
        <f t="shared" si="100"/>
        <v>0</v>
      </c>
      <c r="Z223" s="302">
        <f t="shared" si="100"/>
        <v>2.6404127477840453E-4</v>
      </c>
      <c r="AA223" s="302">
        <f t="shared" si="100"/>
        <v>4.1082834004834817E-4</v>
      </c>
      <c r="AB223" s="302">
        <f t="shared" si="38"/>
        <v>0</v>
      </c>
      <c r="AC223" s="302">
        <f t="shared" ref="AC223:AJ231" si="103">AC62*$P62*0.45359/365</f>
        <v>0</v>
      </c>
      <c r="AD223" s="302">
        <f t="shared" si="103"/>
        <v>0</v>
      </c>
      <c r="AE223" s="302">
        <f t="shared" si="103"/>
        <v>4.412359774375504E-7</v>
      </c>
      <c r="AF223" s="302">
        <f t="shared" si="103"/>
        <v>0</v>
      </c>
      <c r="AG223" s="302">
        <f t="shared" si="103"/>
        <v>1.5317233560032235E-5</v>
      </c>
      <c r="AH223" s="302">
        <f t="shared" si="103"/>
        <v>6.2515740209508466E-7</v>
      </c>
      <c r="AI223" s="302">
        <f t="shared" si="103"/>
        <v>5.848058017727639E-7</v>
      </c>
      <c r="AJ223" s="302">
        <f t="shared" si="103"/>
        <v>0</v>
      </c>
    </row>
    <row r="224" spans="9:36" x14ac:dyDescent="0.25">
      <c r="I224">
        <f t="shared" ref="I224:L224" si="104">I63</f>
        <v>185000</v>
      </c>
      <c r="J224">
        <f t="shared" si="104"/>
        <v>78700</v>
      </c>
      <c r="K224">
        <f t="shared" si="104"/>
        <v>0</v>
      </c>
      <c r="L224">
        <f t="shared" si="104"/>
        <v>21500</v>
      </c>
      <c r="M224">
        <f t="shared" si="36"/>
        <v>3</v>
      </c>
      <c r="N224">
        <v>58</v>
      </c>
      <c r="P224">
        <f t="shared" si="81"/>
        <v>5.4054054054054052E-6</v>
      </c>
      <c r="Q224">
        <f t="shared" si="81"/>
        <v>7.4821621621621608</v>
      </c>
      <c r="R224" s="302">
        <f t="shared" si="37"/>
        <v>5.705491681599408E-3</v>
      </c>
      <c r="S224" s="302">
        <f t="shared" si="100"/>
        <v>3.2365781318030354E-3</v>
      </c>
      <c r="T224" s="302">
        <f t="shared" si="100"/>
        <v>1.9059953491299517E-3</v>
      </c>
      <c r="U224" s="302">
        <f t="shared" si="100"/>
        <v>8.8081248382080712E-3</v>
      </c>
      <c r="V224" s="302">
        <f t="shared" si="100"/>
        <v>3.0625974468715287E-3</v>
      </c>
      <c r="W224" s="302">
        <f t="shared" si="100"/>
        <v>3.0625974468715287E-3</v>
      </c>
      <c r="X224" s="302">
        <f t="shared" si="100"/>
        <v>8.5982732321362464E-5</v>
      </c>
      <c r="Y224" s="302">
        <f t="shared" si="100"/>
        <v>4.1513537948907806E-7</v>
      </c>
      <c r="Z224" s="302">
        <f t="shared" si="100"/>
        <v>6.2525568159940757E-4</v>
      </c>
      <c r="AA224" s="302">
        <f t="shared" si="100"/>
        <v>6.4540788448722692E-4</v>
      </c>
      <c r="AB224" s="302">
        <f t="shared" si="38"/>
        <v>5.5754120696038508E-8</v>
      </c>
      <c r="AC224" s="302">
        <f t="shared" si="103"/>
        <v>0</v>
      </c>
      <c r="AD224" s="302">
        <f t="shared" si="103"/>
        <v>0</v>
      </c>
      <c r="AE224" s="302">
        <f t="shared" si="103"/>
        <v>0</v>
      </c>
      <c r="AF224" s="302">
        <f t="shared" si="103"/>
        <v>0</v>
      </c>
      <c r="AG224" s="302">
        <f t="shared" si="103"/>
        <v>1.9614702702702701E-6</v>
      </c>
      <c r="AH224" s="302">
        <f t="shared" si="103"/>
        <v>0</v>
      </c>
      <c r="AI224" s="302">
        <f t="shared" si="103"/>
        <v>3.8020279896334684E-7</v>
      </c>
      <c r="AJ224" s="302">
        <f t="shared" si="103"/>
        <v>0</v>
      </c>
    </row>
    <row r="225" spans="9:36" x14ac:dyDescent="0.25">
      <c r="I225">
        <f t="shared" ref="I225:L225" si="105">I64</f>
        <v>330000</v>
      </c>
      <c r="J225">
        <f t="shared" si="105"/>
        <v>157400</v>
      </c>
      <c r="K225">
        <f t="shared" si="105"/>
        <v>0</v>
      </c>
      <c r="L225">
        <f t="shared" si="105"/>
        <v>0</v>
      </c>
      <c r="M225">
        <f t="shared" si="36"/>
        <v>2</v>
      </c>
      <c r="N225">
        <v>59</v>
      </c>
      <c r="P225">
        <f t="shared" ref="P225:Q244" si="106">P64</f>
        <v>3.0303030303030305E-6</v>
      </c>
      <c r="Q225">
        <f t="shared" si="106"/>
        <v>7.5</v>
      </c>
      <c r="R225" s="302">
        <f t="shared" si="37"/>
        <v>1.3350720420921542E-2</v>
      </c>
      <c r="S225" s="302">
        <f t="shared" si="100"/>
        <v>5.6439032926525537E-3</v>
      </c>
      <c r="T225" s="302">
        <f t="shared" si="100"/>
        <v>2.2377230000000001E-3</v>
      </c>
      <c r="U225" s="302">
        <f t="shared" si="100"/>
        <v>9.9044718493150677E-3</v>
      </c>
      <c r="V225" s="302">
        <f t="shared" si="100"/>
        <v>5.4379884906600251E-3</v>
      </c>
      <c r="W225" s="302">
        <f t="shared" si="100"/>
        <v>5.970625462017435E-3</v>
      </c>
      <c r="X225" s="302">
        <f t="shared" si="100"/>
        <v>3.1934117061021178E-5</v>
      </c>
      <c r="Y225" s="302">
        <f t="shared" si="100"/>
        <v>1.8075915317559155E-7</v>
      </c>
      <c r="Z225" s="302">
        <f t="shared" si="100"/>
        <v>7.1874358281444578E-4</v>
      </c>
      <c r="AA225" s="302">
        <f t="shared" si="100"/>
        <v>1.1679300784557907E-3</v>
      </c>
      <c r="AB225" s="302">
        <f t="shared" si="38"/>
        <v>3.0126359485263594E-8</v>
      </c>
      <c r="AC225" s="302">
        <f t="shared" si="103"/>
        <v>3.7657949356579492E-9</v>
      </c>
      <c r="AD225" s="302">
        <f t="shared" si="103"/>
        <v>6.5524831880448313E-8</v>
      </c>
      <c r="AE225" s="302">
        <f t="shared" si="103"/>
        <v>0</v>
      </c>
      <c r="AF225" s="302">
        <f t="shared" si="103"/>
        <v>8.6515372851805736E-6</v>
      </c>
      <c r="AG225" s="302">
        <f t="shared" si="103"/>
        <v>1.8661773383146535E-5</v>
      </c>
      <c r="AH225" s="302">
        <f t="shared" si="103"/>
        <v>0</v>
      </c>
      <c r="AI225" s="302">
        <f t="shared" si="103"/>
        <v>1.1802001328352014E-6</v>
      </c>
      <c r="AJ225" s="302">
        <f t="shared" si="103"/>
        <v>0</v>
      </c>
    </row>
    <row r="226" spans="9:36" x14ac:dyDescent="0.25">
      <c r="I226">
        <f t="shared" ref="I226:L226" si="107">I65</f>
        <v>120000</v>
      </c>
      <c r="J226">
        <f t="shared" si="107"/>
        <v>47200</v>
      </c>
      <c r="K226">
        <f t="shared" si="107"/>
        <v>0</v>
      </c>
      <c r="L226">
        <f t="shared" si="107"/>
        <v>0</v>
      </c>
      <c r="M226">
        <f t="shared" si="36"/>
        <v>2</v>
      </c>
      <c r="N226">
        <v>60</v>
      </c>
      <c r="P226">
        <f t="shared" si="106"/>
        <v>8.3333333333333337E-6</v>
      </c>
      <c r="Q226">
        <f t="shared" si="106"/>
        <v>7.5116666666666667</v>
      </c>
      <c r="R226" s="302">
        <f t="shared" si="37"/>
        <v>1.2385767808219176E-2</v>
      </c>
      <c r="S226" s="302">
        <f t="shared" si="100"/>
        <v>1.4436254452054795E-2</v>
      </c>
      <c r="T226" s="302">
        <f t="shared" si="100"/>
        <v>6.5242756849315069E-3</v>
      </c>
      <c r="U226" s="302">
        <f t="shared" si="100"/>
        <v>3.8979958219178081E-2</v>
      </c>
      <c r="V226" s="302">
        <f t="shared" si="100"/>
        <v>2.9825260273972603E-3</v>
      </c>
      <c r="W226" s="302">
        <f t="shared" si="100"/>
        <v>3.1896458904109586E-3</v>
      </c>
      <c r="X226" s="302">
        <f t="shared" si="100"/>
        <v>0</v>
      </c>
      <c r="Y226" s="302">
        <f t="shared" si="100"/>
        <v>2.1747585616438357E-7</v>
      </c>
      <c r="Z226" s="302">
        <f t="shared" si="100"/>
        <v>9.4778049315068485E-4</v>
      </c>
      <c r="AA226" s="302">
        <f t="shared" si="100"/>
        <v>7.1870592465753428E-4</v>
      </c>
      <c r="AB226" s="302">
        <f t="shared" si="38"/>
        <v>1.0666614155251142E-8</v>
      </c>
      <c r="AC226" s="302">
        <f t="shared" si="103"/>
        <v>1.201288584474886E-8</v>
      </c>
      <c r="AD226" s="302">
        <f t="shared" si="103"/>
        <v>1.2427123287671233E-7</v>
      </c>
      <c r="AE226" s="302">
        <f t="shared" si="103"/>
        <v>9.548173059360732E-6</v>
      </c>
      <c r="AF226" s="302">
        <f t="shared" si="103"/>
        <v>2.9172671917808225E-5</v>
      </c>
      <c r="AG226" s="302">
        <f t="shared" si="103"/>
        <v>1.9790193835616441E-5</v>
      </c>
      <c r="AH226" s="302">
        <f t="shared" si="103"/>
        <v>1.5637463470319635E-6</v>
      </c>
      <c r="AI226" s="302">
        <f t="shared" si="103"/>
        <v>5.2815273972602747E-7</v>
      </c>
      <c r="AJ226" s="302">
        <f t="shared" si="103"/>
        <v>0</v>
      </c>
    </row>
    <row r="227" spans="9:36" x14ac:dyDescent="0.25">
      <c r="I227">
        <f t="shared" ref="I227:L227" si="108">I66</f>
        <v>58000</v>
      </c>
      <c r="J227">
        <f t="shared" si="108"/>
        <v>0</v>
      </c>
      <c r="K227">
        <f t="shared" si="108"/>
        <v>0</v>
      </c>
      <c r="L227">
        <f t="shared" si="108"/>
        <v>0</v>
      </c>
      <c r="M227">
        <f t="shared" si="36"/>
        <v>1</v>
      </c>
      <c r="N227">
        <v>61</v>
      </c>
      <c r="P227">
        <f t="shared" si="106"/>
        <v>1.7241379310344828E-5</v>
      </c>
      <c r="Q227">
        <f t="shared" si="106"/>
        <v>7.6189655172413797</v>
      </c>
      <c r="R227" s="302">
        <f t="shared" si="37"/>
        <v>2.4627265918752951E-2</v>
      </c>
      <c r="S227" s="302">
        <f t="shared" si="100"/>
        <v>2.1794723240434577E-2</v>
      </c>
      <c r="T227" s="302">
        <f t="shared" si="100"/>
        <v>1.6262480278696267E-2</v>
      </c>
      <c r="U227" s="302">
        <f t="shared" si="100"/>
        <v>2.46444068729334E-2</v>
      </c>
      <c r="V227" s="302">
        <f t="shared" si="100"/>
        <v>9.056851665092111E-3</v>
      </c>
      <c r="W227" s="302">
        <f t="shared" si="100"/>
        <v>1.092950090930562E-2</v>
      </c>
      <c r="X227" s="302">
        <f t="shared" si="100"/>
        <v>1.4826925366084082E-3</v>
      </c>
      <c r="Y227" s="302">
        <f t="shared" si="100"/>
        <v>1.0927358290033066E-6</v>
      </c>
      <c r="Z227" s="302">
        <f t="shared" si="100"/>
        <v>1.7230944189891356E-3</v>
      </c>
      <c r="AA227" s="302">
        <f t="shared" si="100"/>
        <v>2.5895696528105811E-3</v>
      </c>
      <c r="AB227" s="302">
        <f t="shared" si="38"/>
        <v>9.8559943316013218E-8</v>
      </c>
      <c r="AC227" s="302">
        <f t="shared" si="103"/>
        <v>0</v>
      </c>
      <c r="AD227" s="302">
        <f t="shared" si="103"/>
        <v>0</v>
      </c>
      <c r="AE227" s="302">
        <f t="shared" si="103"/>
        <v>4.2852149267831838E-6</v>
      </c>
      <c r="AF227" s="302">
        <f t="shared" si="103"/>
        <v>1.285564478034955E-5</v>
      </c>
      <c r="AG227" s="302">
        <f t="shared" si="103"/>
        <v>6.4278223901747752E-5</v>
      </c>
      <c r="AH227" s="302">
        <f t="shared" si="103"/>
        <v>0</v>
      </c>
      <c r="AI227" s="302">
        <f t="shared" si="103"/>
        <v>2.2068856872933396E-6</v>
      </c>
      <c r="AJ227" s="302">
        <f t="shared" si="103"/>
        <v>8.5704298535663676E-6</v>
      </c>
    </row>
    <row r="228" spans="9:36" x14ac:dyDescent="0.25">
      <c r="I228">
        <f t="shared" ref="I228:L228" si="109">I67</f>
        <v>33250</v>
      </c>
      <c r="J228">
        <f t="shared" si="109"/>
        <v>19500</v>
      </c>
      <c r="K228">
        <f t="shared" si="109"/>
        <v>0</v>
      </c>
      <c r="L228">
        <f t="shared" si="109"/>
        <v>0</v>
      </c>
      <c r="M228">
        <f t="shared" si="36"/>
        <v>2</v>
      </c>
      <c r="N228">
        <v>62</v>
      </c>
      <c r="P228">
        <f t="shared" si="106"/>
        <v>3.0075187969924811E-5</v>
      </c>
      <c r="Q228">
        <f t="shared" si="106"/>
        <v>7.8049624060150373</v>
      </c>
      <c r="R228" s="302">
        <f t="shared" si="37"/>
        <v>1.4942530147286023E-2</v>
      </c>
      <c r="S228" s="302">
        <f t="shared" si="100"/>
        <v>2.3917765739005045E-2</v>
      </c>
      <c r="T228" s="302">
        <f t="shared" si="100"/>
        <v>1.8472226363168191E-2</v>
      </c>
      <c r="U228" s="302">
        <f t="shared" si="100"/>
        <v>2.8235327226284888E-2</v>
      </c>
      <c r="V228" s="302">
        <f t="shared" si="100"/>
        <v>9.1778081614996392E-3</v>
      </c>
      <c r="W228" s="302">
        <f t="shared" si="100"/>
        <v>1.1595223994232155E-2</v>
      </c>
      <c r="X228" s="302">
        <f t="shared" si="100"/>
        <v>3.363751158718714E-5</v>
      </c>
      <c r="Y228" s="302">
        <f t="shared" si="100"/>
        <v>5.3670518488000817E-8</v>
      </c>
      <c r="Z228" s="302">
        <f t="shared" si="100"/>
        <v>4.1112514162117614E-4</v>
      </c>
      <c r="AA228" s="302">
        <f t="shared" si="100"/>
        <v>4.7615766402307134E-4</v>
      </c>
      <c r="AB228" s="302">
        <f t="shared" si="38"/>
        <v>7.1012133072407043E-8</v>
      </c>
      <c r="AC228" s="302">
        <f t="shared" si="103"/>
        <v>0</v>
      </c>
      <c r="AD228" s="302">
        <f t="shared" si="103"/>
        <v>0</v>
      </c>
      <c r="AE228" s="302">
        <f t="shared" si="103"/>
        <v>0</v>
      </c>
      <c r="AF228" s="302">
        <f t="shared" si="103"/>
        <v>0</v>
      </c>
      <c r="AG228" s="302">
        <f t="shared" si="103"/>
        <v>1.2298553952003294E-4</v>
      </c>
      <c r="AH228" s="302">
        <f t="shared" si="103"/>
        <v>0</v>
      </c>
      <c r="AI228" s="302">
        <f t="shared" si="103"/>
        <v>0</v>
      </c>
      <c r="AJ228" s="302">
        <f t="shared" si="103"/>
        <v>0</v>
      </c>
    </row>
    <row r="229" spans="9:36" x14ac:dyDescent="0.25">
      <c r="I229">
        <f t="shared" ref="I229:L229" si="110">I68</f>
        <v>56050</v>
      </c>
      <c r="J229">
        <f t="shared" si="110"/>
        <v>25650</v>
      </c>
      <c r="K229">
        <f t="shared" si="110"/>
        <v>0</v>
      </c>
      <c r="L229">
        <f t="shared" si="110"/>
        <v>0</v>
      </c>
      <c r="M229">
        <f t="shared" si="36"/>
        <v>2</v>
      </c>
      <c r="N229">
        <v>63</v>
      </c>
      <c r="P229">
        <f t="shared" si="106"/>
        <v>1.7536426549165166E-5</v>
      </c>
      <c r="Q229">
        <f t="shared" si="106"/>
        <v>7.9848349687778768</v>
      </c>
      <c r="R229" s="302">
        <f t="shared" si="37"/>
        <v>7.2544051022660067E-3</v>
      </c>
      <c r="S229" s="302">
        <f t="shared" si="100"/>
        <v>8.506186612342188E-3</v>
      </c>
      <c r="T229" s="302">
        <f t="shared" si="100"/>
        <v>4.1898940307668305E-3</v>
      </c>
      <c r="U229" s="302">
        <f t="shared" si="100"/>
        <v>1.3067866725314792E-2</v>
      </c>
      <c r="V229" s="302">
        <f t="shared" si="100"/>
        <v>2.9054232403091327E-3</v>
      </c>
      <c r="W229" s="302">
        <f t="shared" si="100"/>
        <v>2.9054232403091327E-3</v>
      </c>
      <c r="X229" s="302">
        <f t="shared" si="100"/>
        <v>0</v>
      </c>
      <c r="Y229" s="302">
        <f t="shared" si="100"/>
        <v>2.6151424305212714E-9</v>
      </c>
      <c r="Z229" s="302">
        <f t="shared" si="100"/>
        <v>1.956998252173418E-4</v>
      </c>
      <c r="AA229" s="302">
        <f t="shared" si="100"/>
        <v>2.7546166934824058E-4</v>
      </c>
      <c r="AB229" s="302">
        <f t="shared" si="38"/>
        <v>1.3729422089354991E-9</v>
      </c>
      <c r="AC229" s="302">
        <f t="shared" si="103"/>
        <v>1.4819058763113326E-9</v>
      </c>
      <c r="AD229" s="302">
        <f t="shared" si="103"/>
        <v>1.0678439402831659E-9</v>
      </c>
      <c r="AE229" s="302">
        <f t="shared" si="103"/>
        <v>6.7252375504364274E-7</v>
      </c>
      <c r="AF229" s="302">
        <f t="shared" si="103"/>
        <v>2.203724794475802E-5</v>
      </c>
      <c r="AG229" s="302">
        <f t="shared" si="103"/>
        <v>1.6633085897586195E-5</v>
      </c>
      <c r="AH229" s="302">
        <f t="shared" si="103"/>
        <v>1.0765610336732327E-7</v>
      </c>
      <c r="AI229" s="302">
        <f t="shared" si="103"/>
        <v>1.6744446765644297E-5</v>
      </c>
      <c r="AJ229" s="302">
        <f t="shared" si="103"/>
        <v>7.4287069870148084E-6</v>
      </c>
    </row>
    <row r="230" spans="9:36" x14ac:dyDescent="0.25">
      <c r="I230">
        <f t="shared" ref="I230:L230" si="111">I69</f>
        <v>175000</v>
      </c>
      <c r="J230">
        <f t="shared" si="111"/>
        <v>26400</v>
      </c>
      <c r="K230">
        <f t="shared" si="111"/>
        <v>0</v>
      </c>
      <c r="L230">
        <f t="shared" si="111"/>
        <v>0</v>
      </c>
      <c r="M230">
        <f t="shared" si="36"/>
        <v>2</v>
      </c>
      <c r="N230">
        <v>64</v>
      </c>
      <c r="P230">
        <f t="shared" si="106"/>
        <v>5.7142857142857145E-6</v>
      </c>
      <c r="Q230">
        <f t="shared" si="106"/>
        <v>8.0560342857142846</v>
      </c>
      <c r="R230" s="302">
        <f t="shared" si="37"/>
        <v>7.5288898684931502E-3</v>
      </c>
      <c r="S230" s="302">
        <f t="shared" si="100"/>
        <v>4.7078463217221133E-3</v>
      </c>
      <c r="T230" s="302">
        <f t="shared" si="100"/>
        <v>2.9025375198434445E-2</v>
      </c>
      <c r="U230" s="302">
        <f t="shared" si="100"/>
        <v>2.1167981391780822E-2</v>
      </c>
      <c r="V230" s="302">
        <f t="shared" si="100"/>
        <v>9.5685115960861059E-3</v>
      </c>
      <c r="W230" s="302">
        <f t="shared" si="100"/>
        <v>9.5685115960861059E-3</v>
      </c>
      <c r="X230" s="302">
        <f t="shared" si="100"/>
        <v>8.4362879060665368E-5</v>
      </c>
      <c r="Y230" s="302">
        <f t="shared" si="100"/>
        <v>4.2607514677103719E-7</v>
      </c>
      <c r="Z230" s="302">
        <f t="shared" si="100"/>
        <v>1.2103374669275929E-3</v>
      </c>
      <c r="AA230" s="302">
        <f t="shared" si="100"/>
        <v>9.2728154442270067E-4</v>
      </c>
      <c r="AB230" s="302">
        <f t="shared" si="38"/>
        <v>1.3492305283757339E-7</v>
      </c>
      <c r="AC230" s="302">
        <f t="shared" si="103"/>
        <v>2.4996270841487282E-10</v>
      </c>
      <c r="AD230" s="302">
        <f t="shared" si="103"/>
        <v>9.2315772994129154E-10</v>
      </c>
      <c r="AE230" s="302">
        <f t="shared" si="103"/>
        <v>1.3492305283757341E-9</v>
      </c>
      <c r="AF230" s="302">
        <f t="shared" si="103"/>
        <v>4.3743473972602735E-8</v>
      </c>
      <c r="AG230" s="302">
        <f t="shared" si="103"/>
        <v>7.2432375733855188E-6</v>
      </c>
      <c r="AH230" s="302">
        <f t="shared" si="103"/>
        <v>4.267829197651664E-10</v>
      </c>
      <c r="AI230" s="302">
        <f t="shared" si="103"/>
        <v>9.9416986301369861E-8</v>
      </c>
      <c r="AJ230" s="302">
        <f t="shared" si="103"/>
        <v>0</v>
      </c>
    </row>
    <row r="231" spans="9:36" x14ac:dyDescent="0.25">
      <c r="I231">
        <f t="shared" ref="I231:L231" si="112">I70</f>
        <v>80000</v>
      </c>
      <c r="J231">
        <f t="shared" si="112"/>
        <v>0</v>
      </c>
      <c r="K231">
        <f t="shared" si="112"/>
        <v>0</v>
      </c>
      <c r="L231">
        <f t="shared" si="112"/>
        <v>0</v>
      </c>
      <c r="M231">
        <f t="shared" si="36"/>
        <v>1</v>
      </c>
      <c r="N231">
        <v>65</v>
      </c>
      <c r="P231">
        <f t="shared" si="106"/>
        <v>1.2994718063119994E-5</v>
      </c>
      <c r="Q231">
        <f t="shared" si="106"/>
        <v>8.0762499999999999</v>
      </c>
      <c r="R231" s="302">
        <f t="shared" si="37"/>
        <v>1.1371005716919557E-2</v>
      </c>
      <c r="S231" s="302">
        <f t="shared" si="100"/>
        <v>8.5213910539155731E-3</v>
      </c>
      <c r="T231" s="302">
        <f t="shared" si="100"/>
        <v>1.1352596101619633E-3</v>
      </c>
      <c r="U231" s="302">
        <f t="shared" si="100"/>
        <v>9.583981129998892E-3</v>
      </c>
      <c r="V231" s="302">
        <f t="shared" si="100"/>
        <v>3.3763880411474155E-3</v>
      </c>
      <c r="W231" s="302">
        <f t="shared" si="100"/>
        <v>3.3763880411474155E-3</v>
      </c>
      <c r="X231" s="302">
        <f t="shared" si="100"/>
        <v>2.2931275198150609E-5</v>
      </c>
      <c r="Y231" s="302">
        <f t="shared" si="100"/>
        <v>3.5527327771782646E-8</v>
      </c>
      <c r="Z231" s="302">
        <f t="shared" si="100"/>
        <v>1.4953775234850328E-4</v>
      </c>
      <c r="AA231" s="302">
        <f t="shared" si="100"/>
        <v>2.6225627409715908E-4</v>
      </c>
      <c r="AB231" s="302">
        <f t="shared" si="38"/>
        <v>2.0993305249659668E-8</v>
      </c>
      <c r="AC231" s="302">
        <f t="shared" si="103"/>
        <v>1.2709024024217044E-9</v>
      </c>
      <c r="AD231" s="302">
        <f t="shared" si="103"/>
        <v>4.5216349768497741E-9</v>
      </c>
      <c r="AE231" s="302">
        <f t="shared" si="103"/>
        <v>0</v>
      </c>
      <c r="AF231" s="302">
        <f t="shared" si="103"/>
        <v>2.6716403234643809E-5</v>
      </c>
      <c r="AG231" s="302">
        <f t="shared" si="103"/>
        <v>1.7728038848520291E-5</v>
      </c>
      <c r="AH231" s="302">
        <f t="shared" si="103"/>
        <v>0</v>
      </c>
      <c r="AI231" s="302">
        <f t="shared" si="103"/>
        <v>6.5240733237403875E-7</v>
      </c>
      <c r="AJ231" s="302">
        <f t="shared" si="103"/>
        <v>0</v>
      </c>
    </row>
    <row r="232" spans="9:36" x14ac:dyDescent="0.25">
      <c r="I232">
        <f t="shared" ref="I232:L232" si="113">I71</f>
        <v>185000</v>
      </c>
      <c r="J232">
        <f t="shared" si="113"/>
        <v>90000</v>
      </c>
      <c r="K232">
        <f t="shared" si="113"/>
        <v>27000</v>
      </c>
      <c r="L232">
        <f t="shared" si="113"/>
        <v>0</v>
      </c>
      <c r="M232">
        <f t="shared" ref="M232:M295" si="114">IF(AND(K232&gt;0,L232&gt;0),5,IF(K232&gt;0,4,IF(L232&gt;0,3,IF(J232&gt;0,2,IF(I232&gt;0,1,0)))))</f>
        <v>4</v>
      </c>
      <c r="N232">
        <v>66</v>
      </c>
      <c r="P232">
        <f t="shared" si="106"/>
        <v>3.9258236338528303E-6</v>
      </c>
      <c r="Q232">
        <f t="shared" si="106"/>
        <v>8.3271486486486488</v>
      </c>
      <c r="R232" s="302">
        <f t="shared" ref="R232:AA295" si="115">R71*$P71*907.185/365</f>
        <v>9.8110582986295929E-4</v>
      </c>
      <c r="S232" s="302">
        <f t="shared" si="115"/>
        <v>3.009375037755683E-3</v>
      </c>
      <c r="T232" s="302">
        <f t="shared" si="115"/>
        <v>7.5112408535903152E-4</v>
      </c>
      <c r="U232" s="302">
        <f t="shared" si="115"/>
        <v>6.3881649608282399E-3</v>
      </c>
      <c r="V232" s="302">
        <f t="shared" si="115"/>
        <v>2.3223570220356335E-3</v>
      </c>
      <c r="W232" s="302">
        <f t="shared" si="115"/>
        <v>2.3223570220356335E-3</v>
      </c>
      <c r="X232" s="302">
        <f t="shared" si="115"/>
        <v>5.239719847204468E-5</v>
      </c>
      <c r="Y232" s="302">
        <f t="shared" si="115"/>
        <v>4.1468918716236476E-7</v>
      </c>
      <c r="Z232" s="302">
        <f t="shared" si="115"/>
        <v>9.2207360439631667E-5</v>
      </c>
      <c r="AA232" s="302">
        <f t="shared" si="115"/>
        <v>9.6890908906406629E-5</v>
      </c>
      <c r="AB232" s="302">
        <f t="shared" ref="AB232:AJ295" si="116">AB71*$P71*0.45359/365</f>
        <v>2.6588748395430727E-8</v>
      </c>
      <c r="AC232" s="302">
        <f t="shared" si="116"/>
        <v>5.171389596175517E-11</v>
      </c>
      <c r="AD232" s="302">
        <f t="shared" si="116"/>
        <v>4.2981077681421046E-8</v>
      </c>
      <c r="AE232" s="302">
        <f t="shared" si="116"/>
        <v>0</v>
      </c>
      <c r="AF232" s="302">
        <f t="shared" si="116"/>
        <v>3.9925079150247129E-5</v>
      </c>
      <c r="AG232" s="302">
        <f t="shared" si="116"/>
        <v>2.9608644772820007E-5</v>
      </c>
      <c r="AH232" s="302">
        <f t="shared" si="116"/>
        <v>1.7563209949275341E-6</v>
      </c>
      <c r="AI232" s="302">
        <f t="shared" si="116"/>
        <v>3.2394365017552299E-7</v>
      </c>
      <c r="AJ232" s="302">
        <f t="shared" si="116"/>
        <v>0</v>
      </c>
    </row>
    <row r="233" spans="9:36" x14ac:dyDescent="0.25">
      <c r="I233">
        <f t="shared" ref="I233:L233" si="117">I72</f>
        <v>52500</v>
      </c>
      <c r="J233">
        <f t="shared" si="117"/>
        <v>15500</v>
      </c>
      <c r="K233">
        <f t="shared" si="117"/>
        <v>0</v>
      </c>
      <c r="L233">
        <f t="shared" si="117"/>
        <v>5500</v>
      </c>
      <c r="M233">
        <f t="shared" si="114"/>
        <v>3</v>
      </c>
      <c r="N233">
        <v>67</v>
      </c>
      <c r="P233">
        <f t="shared" si="106"/>
        <v>1.8608649528565026E-5</v>
      </c>
      <c r="Q233">
        <f t="shared" si="106"/>
        <v>8.3792190476190491</v>
      </c>
      <c r="R233" s="302">
        <f t="shared" si="115"/>
        <v>1.6545245487658681E-2</v>
      </c>
      <c r="S233" s="302">
        <f t="shared" si="115"/>
        <v>5.1841430023221037E-2</v>
      </c>
      <c r="T233" s="302">
        <f t="shared" si="115"/>
        <v>3.7479677783185887E-2</v>
      </c>
      <c r="U233" s="302">
        <f t="shared" si="115"/>
        <v>2.0471925782580048E-2</v>
      </c>
      <c r="V233" s="302">
        <f t="shared" si="115"/>
        <v>3.2736210986399838E-3</v>
      </c>
      <c r="W233" s="302">
        <f t="shared" si="115"/>
        <v>3.2736210986399838E-3</v>
      </c>
      <c r="X233" s="302">
        <f t="shared" si="115"/>
        <v>1.1562662823678946E-7</v>
      </c>
      <c r="Y233" s="302">
        <f t="shared" si="115"/>
        <v>0</v>
      </c>
      <c r="Z233" s="302">
        <f t="shared" si="115"/>
        <v>2.7426636217766466E-4</v>
      </c>
      <c r="AA233" s="302">
        <f t="shared" si="115"/>
        <v>4.7129413669315379E-4</v>
      </c>
      <c r="AB233" s="302">
        <f t="shared" si="116"/>
        <v>0</v>
      </c>
      <c r="AC233" s="302">
        <f t="shared" si="116"/>
        <v>4.5787892417891467E-10</v>
      </c>
      <c r="AD233" s="302">
        <f t="shared" si="116"/>
        <v>1.6372640319124825E-9</v>
      </c>
      <c r="AE233" s="302">
        <f t="shared" si="116"/>
        <v>0</v>
      </c>
      <c r="AF233" s="302">
        <f t="shared" si="116"/>
        <v>1.0545090375029549E-5</v>
      </c>
      <c r="AG233" s="302">
        <f t="shared" si="116"/>
        <v>1.3662367091156705E-4</v>
      </c>
      <c r="AH233" s="302">
        <f t="shared" si="116"/>
        <v>0</v>
      </c>
      <c r="AI233" s="302">
        <f t="shared" si="116"/>
        <v>4.2087860707354778E-6</v>
      </c>
      <c r="AJ233" s="302">
        <f t="shared" si="116"/>
        <v>9.3888304654868352E-6</v>
      </c>
    </row>
    <row r="234" spans="9:36" x14ac:dyDescent="0.25">
      <c r="I234">
        <f t="shared" ref="I234:L234" si="118">I73</f>
        <v>29450</v>
      </c>
      <c r="J234">
        <f t="shared" si="118"/>
        <v>0</v>
      </c>
      <c r="K234">
        <f t="shared" si="118"/>
        <v>0</v>
      </c>
      <c r="L234">
        <f t="shared" si="118"/>
        <v>0</v>
      </c>
      <c r="M234">
        <f t="shared" si="114"/>
        <v>1</v>
      </c>
      <c r="N234">
        <v>68</v>
      </c>
      <c r="P234">
        <f t="shared" si="106"/>
        <v>3.3955857385398982E-5</v>
      </c>
      <c r="Q234">
        <f t="shared" si="106"/>
        <v>8.3820033955857376</v>
      </c>
      <c r="R234" s="302">
        <f t="shared" si="115"/>
        <v>3.5115994757773793E-2</v>
      </c>
      <c r="S234" s="302">
        <f t="shared" si="115"/>
        <v>1.6319497960322813E-2</v>
      </c>
      <c r="T234" s="302">
        <f t="shared" si="115"/>
        <v>1.1058301793148359E-2</v>
      </c>
      <c r="U234" s="302">
        <f t="shared" si="115"/>
        <v>1.7593021382887177E-2</v>
      </c>
      <c r="V234" s="302">
        <f t="shared" si="115"/>
        <v>4.3708269088541061E-3</v>
      </c>
      <c r="W234" s="302">
        <f t="shared" si="115"/>
        <v>4.5953181152173402E-3</v>
      </c>
      <c r="X234" s="302">
        <f t="shared" si="115"/>
        <v>1.4988585808312211E-3</v>
      </c>
      <c r="Y234" s="302">
        <f t="shared" si="115"/>
        <v>7.7474784752424576E-8</v>
      </c>
      <c r="Z234" s="302">
        <f t="shared" si="115"/>
        <v>1.4068678233365116E-3</v>
      </c>
      <c r="AA234" s="302">
        <f t="shared" si="115"/>
        <v>1.0760386771170082E-3</v>
      </c>
      <c r="AB234" s="302">
        <f t="shared" si="116"/>
        <v>8.017498895271763E-8</v>
      </c>
      <c r="AC234" s="302">
        <f t="shared" si="116"/>
        <v>0</v>
      </c>
      <c r="AD234" s="302">
        <f t="shared" si="116"/>
        <v>0</v>
      </c>
      <c r="AE234" s="302">
        <f t="shared" si="116"/>
        <v>0</v>
      </c>
      <c r="AF234" s="302">
        <f t="shared" si="116"/>
        <v>0</v>
      </c>
      <c r="AG234" s="302">
        <f t="shared" si="116"/>
        <v>0</v>
      </c>
      <c r="AH234" s="302">
        <f t="shared" si="116"/>
        <v>0</v>
      </c>
      <c r="AI234" s="302">
        <f t="shared" si="116"/>
        <v>0</v>
      </c>
      <c r="AJ234" s="302">
        <f t="shared" si="116"/>
        <v>0</v>
      </c>
    </row>
    <row r="235" spans="9:36" x14ac:dyDescent="0.25">
      <c r="I235">
        <f t="shared" ref="I235:L235" si="119">I74</f>
        <v>35000</v>
      </c>
      <c r="J235">
        <f t="shared" si="119"/>
        <v>1500</v>
      </c>
      <c r="K235">
        <f t="shared" si="119"/>
        <v>0</v>
      </c>
      <c r="L235">
        <f t="shared" si="119"/>
        <v>8500</v>
      </c>
      <c r="M235">
        <f t="shared" si="114"/>
        <v>3</v>
      </c>
      <c r="N235">
        <v>69</v>
      </c>
      <c r="P235">
        <f t="shared" si="106"/>
        <v>2.8083334516591648E-5</v>
      </c>
      <c r="Q235">
        <f t="shared" si="106"/>
        <v>8.4003485714285713</v>
      </c>
      <c r="R235" s="302">
        <f t="shared" si="115"/>
        <v>3.1004194054167763E-2</v>
      </c>
      <c r="S235" s="302">
        <f t="shared" si="115"/>
        <v>5.2276258215783668E-2</v>
      </c>
      <c r="T235" s="302">
        <f t="shared" si="115"/>
        <v>8.0045948223326953E-3</v>
      </c>
      <c r="U235" s="302">
        <f t="shared" si="115"/>
        <v>2.8100539148264027E-2</v>
      </c>
      <c r="V235" s="302">
        <f t="shared" si="115"/>
        <v>8.947584672783641E-3</v>
      </c>
      <c r="W235" s="302">
        <f t="shared" si="115"/>
        <v>9.3712670112171895E-3</v>
      </c>
      <c r="X235" s="302">
        <f t="shared" si="115"/>
        <v>4.8859577743572427E-6</v>
      </c>
      <c r="Y235" s="302">
        <f t="shared" si="115"/>
        <v>0</v>
      </c>
      <c r="Z235" s="302">
        <f t="shared" si="115"/>
        <v>1.4315856278866721E-3</v>
      </c>
      <c r="AA235" s="302">
        <f t="shared" si="115"/>
        <v>2.1107337585223288E-3</v>
      </c>
      <c r="AB235" s="302">
        <f t="shared" si="116"/>
        <v>6.7705041711119907E-13</v>
      </c>
      <c r="AC235" s="302">
        <f t="shared" si="116"/>
        <v>0</v>
      </c>
      <c r="AD235" s="302">
        <f t="shared" si="116"/>
        <v>0</v>
      </c>
      <c r="AE235" s="302">
        <f t="shared" si="116"/>
        <v>0</v>
      </c>
      <c r="AF235" s="302">
        <f t="shared" si="116"/>
        <v>0</v>
      </c>
      <c r="AG235" s="302">
        <f t="shared" si="116"/>
        <v>2.5802461195119868E-4</v>
      </c>
      <c r="AH235" s="302">
        <f t="shared" si="116"/>
        <v>0</v>
      </c>
      <c r="AI235" s="302">
        <f t="shared" si="116"/>
        <v>7.5557430569368333E-7</v>
      </c>
      <c r="AJ235" s="302">
        <f t="shared" si="116"/>
        <v>0</v>
      </c>
    </row>
    <row r="236" spans="9:36" x14ac:dyDescent="0.25">
      <c r="I236">
        <f t="shared" ref="I236:L236" si="120">I75</f>
        <v>72000</v>
      </c>
      <c r="J236">
        <f t="shared" si="120"/>
        <v>15000</v>
      </c>
      <c r="K236">
        <f t="shared" si="120"/>
        <v>32000</v>
      </c>
      <c r="L236">
        <f t="shared" si="120"/>
        <v>15000</v>
      </c>
      <c r="M236">
        <f t="shared" si="114"/>
        <v>5</v>
      </c>
      <c r="N236">
        <v>70</v>
      </c>
      <c r="P236">
        <f t="shared" si="106"/>
        <v>2.8571428571428571E-5</v>
      </c>
      <c r="Q236">
        <f t="shared" si="106"/>
        <v>8.4029999999999987</v>
      </c>
      <c r="R236" s="302">
        <f t="shared" si="115"/>
        <v>1.2629577475538159E-2</v>
      </c>
      <c r="S236" s="302">
        <f t="shared" si="115"/>
        <v>1.0494230864970644E-2</v>
      </c>
      <c r="T236" s="302">
        <f t="shared" si="115"/>
        <v>3.0638353679060662E-2</v>
      </c>
      <c r="U236" s="302">
        <f t="shared" si="115"/>
        <v>1.3291414203522502E-2</v>
      </c>
      <c r="V236" s="302">
        <f t="shared" si="115"/>
        <v>2.8000238395303328E-3</v>
      </c>
      <c r="W236" s="302">
        <f t="shared" si="115"/>
        <v>2.8632249863013697E-3</v>
      </c>
      <c r="X236" s="302">
        <f t="shared" si="115"/>
        <v>2.0593632093933464E-4</v>
      </c>
      <c r="Y236" s="302">
        <f t="shared" si="115"/>
        <v>2.6132609001956945E-8</v>
      </c>
      <c r="Z236" s="302">
        <f t="shared" si="115"/>
        <v>6.2988109197651646E-4</v>
      </c>
      <c r="AA236" s="302">
        <f t="shared" si="115"/>
        <v>6.4905447358121324E-4</v>
      </c>
      <c r="AB236" s="302">
        <f t="shared" si="116"/>
        <v>9.0611481800391389E-7</v>
      </c>
      <c r="AC236" s="302">
        <f t="shared" si="116"/>
        <v>2.929250489236791E-9</v>
      </c>
      <c r="AD236" s="302">
        <f t="shared" si="116"/>
        <v>1.0296759295499021E-8</v>
      </c>
      <c r="AE236" s="302">
        <f t="shared" si="116"/>
        <v>0</v>
      </c>
      <c r="AF236" s="302">
        <f t="shared" si="116"/>
        <v>3.4536750919765159E-6</v>
      </c>
      <c r="AG236" s="302">
        <f t="shared" si="116"/>
        <v>7.1012133072407034E-5</v>
      </c>
      <c r="AH236" s="302">
        <f t="shared" si="116"/>
        <v>0</v>
      </c>
      <c r="AI236" s="302">
        <f t="shared" si="116"/>
        <v>0</v>
      </c>
      <c r="AJ236" s="302">
        <f t="shared" si="116"/>
        <v>2.1303639921722114E-5</v>
      </c>
    </row>
    <row r="237" spans="9:36" x14ac:dyDescent="0.25">
      <c r="I237">
        <f t="shared" ref="I237:L237" si="121">I76</f>
        <v>52000</v>
      </c>
      <c r="J237">
        <f t="shared" si="121"/>
        <v>26000</v>
      </c>
      <c r="K237">
        <f t="shared" si="121"/>
        <v>14000</v>
      </c>
      <c r="L237">
        <f t="shared" si="121"/>
        <v>0</v>
      </c>
      <c r="M237">
        <f t="shared" si="114"/>
        <v>4</v>
      </c>
      <c r="N237">
        <v>71</v>
      </c>
      <c r="P237">
        <f t="shared" si="106"/>
        <v>1.8813967489464178E-5</v>
      </c>
      <c r="Q237">
        <f t="shared" si="106"/>
        <v>8.4808750000000011</v>
      </c>
      <c r="R237" s="302">
        <f t="shared" si="115"/>
        <v>8.819583992251738E-3</v>
      </c>
      <c r="S237" s="302">
        <f t="shared" si="115"/>
        <v>2.0134332619605285E-2</v>
      </c>
      <c r="T237" s="302">
        <f t="shared" si="115"/>
        <v>1.165703882842074E-2</v>
      </c>
      <c r="U237" s="302">
        <f t="shared" si="115"/>
        <v>1.6229792757704961E-2</v>
      </c>
      <c r="V237" s="302">
        <f t="shared" si="115"/>
        <v>6.0129913873264986E-3</v>
      </c>
      <c r="W237" s="302">
        <f t="shared" si="115"/>
        <v>7.1562967720386287E-3</v>
      </c>
      <c r="X237" s="302">
        <f t="shared" si="115"/>
        <v>3.6941155579655757E-5</v>
      </c>
      <c r="Y237" s="302">
        <f t="shared" si="115"/>
        <v>9.8198008502882405E-7</v>
      </c>
      <c r="Z237" s="302">
        <f t="shared" si="115"/>
        <v>1.9125231179847093E-4</v>
      </c>
      <c r="AA237" s="302">
        <f t="shared" si="115"/>
        <v>1.7675641530518832E-4</v>
      </c>
      <c r="AB237" s="302">
        <f t="shared" si="116"/>
        <v>1.1456371182568678E-7</v>
      </c>
      <c r="AC237" s="302">
        <f t="shared" si="116"/>
        <v>1.7652163760896635E-9</v>
      </c>
      <c r="AD237" s="302">
        <f t="shared" si="116"/>
        <v>6.3126943250888646E-9</v>
      </c>
      <c r="AE237" s="302">
        <f t="shared" si="116"/>
        <v>0</v>
      </c>
      <c r="AF237" s="302">
        <f t="shared" si="116"/>
        <v>1.8704279481744781E-6</v>
      </c>
      <c r="AG237" s="302">
        <f t="shared" si="116"/>
        <v>4.0588286475386177E-5</v>
      </c>
      <c r="AH237" s="302">
        <f t="shared" si="116"/>
        <v>0</v>
      </c>
      <c r="AI237" s="302">
        <f t="shared" si="116"/>
        <v>1.8704279481744784E-7</v>
      </c>
      <c r="AJ237" s="302">
        <f t="shared" si="116"/>
        <v>1.1690174676090488E-7</v>
      </c>
    </row>
    <row r="238" spans="9:36" x14ac:dyDescent="0.25">
      <c r="I238">
        <f t="shared" ref="I238:L238" si="122">I77</f>
        <v>70000</v>
      </c>
      <c r="J238">
        <f t="shared" si="122"/>
        <v>27075</v>
      </c>
      <c r="K238">
        <f t="shared" si="122"/>
        <v>0</v>
      </c>
      <c r="L238">
        <f t="shared" si="122"/>
        <v>0</v>
      </c>
      <c r="M238">
        <f t="shared" si="114"/>
        <v>2</v>
      </c>
      <c r="N238">
        <v>72</v>
      </c>
      <c r="P238">
        <f t="shared" si="106"/>
        <v>1.4285714285714285E-5</v>
      </c>
      <c r="Q238">
        <f t="shared" si="106"/>
        <v>8.4930714285714295</v>
      </c>
      <c r="R238" s="302">
        <f t="shared" si="115"/>
        <v>6.424858150684931E-3</v>
      </c>
      <c r="S238" s="302">
        <f t="shared" si="115"/>
        <v>3.3144740729941294E-2</v>
      </c>
      <c r="T238" s="302">
        <f t="shared" si="115"/>
        <v>1.5044003307240702E-3</v>
      </c>
      <c r="U238" s="302">
        <f t="shared" si="115"/>
        <v>6.5533908199608597E-3</v>
      </c>
      <c r="V238" s="302">
        <f t="shared" si="115"/>
        <v>2.2699153444227004E-3</v>
      </c>
      <c r="W238" s="302">
        <f t="shared" si="115"/>
        <v>2.2770165968688839E-3</v>
      </c>
      <c r="X238" s="302">
        <f t="shared" si="115"/>
        <v>5.1732624070450095E-4</v>
      </c>
      <c r="Y238" s="302">
        <f t="shared" si="115"/>
        <v>6.5686585127201565E-7</v>
      </c>
      <c r="Z238" s="302">
        <f t="shared" si="115"/>
        <v>3.2594748727984336E-4</v>
      </c>
      <c r="AA238" s="302">
        <f t="shared" si="115"/>
        <v>6.8065504696673178E-4</v>
      </c>
      <c r="AB238" s="302">
        <f t="shared" si="116"/>
        <v>0</v>
      </c>
      <c r="AC238" s="302">
        <f t="shared" si="116"/>
        <v>0</v>
      </c>
      <c r="AD238" s="302">
        <f t="shared" si="116"/>
        <v>0</v>
      </c>
      <c r="AE238" s="302">
        <f t="shared" si="116"/>
        <v>0</v>
      </c>
      <c r="AF238" s="302">
        <f t="shared" si="116"/>
        <v>2.5173801174168292E-5</v>
      </c>
      <c r="AG238" s="302">
        <f t="shared" si="116"/>
        <v>5.8016912720156556E-5</v>
      </c>
      <c r="AH238" s="302">
        <f t="shared" si="116"/>
        <v>0</v>
      </c>
      <c r="AI238" s="302">
        <f t="shared" si="116"/>
        <v>1.9670360861056751E-5</v>
      </c>
      <c r="AJ238" s="302">
        <f t="shared" si="116"/>
        <v>8.4859499021526407E-6</v>
      </c>
    </row>
    <row r="239" spans="9:36" x14ac:dyDescent="0.25">
      <c r="I239">
        <f t="shared" ref="I239:L239" si="123">I78</f>
        <v>70000</v>
      </c>
      <c r="J239">
        <f t="shared" si="123"/>
        <v>24000</v>
      </c>
      <c r="K239">
        <f t="shared" si="123"/>
        <v>0</v>
      </c>
      <c r="L239">
        <f t="shared" si="123"/>
        <v>0</v>
      </c>
      <c r="M239">
        <f t="shared" si="114"/>
        <v>2</v>
      </c>
      <c r="N239">
        <v>73</v>
      </c>
      <c r="P239">
        <f t="shared" si="106"/>
        <v>1.4108551039958852E-5</v>
      </c>
      <c r="Q239">
        <f t="shared" si="106"/>
        <v>8.4985714285714309</v>
      </c>
      <c r="R239" s="302">
        <f t="shared" si="115"/>
        <v>1.0700019071654717E-2</v>
      </c>
      <c r="S239" s="302">
        <f t="shared" si="115"/>
        <v>9.3170186384566398E-3</v>
      </c>
      <c r="T239" s="302">
        <f t="shared" si="115"/>
        <v>5.2873116460059051E-2</v>
      </c>
      <c r="U239" s="302">
        <f t="shared" si="115"/>
        <v>1.6767477615170535E-2</v>
      </c>
      <c r="V239" s="302">
        <f t="shared" si="115"/>
        <v>2.7151552622344658E-3</v>
      </c>
      <c r="W239" s="302">
        <f t="shared" si="115"/>
        <v>5.805165357909284E-3</v>
      </c>
      <c r="X239" s="302">
        <f t="shared" si="115"/>
        <v>3.2120395456628837E-4</v>
      </c>
      <c r="Y239" s="302">
        <f t="shared" si="115"/>
        <v>4.5585714076001616E-8</v>
      </c>
      <c r="Z239" s="302">
        <f t="shared" si="115"/>
        <v>2.808781305759792E-4</v>
      </c>
      <c r="AA239" s="302">
        <f t="shared" si="115"/>
        <v>3.517113170633048E-4</v>
      </c>
      <c r="AB239" s="302">
        <f t="shared" si="116"/>
        <v>2.1214773085260469E-8</v>
      </c>
      <c r="AC239" s="302">
        <f t="shared" si="116"/>
        <v>0</v>
      </c>
      <c r="AD239" s="302">
        <f t="shared" si="116"/>
        <v>0</v>
      </c>
      <c r="AE239" s="302">
        <f t="shared" si="116"/>
        <v>0</v>
      </c>
      <c r="AF239" s="302">
        <f t="shared" si="116"/>
        <v>8.5069486784862644E-5</v>
      </c>
      <c r="AG239" s="302">
        <f t="shared" si="116"/>
        <v>1.2100135121538563E-4</v>
      </c>
      <c r="AH239" s="302">
        <f t="shared" si="116"/>
        <v>0</v>
      </c>
      <c r="AI239" s="302">
        <f t="shared" si="116"/>
        <v>0</v>
      </c>
      <c r="AJ239" s="302">
        <f t="shared" si="116"/>
        <v>0</v>
      </c>
    </row>
    <row r="240" spans="9:36" x14ac:dyDescent="0.25">
      <c r="I240">
        <f t="shared" ref="I240:L240" si="124">I79</f>
        <v>78000</v>
      </c>
      <c r="J240">
        <f t="shared" si="124"/>
        <v>33200</v>
      </c>
      <c r="K240">
        <f t="shared" si="124"/>
        <v>0</v>
      </c>
      <c r="L240">
        <f t="shared" si="124"/>
        <v>0</v>
      </c>
      <c r="M240">
        <f t="shared" si="114"/>
        <v>2</v>
      </c>
      <c r="N240">
        <v>74</v>
      </c>
      <c r="P240">
        <f t="shared" si="106"/>
        <v>1.282051282051282E-5</v>
      </c>
      <c r="Q240">
        <f t="shared" si="106"/>
        <v>8.5403846153846175</v>
      </c>
      <c r="R240" s="302">
        <f t="shared" si="115"/>
        <v>5.6053007850368807E-3</v>
      </c>
      <c r="S240" s="302">
        <f t="shared" si="115"/>
        <v>7.1322521443624868E-3</v>
      </c>
      <c r="T240" s="302">
        <f t="shared" si="115"/>
        <v>2.9761531085353001E-3</v>
      </c>
      <c r="U240" s="302">
        <f t="shared" si="115"/>
        <v>9.0664330189673317E-3</v>
      </c>
      <c r="V240" s="302">
        <f t="shared" si="115"/>
        <v>6.0029709220231807E-3</v>
      </c>
      <c r="W240" s="302">
        <f t="shared" si="115"/>
        <v>6.1087613751317172E-3</v>
      </c>
      <c r="X240" s="302">
        <f t="shared" si="115"/>
        <v>2.4726925184404632E-4</v>
      </c>
      <c r="Y240" s="302">
        <f t="shared" si="115"/>
        <v>3.8237513171759735E-8</v>
      </c>
      <c r="Z240" s="302">
        <f t="shared" si="115"/>
        <v>1.2522785563751315E-4</v>
      </c>
      <c r="AA240" s="302">
        <f t="shared" si="115"/>
        <v>2.3484206006322439E-4</v>
      </c>
      <c r="AB240" s="302">
        <f t="shared" si="116"/>
        <v>2.5013568668774145E-8</v>
      </c>
      <c r="AC240" s="302">
        <f t="shared" si="116"/>
        <v>2.0552550052687038E-8</v>
      </c>
      <c r="AD240" s="302">
        <f t="shared" si="116"/>
        <v>1.4498310502283104E-8</v>
      </c>
      <c r="AE240" s="302">
        <f t="shared" si="116"/>
        <v>2.5024721215314358E-6</v>
      </c>
      <c r="AF240" s="302">
        <f t="shared" si="116"/>
        <v>6.3712905163329816E-6</v>
      </c>
      <c r="AG240" s="302">
        <f t="shared" si="116"/>
        <v>2.7403400070249385E-10</v>
      </c>
      <c r="AH240" s="302">
        <f t="shared" si="116"/>
        <v>2.0651329750614681E-6</v>
      </c>
      <c r="AI240" s="302">
        <f t="shared" si="116"/>
        <v>2.4376280295047415E-10</v>
      </c>
      <c r="AJ240" s="302">
        <f t="shared" si="116"/>
        <v>0</v>
      </c>
    </row>
    <row r="241" spans="9:36" x14ac:dyDescent="0.25">
      <c r="I241">
        <f t="shared" ref="I241:L241" si="125">I80</f>
        <v>170000</v>
      </c>
      <c r="J241">
        <f t="shared" si="125"/>
        <v>53200</v>
      </c>
      <c r="K241">
        <f t="shared" si="125"/>
        <v>0</v>
      </c>
      <c r="L241">
        <f t="shared" si="125"/>
        <v>29500</v>
      </c>
      <c r="M241">
        <f t="shared" si="114"/>
        <v>3</v>
      </c>
      <c r="N241">
        <v>75</v>
      </c>
      <c r="P241">
        <f t="shared" si="106"/>
        <v>5.8094033693948212E-6</v>
      </c>
      <c r="Q241">
        <f t="shared" si="106"/>
        <v>8.596552941176471</v>
      </c>
      <c r="R241" s="302">
        <f t="shared" si="115"/>
        <v>7.9341832214181104E-3</v>
      </c>
      <c r="S241" s="302">
        <f t="shared" si="115"/>
        <v>1.3480603241151209E-2</v>
      </c>
      <c r="T241" s="302">
        <f t="shared" si="115"/>
        <v>3.0015614341554076E-3</v>
      </c>
      <c r="U241" s="302">
        <f t="shared" si="115"/>
        <v>1.243306003330065E-2</v>
      </c>
      <c r="V241" s="302">
        <f t="shared" si="115"/>
        <v>4.5029197077915408E-3</v>
      </c>
      <c r="W241" s="302">
        <f t="shared" si="115"/>
        <v>5.1948324647894586E-3</v>
      </c>
      <c r="X241" s="302">
        <f t="shared" si="115"/>
        <v>9.9094266512452195E-4</v>
      </c>
      <c r="Y241" s="302">
        <f t="shared" si="115"/>
        <v>4.5482578976282159E-7</v>
      </c>
      <c r="Z241" s="302">
        <f t="shared" si="115"/>
        <v>2.360762432578455E-4</v>
      </c>
      <c r="AA241" s="302">
        <f t="shared" si="115"/>
        <v>3.1736732885672439E-4</v>
      </c>
      <c r="AB241" s="302">
        <f t="shared" si="116"/>
        <v>4.0428736263597976E-8</v>
      </c>
      <c r="AC241" s="302">
        <f t="shared" si="116"/>
        <v>4.4255027374259933E-8</v>
      </c>
      <c r="AD241" s="302">
        <f t="shared" si="116"/>
        <v>1.3139339285669342E-7</v>
      </c>
      <c r="AE241" s="302">
        <f t="shared" si="116"/>
        <v>1.6474710027416177E-6</v>
      </c>
      <c r="AF241" s="302">
        <f t="shared" si="116"/>
        <v>1.1516414301373483E-5</v>
      </c>
      <c r="AG241" s="302">
        <f t="shared" si="116"/>
        <v>8.4423864619020509E-6</v>
      </c>
      <c r="AH241" s="302">
        <f t="shared" si="116"/>
        <v>1.3283727629467907E-7</v>
      </c>
      <c r="AI241" s="302">
        <f t="shared" si="116"/>
        <v>8.2305687615495568E-5</v>
      </c>
      <c r="AJ241" s="302">
        <f t="shared" si="116"/>
        <v>0</v>
      </c>
    </row>
    <row r="242" spans="9:36" x14ac:dyDescent="0.25">
      <c r="I242">
        <f t="shared" ref="I242:L242" si="126">I81</f>
        <v>26500</v>
      </c>
      <c r="J242">
        <f t="shared" si="126"/>
        <v>11000</v>
      </c>
      <c r="K242">
        <f t="shared" si="126"/>
        <v>0</v>
      </c>
      <c r="L242">
        <f t="shared" si="126"/>
        <v>0</v>
      </c>
      <c r="M242">
        <f t="shared" si="114"/>
        <v>2</v>
      </c>
      <c r="N242">
        <v>76</v>
      </c>
      <c r="P242">
        <f t="shared" si="106"/>
        <v>3.7735849056603776E-5</v>
      </c>
      <c r="Q242">
        <f t="shared" si="106"/>
        <v>8.6056603773584897</v>
      </c>
      <c r="R242" s="302">
        <f t="shared" si="115"/>
        <v>1.4569358273455674E-2</v>
      </c>
      <c r="S242" s="302">
        <f t="shared" si="115"/>
        <v>1.2975864021711036E-2</v>
      </c>
      <c r="T242" s="302">
        <f t="shared" si="115"/>
        <v>4.2251514153528048E-2</v>
      </c>
      <c r="U242" s="302">
        <f t="shared" si="115"/>
        <v>1.2899894019126388E-2</v>
      </c>
      <c r="V242" s="302">
        <f t="shared" si="115"/>
        <v>3.9654465546652877E-3</v>
      </c>
      <c r="W242" s="302">
        <f t="shared" si="115"/>
        <v>3.967322357198242E-3</v>
      </c>
      <c r="X242" s="302">
        <f t="shared" si="115"/>
        <v>1.3224407857327475E-6</v>
      </c>
      <c r="Y242" s="302">
        <f t="shared" si="115"/>
        <v>1.6038111656758853E-10</v>
      </c>
      <c r="Z242" s="302">
        <f t="shared" si="115"/>
        <v>2.2884790902041871E-4</v>
      </c>
      <c r="AA242" s="302">
        <f t="shared" si="115"/>
        <v>3.2076223313517701E-4</v>
      </c>
      <c r="AB242" s="302">
        <f t="shared" si="116"/>
        <v>0</v>
      </c>
      <c r="AC242" s="302">
        <f t="shared" si="116"/>
        <v>2.7245881623158443E-11</v>
      </c>
      <c r="AD242" s="302">
        <f t="shared" si="116"/>
        <v>9.7072246058413037E-11</v>
      </c>
      <c r="AE242" s="302">
        <f t="shared" si="116"/>
        <v>0</v>
      </c>
      <c r="AF242" s="302">
        <f t="shared" si="116"/>
        <v>5.580481778237271E-7</v>
      </c>
      <c r="AG242" s="302">
        <f t="shared" si="116"/>
        <v>6.051305619023003E-6</v>
      </c>
      <c r="AH242" s="302">
        <f t="shared" si="116"/>
        <v>0</v>
      </c>
      <c r="AI242" s="302">
        <f t="shared" si="116"/>
        <v>4.2205324373223061E-7</v>
      </c>
      <c r="AJ242" s="302">
        <f t="shared" si="116"/>
        <v>1.0316857069010083E-6</v>
      </c>
    </row>
    <row r="243" spans="9:36" x14ac:dyDescent="0.25">
      <c r="I243">
        <f t="shared" ref="I243:L243" si="127">I82</f>
        <v>3923500</v>
      </c>
      <c r="J243">
        <f t="shared" si="127"/>
        <v>183825</v>
      </c>
      <c r="K243">
        <f t="shared" si="127"/>
        <v>31050</v>
      </c>
      <c r="L243">
        <f t="shared" si="127"/>
        <v>0</v>
      </c>
      <c r="M243">
        <f t="shared" si="114"/>
        <v>4</v>
      </c>
      <c r="N243">
        <v>77</v>
      </c>
      <c r="P243">
        <f t="shared" si="106"/>
        <v>2.5990903183885641E-6</v>
      </c>
      <c r="Q243">
        <f t="shared" si="106"/>
        <v>8.624350707276669</v>
      </c>
      <c r="R243" s="302">
        <f t="shared" si="115"/>
        <v>8.3403494779566868E-3</v>
      </c>
      <c r="S243" s="302">
        <f t="shared" si="115"/>
        <v>1.3679245483724532E-2</v>
      </c>
      <c r="T243" s="302">
        <f t="shared" si="115"/>
        <v>4.504538064033752E-3</v>
      </c>
      <c r="U243" s="302">
        <f t="shared" si="115"/>
        <v>1.6458156132339984E-2</v>
      </c>
      <c r="V243" s="302">
        <f t="shared" si="115"/>
        <v>2.7579160426179604E-3</v>
      </c>
      <c r="W243" s="302">
        <f t="shared" si="115"/>
        <v>2.7579160426179604E-3</v>
      </c>
      <c r="X243" s="302">
        <f t="shared" si="115"/>
        <v>1.070401911933563E-4</v>
      </c>
      <c r="Y243" s="302">
        <f t="shared" si="115"/>
        <v>2.7583682341317529E-7</v>
      </c>
      <c r="Z243" s="302">
        <f t="shared" si="115"/>
        <v>2.510954877299794E-4</v>
      </c>
      <c r="AA243" s="302">
        <f t="shared" si="115"/>
        <v>3.3320054687708612E-4</v>
      </c>
      <c r="AB243" s="302">
        <f t="shared" si="116"/>
        <v>7.8487094448449894E-9</v>
      </c>
      <c r="AC243" s="302">
        <f t="shared" si="116"/>
        <v>2.2286458917461085E-10</v>
      </c>
      <c r="AD243" s="302">
        <f t="shared" si="116"/>
        <v>1.9379529493444415E-12</v>
      </c>
      <c r="AE243" s="302">
        <f t="shared" si="116"/>
        <v>1.2105746090238279E-7</v>
      </c>
      <c r="AF243" s="302">
        <f t="shared" si="116"/>
        <v>1.1654526045199248E-6</v>
      </c>
      <c r="AG243" s="302">
        <f t="shared" si="116"/>
        <v>8.3803545372818138E-6</v>
      </c>
      <c r="AH243" s="302">
        <f t="shared" si="116"/>
        <v>0</v>
      </c>
      <c r="AI243" s="302">
        <f t="shared" si="116"/>
        <v>1.0914389514628784E-5</v>
      </c>
      <c r="AJ243" s="302">
        <f t="shared" si="116"/>
        <v>1.1304725537842576E-7</v>
      </c>
    </row>
    <row r="244" spans="9:36" x14ac:dyDescent="0.25">
      <c r="I244">
        <f t="shared" ref="I244:L244" si="128">I83</f>
        <v>45000</v>
      </c>
      <c r="J244">
        <f t="shared" si="128"/>
        <v>25600</v>
      </c>
      <c r="K244">
        <f t="shared" si="128"/>
        <v>7200</v>
      </c>
      <c r="L244">
        <f t="shared" si="128"/>
        <v>0</v>
      </c>
      <c r="M244">
        <f t="shared" si="114"/>
        <v>4</v>
      </c>
      <c r="N244">
        <v>78</v>
      </c>
      <c r="P244">
        <f t="shared" si="106"/>
        <v>2.2222222222222223E-5</v>
      </c>
      <c r="Q244">
        <f t="shared" si="106"/>
        <v>8.6755555555555546</v>
      </c>
      <c r="R244" s="302">
        <f t="shared" si="115"/>
        <v>7.8841418575342465E-2</v>
      </c>
      <c r="S244" s="302">
        <f t="shared" si="115"/>
        <v>2.4432411360730592E-2</v>
      </c>
      <c r="T244" s="302">
        <f t="shared" si="115"/>
        <v>1.3426890319634703E-3</v>
      </c>
      <c r="U244" s="302">
        <f t="shared" si="115"/>
        <v>1.7650478566210045E-2</v>
      </c>
      <c r="V244" s="302">
        <f t="shared" si="115"/>
        <v>2.1164888401826484E-3</v>
      </c>
      <c r="W244" s="302">
        <f t="shared" si="115"/>
        <v>2.6119195525114154E-3</v>
      </c>
      <c r="X244" s="302">
        <f t="shared" si="115"/>
        <v>4.1644900456621004E-4</v>
      </c>
      <c r="Y244" s="302">
        <f t="shared" si="115"/>
        <v>6.517371689497717E-8</v>
      </c>
      <c r="Z244" s="302">
        <f t="shared" si="115"/>
        <v>6.2246422831050232E-4</v>
      </c>
      <c r="AA244" s="302">
        <f t="shared" si="115"/>
        <v>5.4237788127853889E-4</v>
      </c>
      <c r="AB244" s="302">
        <f t="shared" si="116"/>
        <v>1.1874806697108067E-7</v>
      </c>
      <c r="AC244" s="302">
        <f t="shared" si="116"/>
        <v>0</v>
      </c>
      <c r="AD244" s="302">
        <f t="shared" si="116"/>
        <v>0</v>
      </c>
      <c r="AE244" s="302">
        <f t="shared" si="116"/>
        <v>0</v>
      </c>
      <c r="AF244" s="302">
        <f t="shared" si="116"/>
        <v>0</v>
      </c>
      <c r="AG244" s="302">
        <f t="shared" si="116"/>
        <v>4.8327701674277024E-5</v>
      </c>
      <c r="AH244" s="302">
        <f t="shared" si="116"/>
        <v>0</v>
      </c>
      <c r="AI244" s="302">
        <f t="shared" si="116"/>
        <v>0</v>
      </c>
      <c r="AJ244" s="302">
        <f t="shared" si="116"/>
        <v>2.7615829528158294E-7</v>
      </c>
    </row>
    <row r="245" spans="9:36" x14ac:dyDescent="0.25">
      <c r="I245">
        <f t="shared" ref="I245:L245" si="129">I84</f>
        <v>245000</v>
      </c>
      <c r="J245">
        <f t="shared" si="129"/>
        <v>130000</v>
      </c>
      <c r="K245">
        <f t="shared" si="129"/>
        <v>50000</v>
      </c>
      <c r="L245">
        <f t="shared" si="129"/>
        <v>0</v>
      </c>
      <c r="M245">
        <f t="shared" si="114"/>
        <v>4</v>
      </c>
      <c r="N245">
        <v>79</v>
      </c>
      <c r="P245">
        <f t="shared" ref="P245:Q264" si="130">P84</f>
        <v>4.0310145828453861E-6</v>
      </c>
      <c r="Q245">
        <f t="shared" si="130"/>
        <v>8.6777959183673463</v>
      </c>
      <c r="R245" s="302">
        <f t="shared" si="115"/>
        <v>2.7054870833150496E-3</v>
      </c>
      <c r="S245" s="302">
        <f t="shared" si="115"/>
        <v>6.139544084785448E-3</v>
      </c>
      <c r="T245" s="302">
        <f t="shared" si="115"/>
        <v>2.1655718895665383E-3</v>
      </c>
      <c r="U245" s="302">
        <f t="shared" si="115"/>
        <v>3.6859305952881304E-3</v>
      </c>
      <c r="V245" s="302">
        <f t="shared" si="115"/>
        <v>1.8578933666491735E-3</v>
      </c>
      <c r="W245" s="302">
        <f t="shared" si="115"/>
        <v>2.1412261125984757E-3</v>
      </c>
      <c r="X245" s="302">
        <f t="shared" si="115"/>
        <v>2.77121066229056E-4</v>
      </c>
      <c r="Y245" s="302">
        <f t="shared" si="115"/>
        <v>4.7890046875447859E-7</v>
      </c>
      <c r="Z245" s="302">
        <f t="shared" si="115"/>
        <v>1.8795340572874515E-4</v>
      </c>
      <c r="AA245" s="302">
        <f t="shared" si="115"/>
        <v>2.4345776968062404E-4</v>
      </c>
      <c r="AB245" s="302">
        <f t="shared" si="116"/>
        <v>4.0075132156336185E-8</v>
      </c>
      <c r="AC245" s="302">
        <f t="shared" si="116"/>
        <v>3.336254752014988E-8</v>
      </c>
      <c r="AD245" s="302">
        <f t="shared" si="116"/>
        <v>1.0619910021429091E-7</v>
      </c>
      <c r="AE245" s="302">
        <f t="shared" si="116"/>
        <v>1.824420391417205E-6</v>
      </c>
      <c r="AF245" s="302">
        <f t="shared" si="116"/>
        <v>9.1852202902322542E-6</v>
      </c>
      <c r="AG245" s="302">
        <f t="shared" si="116"/>
        <v>1.6249464211090418E-5</v>
      </c>
      <c r="AH245" s="302">
        <f t="shared" si="116"/>
        <v>1.462742323706271E-7</v>
      </c>
      <c r="AI245" s="302">
        <f t="shared" si="116"/>
        <v>4.8190346417994269E-6</v>
      </c>
      <c r="AJ245" s="302">
        <f t="shared" si="116"/>
        <v>3.1058227421160553E-8</v>
      </c>
    </row>
    <row r="246" spans="9:36" x14ac:dyDescent="0.25">
      <c r="I246">
        <f t="shared" ref="I246:L246" si="131">I85</f>
        <v>60000</v>
      </c>
      <c r="J246">
        <f t="shared" si="131"/>
        <v>15000</v>
      </c>
      <c r="K246">
        <f t="shared" si="131"/>
        <v>6500</v>
      </c>
      <c r="L246">
        <f t="shared" si="131"/>
        <v>0</v>
      </c>
      <c r="M246">
        <f t="shared" si="114"/>
        <v>4</v>
      </c>
      <c r="N246">
        <v>80</v>
      </c>
      <c r="P246">
        <f t="shared" si="130"/>
        <v>1.6459976213285328E-5</v>
      </c>
      <c r="Q246">
        <f t="shared" si="130"/>
        <v>8.7366666666666681</v>
      </c>
      <c r="R246" s="302">
        <f t="shared" si="115"/>
        <v>8.1705963726683723E-3</v>
      </c>
      <c r="S246" s="302">
        <f t="shared" si="115"/>
        <v>1.4494094676911066E-2</v>
      </c>
      <c r="T246" s="302">
        <f t="shared" si="115"/>
        <v>1.5819586978505575E-2</v>
      </c>
      <c r="U246" s="302">
        <f t="shared" si="115"/>
        <v>1.7521862739905188E-2</v>
      </c>
      <c r="V246" s="302">
        <f t="shared" si="115"/>
        <v>1.3737664039365309E-3</v>
      </c>
      <c r="W246" s="302">
        <f t="shared" si="115"/>
        <v>1.8818717862144258E-3</v>
      </c>
      <c r="X246" s="302">
        <f t="shared" si="115"/>
        <v>4.500128184425801E-6</v>
      </c>
      <c r="Y246" s="302">
        <f t="shared" si="115"/>
        <v>6.9547435577489643E-8</v>
      </c>
      <c r="Z246" s="302">
        <f t="shared" si="115"/>
        <v>4.0746615197164533E-4</v>
      </c>
      <c r="AA246" s="302">
        <f t="shared" si="115"/>
        <v>3.4160063945414036E-4</v>
      </c>
      <c r="AB246" s="302">
        <f t="shared" si="116"/>
        <v>0</v>
      </c>
      <c r="AC246" s="302">
        <f t="shared" si="116"/>
        <v>0</v>
      </c>
      <c r="AD246" s="302">
        <f t="shared" si="116"/>
        <v>0</v>
      </c>
      <c r="AE246" s="302">
        <f t="shared" si="116"/>
        <v>0</v>
      </c>
      <c r="AF246" s="302">
        <f t="shared" si="116"/>
        <v>0</v>
      </c>
      <c r="AG246" s="302">
        <f t="shared" si="116"/>
        <v>5.3551230242490834E-5</v>
      </c>
      <c r="AH246" s="302">
        <f t="shared" si="116"/>
        <v>0</v>
      </c>
      <c r="AI246" s="302">
        <f t="shared" si="116"/>
        <v>0</v>
      </c>
      <c r="AJ246" s="302">
        <f t="shared" si="116"/>
        <v>0</v>
      </c>
    </row>
    <row r="247" spans="9:36" x14ac:dyDescent="0.25">
      <c r="I247">
        <f t="shared" ref="I247:L247" si="132">I86</f>
        <v>66700</v>
      </c>
      <c r="J247">
        <f t="shared" si="132"/>
        <v>27000</v>
      </c>
      <c r="K247">
        <f t="shared" si="132"/>
        <v>0</v>
      </c>
      <c r="L247">
        <f t="shared" si="132"/>
        <v>0</v>
      </c>
      <c r="M247">
        <f t="shared" si="114"/>
        <v>2</v>
      </c>
      <c r="N247">
        <v>81</v>
      </c>
      <c r="P247">
        <f t="shared" si="130"/>
        <v>1.4992503748125937E-5</v>
      </c>
      <c r="Q247">
        <f t="shared" si="130"/>
        <v>8.7511244377811082</v>
      </c>
      <c r="R247" s="302">
        <f t="shared" si="115"/>
        <v>9.4163459160830527E-3</v>
      </c>
      <c r="S247" s="302">
        <f t="shared" si="115"/>
        <v>1.4428211866669403E-2</v>
      </c>
      <c r="T247" s="302">
        <f t="shared" si="115"/>
        <v>3.6966330837321065E-2</v>
      </c>
      <c r="U247" s="302">
        <f t="shared" si="115"/>
        <v>1.3804430186276724E-2</v>
      </c>
      <c r="V247" s="302">
        <f t="shared" si="115"/>
        <v>4.3470950319360862E-3</v>
      </c>
      <c r="W247" s="302">
        <f t="shared" si="115"/>
        <v>4.3470950319360862E-3</v>
      </c>
      <c r="X247" s="302">
        <f t="shared" si="115"/>
        <v>3.4505486024111231E-4</v>
      </c>
      <c r="Y247" s="302">
        <f t="shared" si="115"/>
        <v>1.8929575486229484E-8</v>
      </c>
      <c r="Z247" s="302">
        <f t="shared" si="115"/>
        <v>5.6788726458688462E-4</v>
      </c>
      <c r="AA247" s="302">
        <f t="shared" si="115"/>
        <v>4.7286675771703181E-4</v>
      </c>
      <c r="AB247" s="302">
        <f t="shared" si="116"/>
        <v>6.8936066213468614E-9</v>
      </c>
      <c r="AC247" s="302">
        <f t="shared" si="116"/>
        <v>1.1365135240598879E-9</v>
      </c>
      <c r="AD247" s="302">
        <f t="shared" si="116"/>
        <v>8.3841161610975335E-9</v>
      </c>
      <c r="AE247" s="302">
        <f t="shared" si="116"/>
        <v>0</v>
      </c>
      <c r="AF247" s="302">
        <f t="shared" si="116"/>
        <v>5.9993008974964582E-7</v>
      </c>
      <c r="AG247" s="302">
        <f t="shared" si="116"/>
        <v>1.1178821548130046E-5</v>
      </c>
      <c r="AH247" s="302">
        <f t="shared" si="116"/>
        <v>0</v>
      </c>
      <c r="AI247" s="302">
        <f t="shared" si="116"/>
        <v>0</v>
      </c>
      <c r="AJ247" s="302">
        <f t="shared" si="116"/>
        <v>0</v>
      </c>
    </row>
    <row r="248" spans="9:36" x14ac:dyDescent="0.25">
      <c r="I248">
        <f t="shared" ref="I248:L248" si="133">I87</f>
        <v>327000</v>
      </c>
      <c r="J248">
        <f t="shared" si="133"/>
        <v>173100</v>
      </c>
      <c r="K248">
        <f t="shared" si="133"/>
        <v>81600</v>
      </c>
      <c r="L248">
        <f t="shared" si="133"/>
        <v>53400</v>
      </c>
      <c r="M248">
        <f t="shared" si="114"/>
        <v>5</v>
      </c>
      <c r="N248">
        <v>82</v>
      </c>
      <c r="P248">
        <f t="shared" si="130"/>
        <v>3.0201791217037297E-6</v>
      </c>
      <c r="Q248">
        <f t="shared" si="130"/>
        <v>8.774898776758409</v>
      </c>
      <c r="R248" s="302">
        <f t="shared" si="115"/>
        <v>9.6696832770869524E-3</v>
      </c>
      <c r="S248" s="302">
        <f t="shared" si="115"/>
        <v>1.0523093741286066E-2</v>
      </c>
      <c r="T248" s="302">
        <f t="shared" si="115"/>
        <v>2.0832102985791776E-2</v>
      </c>
      <c r="U248" s="302">
        <f t="shared" si="115"/>
        <v>1.4770253919347984E-2</v>
      </c>
      <c r="V248" s="302">
        <f t="shared" si="115"/>
        <v>2.632743883442304E-3</v>
      </c>
      <c r="W248" s="302">
        <f t="shared" si="115"/>
        <v>2.6328940128229352E-3</v>
      </c>
      <c r="X248" s="302">
        <f t="shared" si="115"/>
        <v>1.5313196824401393E-5</v>
      </c>
      <c r="Y248" s="302">
        <f t="shared" si="115"/>
        <v>7.5064690315693091E-10</v>
      </c>
      <c r="Z248" s="302">
        <f t="shared" si="115"/>
        <v>6.2889197546487665E-4</v>
      </c>
      <c r="AA248" s="302">
        <f t="shared" si="115"/>
        <v>6.8451491098880533E-4</v>
      </c>
      <c r="AB248" s="302">
        <f t="shared" si="116"/>
        <v>2.2294090147980149E-12</v>
      </c>
      <c r="AC248" s="302">
        <f t="shared" si="116"/>
        <v>1.6138819467393033E-9</v>
      </c>
      <c r="AD248" s="302">
        <f t="shared" si="116"/>
        <v>5.8174814359207454E-9</v>
      </c>
      <c r="AE248" s="302">
        <f t="shared" si="116"/>
        <v>1.5140464588712442E-5</v>
      </c>
      <c r="AF248" s="302">
        <f t="shared" si="116"/>
        <v>2.393424459152683E-5</v>
      </c>
      <c r="AG248" s="302">
        <f t="shared" si="116"/>
        <v>3.4161752277258459E-5</v>
      </c>
      <c r="AH248" s="302">
        <f t="shared" si="116"/>
        <v>3.5993320626116093E-8</v>
      </c>
      <c r="AI248" s="302">
        <f t="shared" si="116"/>
        <v>2.2813084556340871E-4</v>
      </c>
      <c r="AJ248" s="302">
        <f t="shared" si="116"/>
        <v>2.5521854041458751E-7</v>
      </c>
    </row>
    <row r="249" spans="9:36" x14ac:dyDescent="0.25">
      <c r="I249">
        <f t="shared" ref="I249:L249" si="134">I88</f>
        <v>100000</v>
      </c>
      <c r="J249">
        <f t="shared" si="134"/>
        <v>25000</v>
      </c>
      <c r="K249">
        <f t="shared" si="134"/>
        <v>0</v>
      </c>
      <c r="L249">
        <f t="shared" si="134"/>
        <v>0</v>
      </c>
      <c r="M249">
        <f t="shared" si="114"/>
        <v>2</v>
      </c>
      <c r="N249">
        <v>83</v>
      </c>
      <c r="P249">
        <f t="shared" si="130"/>
        <v>8.8243526941917423E-6</v>
      </c>
      <c r="Q249">
        <f t="shared" si="130"/>
        <v>8.8930900000000008</v>
      </c>
      <c r="R249" s="302">
        <f t="shared" si="115"/>
        <v>8.9457810528638659E-3</v>
      </c>
      <c r="S249" s="302">
        <f t="shared" si="115"/>
        <v>2.2231103733460506E-2</v>
      </c>
      <c r="T249" s="302">
        <f t="shared" si="115"/>
        <v>1.0093283417985563E-3</v>
      </c>
      <c r="U249" s="302">
        <f t="shared" si="115"/>
        <v>5.3635646672498252E-3</v>
      </c>
      <c r="V249" s="302">
        <f t="shared" si="115"/>
        <v>9.8783460483717897E-4</v>
      </c>
      <c r="W249" s="302">
        <f t="shared" si="115"/>
        <v>9.9134378638189363E-4</v>
      </c>
      <c r="X249" s="302">
        <f t="shared" si="115"/>
        <v>4.1671530843486674E-4</v>
      </c>
      <c r="Y249" s="302">
        <f t="shared" si="115"/>
        <v>4.3864769308933349E-8</v>
      </c>
      <c r="Z249" s="302">
        <f t="shared" si="115"/>
        <v>1.2808512638208536E-4</v>
      </c>
      <c r="AA249" s="302">
        <f t="shared" si="115"/>
        <v>1.502368348830967E-4</v>
      </c>
      <c r="AB249" s="302">
        <f t="shared" si="116"/>
        <v>4.3864527545845833E-8</v>
      </c>
      <c r="AC249" s="302">
        <f t="shared" si="116"/>
        <v>1.5352584641046043E-9</v>
      </c>
      <c r="AD249" s="302">
        <f t="shared" si="116"/>
        <v>5.4830659432307291E-9</v>
      </c>
      <c r="AE249" s="302">
        <f t="shared" si="116"/>
        <v>0</v>
      </c>
      <c r="AF249" s="302">
        <f t="shared" si="116"/>
        <v>2.9169910817987482E-6</v>
      </c>
      <c r="AG249" s="302">
        <f t="shared" si="116"/>
        <v>1.7308942569590769E-4</v>
      </c>
      <c r="AH249" s="302">
        <f t="shared" si="116"/>
        <v>0</v>
      </c>
      <c r="AI249" s="302">
        <f t="shared" si="116"/>
        <v>0</v>
      </c>
      <c r="AJ249" s="302">
        <f t="shared" si="116"/>
        <v>1.9739037395630626E-7</v>
      </c>
    </row>
    <row r="250" spans="9:36" x14ac:dyDescent="0.25">
      <c r="I250">
        <f t="shared" ref="I250:L250" si="135">I89</f>
        <v>222300</v>
      </c>
      <c r="J250">
        <f t="shared" si="135"/>
        <v>100700</v>
      </c>
      <c r="K250">
        <f t="shared" si="135"/>
        <v>55800</v>
      </c>
      <c r="L250">
        <f t="shared" si="135"/>
        <v>58500</v>
      </c>
      <c r="M250">
        <f t="shared" si="114"/>
        <v>5</v>
      </c>
      <c r="N250">
        <v>84</v>
      </c>
      <c r="P250">
        <f t="shared" si="130"/>
        <v>4.4984255510571299E-6</v>
      </c>
      <c r="Q250">
        <f t="shared" si="130"/>
        <v>8.9470737741790369</v>
      </c>
      <c r="R250" s="302">
        <f t="shared" si="115"/>
        <v>7.5245164808755288E-3</v>
      </c>
      <c r="S250" s="302">
        <f t="shared" si="115"/>
        <v>4.8635433420220735E-3</v>
      </c>
      <c r="T250" s="302">
        <f t="shared" si="115"/>
        <v>1.1258823322795927E-2</v>
      </c>
      <c r="U250" s="302">
        <f t="shared" si="115"/>
        <v>2.2260493779232064E-2</v>
      </c>
      <c r="V250" s="302">
        <f t="shared" si="115"/>
        <v>1.1372865028746787E-3</v>
      </c>
      <c r="W250" s="302">
        <f t="shared" si="115"/>
        <v>1.4646532823100952E-3</v>
      </c>
      <c r="X250" s="302">
        <f t="shared" si="115"/>
        <v>4.1368069805704981E-4</v>
      </c>
      <c r="Y250" s="302">
        <f t="shared" si="115"/>
        <v>1.2298615347642021E-7</v>
      </c>
      <c r="Z250" s="302">
        <f t="shared" si="115"/>
        <v>8.6984752186049957E-5</v>
      </c>
      <c r="AA250" s="302">
        <f t="shared" si="115"/>
        <v>1.644660288761947E-4</v>
      </c>
      <c r="AB250" s="302">
        <f t="shared" si="116"/>
        <v>2.7951244461698679E-8</v>
      </c>
      <c r="AC250" s="302">
        <f t="shared" si="116"/>
        <v>1.4232773679896967E-7</v>
      </c>
      <c r="AD250" s="302">
        <f t="shared" si="116"/>
        <v>6.7082986708076832E-7</v>
      </c>
      <c r="AE250" s="302">
        <f t="shared" si="116"/>
        <v>3.1137686330332323E-6</v>
      </c>
      <c r="AF250" s="302">
        <f t="shared" si="116"/>
        <v>1.2237054825331681E-5</v>
      </c>
      <c r="AG250" s="302">
        <f t="shared" si="116"/>
        <v>1.9660905354358846E-5</v>
      </c>
      <c r="AH250" s="302">
        <f t="shared" si="116"/>
        <v>3.0578661441098356E-6</v>
      </c>
      <c r="AI250" s="302">
        <f t="shared" si="116"/>
        <v>1.5820404365321451E-6</v>
      </c>
      <c r="AJ250" s="302">
        <f t="shared" si="116"/>
        <v>3.3541493354038416E-7</v>
      </c>
    </row>
    <row r="251" spans="9:36" x14ac:dyDescent="0.25">
      <c r="I251">
        <f t="shared" ref="I251:L251" si="136">I90</f>
        <v>250000</v>
      </c>
      <c r="J251">
        <f t="shared" si="136"/>
        <v>200</v>
      </c>
      <c r="K251">
        <f t="shared" si="136"/>
        <v>70400</v>
      </c>
      <c r="L251">
        <f t="shared" si="136"/>
        <v>0</v>
      </c>
      <c r="M251">
        <f t="shared" si="114"/>
        <v>4</v>
      </c>
      <c r="N251">
        <v>85</v>
      </c>
      <c r="P251">
        <f t="shared" si="130"/>
        <v>3.9316668323228305E-6</v>
      </c>
      <c r="Q251">
        <f t="shared" si="130"/>
        <v>8.9984000000000002</v>
      </c>
      <c r="R251" s="302">
        <f t="shared" si="115"/>
        <v>2.7043776281067333E-3</v>
      </c>
      <c r="S251" s="302">
        <f t="shared" si="115"/>
        <v>3.1907258649662533E-3</v>
      </c>
      <c r="T251" s="302">
        <f t="shared" si="115"/>
        <v>3.1053193230704888E-3</v>
      </c>
      <c r="U251" s="302">
        <f t="shared" si="115"/>
        <v>4.6590538953160919E-3</v>
      </c>
      <c r="V251" s="302">
        <f t="shared" si="115"/>
        <v>1.7925601882561851E-3</v>
      </c>
      <c r="W251" s="302">
        <f t="shared" si="115"/>
        <v>2.2067916883661922E-3</v>
      </c>
      <c r="X251" s="302">
        <f t="shared" si="115"/>
        <v>2.233859894436131E-4</v>
      </c>
      <c r="Y251" s="302">
        <f t="shared" si="115"/>
        <v>4.5830283923470923E-7</v>
      </c>
      <c r="Z251" s="302">
        <f t="shared" si="115"/>
        <v>3.1768497448870787E-4</v>
      </c>
      <c r="AA251" s="302">
        <f t="shared" si="115"/>
        <v>4.3113691400928301E-4</v>
      </c>
      <c r="AB251" s="302">
        <f t="shared" si="116"/>
        <v>3.1514253951103748E-8</v>
      </c>
      <c r="AC251" s="302">
        <f t="shared" si="116"/>
        <v>1.1188781635353114E-8</v>
      </c>
      <c r="AD251" s="302">
        <f t="shared" si="116"/>
        <v>5.0960258714730547E-8</v>
      </c>
      <c r="AE251" s="302">
        <f t="shared" si="116"/>
        <v>1.8419959286149008E-6</v>
      </c>
      <c r="AF251" s="302">
        <f t="shared" si="116"/>
        <v>4.1072600463436181E-6</v>
      </c>
      <c r="AG251" s="302">
        <f t="shared" si="116"/>
        <v>7.6413515452447596E-6</v>
      </c>
      <c r="AH251" s="302">
        <f t="shared" si="116"/>
        <v>1.4794598599060796E-7</v>
      </c>
      <c r="AI251" s="302">
        <f t="shared" si="116"/>
        <v>1.792745745695967E-6</v>
      </c>
      <c r="AJ251" s="302">
        <f t="shared" si="116"/>
        <v>1.3680606366370615E-6</v>
      </c>
    </row>
    <row r="252" spans="9:36" x14ac:dyDescent="0.25">
      <c r="I252">
        <f t="shared" ref="I252:L252" si="137">I91</f>
        <v>30000</v>
      </c>
      <c r="J252">
        <f t="shared" si="137"/>
        <v>5000</v>
      </c>
      <c r="K252">
        <f t="shared" si="137"/>
        <v>0</v>
      </c>
      <c r="L252">
        <f t="shared" si="137"/>
        <v>0</v>
      </c>
      <c r="M252">
        <f t="shared" si="114"/>
        <v>2</v>
      </c>
      <c r="N252">
        <v>86</v>
      </c>
      <c r="P252">
        <f t="shared" si="130"/>
        <v>3.3333333333333335E-5</v>
      </c>
      <c r="Q252">
        <f t="shared" si="130"/>
        <v>9.0166666666666675</v>
      </c>
      <c r="R252" s="302">
        <f t="shared" si="115"/>
        <v>1.2223385835616435E-2</v>
      </c>
      <c r="S252" s="302">
        <f t="shared" si="115"/>
        <v>3.8413278273972604E-2</v>
      </c>
      <c r="T252" s="302">
        <f t="shared" si="115"/>
        <v>1.5634235739726027E-2</v>
      </c>
      <c r="U252" s="302">
        <f t="shared" si="115"/>
        <v>1.6218313753424658E-2</v>
      </c>
      <c r="V252" s="302">
        <f t="shared" si="115"/>
        <v>4.432365068493151E-3</v>
      </c>
      <c r="W252" s="302">
        <f t="shared" si="115"/>
        <v>4.564921780821918E-3</v>
      </c>
      <c r="X252" s="302">
        <f t="shared" si="115"/>
        <v>8.2317718356164377E-3</v>
      </c>
      <c r="Y252" s="302">
        <f t="shared" si="115"/>
        <v>4.4489346575342464E-8</v>
      </c>
      <c r="Z252" s="302">
        <f t="shared" si="115"/>
        <v>1.5873666301369864E-3</v>
      </c>
      <c r="AA252" s="302">
        <f t="shared" si="115"/>
        <v>1.1209326986301369E-3</v>
      </c>
      <c r="AB252" s="302">
        <f t="shared" si="116"/>
        <v>2.6221230136986302E-7</v>
      </c>
      <c r="AC252" s="302">
        <f t="shared" si="116"/>
        <v>0</v>
      </c>
      <c r="AD252" s="302">
        <f t="shared" si="116"/>
        <v>0</v>
      </c>
      <c r="AE252" s="302">
        <f t="shared" si="116"/>
        <v>0</v>
      </c>
      <c r="AF252" s="302">
        <f t="shared" si="116"/>
        <v>0</v>
      </c>
      <c r="AG252" s="302">
        <f t="shared" si="116"/>
        <v>9.2374949771689508E-6</v>
      </c>
      <c r="AH252" s="302">
        <f t="shared" si="116"/>
        <v>0</v>
      </c>
      <c r="AI252" s="302">
        <f t="shared" si="116"/>
        <v>0</v>
      </c>
      <c r="AJ252" s="302">
        <f t="shared" si="116"/>
        <v>7.78766392694064E-6</v>
      </c>
    </row>
    <row r="253" spans="9:36" x14ac:dyDescent="0.25">
      <c r="I253">
        <f t="shared" ref="I253:L253" si="138">I92</f>
        <v>9500</v>
      </c>
      <c r="J253">
        <f t="shared" si="138"/>
        <v>5000</v>
      </c>
      <c r="K253">
        <f t="shared" si="138"/>
        <v>0</v>
      </c>
      <c r="L253">
        <f t="shared" si="138"/>
        <v>0</v>
      </c>
      <c r="M253">
        <f t="shared" si="114"/>
        <v>2</v>
      </c>
      <c r="N253">
        <v>87</v>
      </c>
      <c r="P253">
        <f t="shared" si="130"/>
        <v>1.0526315789473685E-4</v>
      </c>
      <c r="Q253">
        <f t="shared" si="130"/>
        <v>9.0215789473684183</v>
      </c>
      <c r="R253" s="302">
        <f t="shared" si="115"/>
        <v>1.2660038111031001E-2</v>
      </c>
      <c r="S253" s="302">
        <f t="shared" si="115"/>
        <v>0.10733954197548666</v>
      </c>
      <c r="T253" s="302">
        <f t="shared" si="115"/>
        <v>4.5182653064167267E-3</v>
      </c>
      <c r="U253" s="302">
        <f t="shared" ref="S253:AA268" si="139">U92*$P92*907.185/365</f>
        <v>4.4123071449170881E-2</v>
      </c>
      <c r="V253" s="302">
        <f t="shared" si="139"/>
        <v>9.0077518529199721E-3</v>
      </c>
      <c r="W253" s="302">
        <f t="shared" si="139"/>
        <v>1.2241437966834896E-2</v>
      </c>
      <c r="X253" s="302">
        <f t="shared" si="139"/>
        <v>2.0877682191780822E-3</v>
      </c>
      <c r="Y253" s="302">
        <f t="shared" si="139"/>
        <v>0</v>
      </c>
      <c r="Z253" s="302">
        <f t="shared" si="139"/>
        <v>4.7877391492429707E-4</v>
      </c>
      <c r="AA253" s="302">
        <f t="shared" si="139"/>
        <v>5.5987769286229279E-4</v>
      </c>
      <c r="AB253" s="302">
        <f t="shared" si="116"/>
        <v>0</v>
      </c>
      <c r="AC253" s="302">
        <f t="shared" si="116"/>
        <v>0</v>
      </c>
      <c r="AD253" s="302">
        <f t="shared" si="116"/>
        <v>0</v>
      </c>
      <c r="AE253" s="302">
        <f t="shared" si="116"/>
        <v>0</v>
      </c>
      <c r="AF253" s="302">
        <f t="shared" si="116"/>
        <v>0</v>
      </c>
      <c r="AG253" s="302">
        <f t="shared" si="116"/>
        <v>4.0028418168709445E-4</v>
      </c>
      <c r="AH253" s="302">
        <f t="shared" si="116"/>
        <v>0</v>
      </c>
      <c r="AI253" s="302">
        <f t="shared" si="116"/>
        <v>0</v>
      </c>
      <c r="AJ253" s="302">
        <f t="shared" si="116"/>
        <v>0</v>
      </c>
    </row>
    <row r="254" spans="9:36" x14ac:dyDescent="0.25">
      <c r="I254">
        <f t="shared" ref="I254:L254" si="140">I93</f>
        <v>356000</v>
      </c>
      <c r="J254">
        <f t="shared" si="140"/>
        <v>180000</v>
      </c>
      <c r="K254">
        <f t="shared" si="140"/>
        <v>81000</v>
      </c>
      <c r="L254">
        <f t="shared" si="140"/>
        <v>52200</v>
      </c>
      <c r="M254">
        <f t="shared" si="114"/>
        <v>5</v>
      </c>
      <c r="N254">
        <v>88</v>
      </c>
      <c r="P254">
        <f t="shared" si="130"/>
        <v>3.0800049408972026E-6</v>
      </c>
      <c r="Q254">
        <f t="shared" si="130"/>
        <v>9.1148033707865181</v>
      </c>
      <c r="R254" s="302">
        <f t="shared" si="115"/>
        <v>1.2559671874785776E-2</v>
      </c>
      <c r="S254" s="302">
        <f t="shared" si="139"/>
        <v>1.3904913566374693E-2</v>
      </c>
      <c r="T254" s="302">
        <f t="shared" si="139"/>
        <v>1.3890215654533512E-2</v>
      </c>
      <c r="U254" s="302">
        <f t="shared" si="139"/>
        <v>2.2274991601806352E-2</v>
      </c>
      <c r="V254" s="302">
        <f t="shared" si="139"/>
        <v>1.6006179098294352E-3</v>
      </c>
      <c r="W254" s="302">
        <f t="shared" si="139"/>
        <v>2.8602748855931425E-3</v>
      </c>
      <c r="X254" s="302">
        <f t="shared" si="139"/>
        <v>1.3013776109378927E-6</v>
      </c>
      <c r="Y254" s="302">
        <f t="shared" si="139"/>
        <v>2.0668938526660652E-9</v>
      </c>
      <c r="Z254" s="302">
        <f t="shared" si="139"/>
        <v>2.1641144153655427E-4</v>
      </c>
      <c r="AA254" s="302">
        <f t="shared" si="139"/>
        <v>2.9931685051571536E-4</v>
      </c>
      <c r="AB254" s="302">
        <f t="shared" si="116"/>
        <v>1.0717168315606506E-9</v>
      </c>
      <c r="AC254" s="302">
        <f t="shared" si="116"/>
        <v>2.3195014283062647E-10</v>
      </c>
      <c r="AD254" s="302">
        <f t="shared" si="116"/>
        <v>8.4206322479765392E-10</v>
      </c>
      <c r="AE254" s="302">
        <f t="shared" si="116"/>
        <v>6.292508825306105E-8</v>
      </c>
      <c r="AF254" s="302">
        <f t="shared" si="116"/>
        <v>2.962582051036143E-4</v>
      </c>
      <c r="AG254" s="302">
        <f t="shared" si="116"/>
        <v>4.0593035673011483E-5</v>
      </c>
      <c r="AH254" s="302">
        <f t="shared" si="116"/>
        <v>7.4522595394592375E-8</v>
      </c>
      <c r="AI254" s="302">
        <f t="shared" si="116"/>
        <v>0</v>
      </c>
      <c r="AJ254" s="302">
        <f t="shared" si="116"/>
        <v>5.9327181747107424E-7</v>
      </c>
    </row>
    <row r="255" spans="9:36" x14ac:dyDescent="0.25">
      <c r="I255">
        <f t="shared" ref="I255:L255" si="141">I94</f>
        <v>32000</v>
      </c>
      <c r="J255">
        <f t="shared" si="141"/>
        <v>0</v>
      </c>
      <c r="K255">
        <f t="shared" si="141"/>
        <v>0</v>
      </c>
      <c r="L255">
        <f t="shared" si="141"/>
        <v>0</v>
      </c>
      <c r="M255">
        <f t="shared" si="114"/>
        <v>1</v>
      </c>
      <c r="N255">
        <v>89</v>
      </c>
      <c r="P255">
        <f t="shared" si="130"/>
        <v>2.2339016092743355E-6</v>
      </c>
      <c r="Q255">
        <f t="shared" si="130"/>
        <v>9.1417238636363649</v>
      </c>
      <c r="R255" s="302">
        <f t="shared" si="115"/>
        <v>4.1547297756267318E-4</v>
      </c>
      <c r="S255" s="302">
        <f t="shared" si="139"/>
        <v>5.1624585665879135E-4</v>
      </c>
      <c r="T255" s="302">
        <f t="shared" si="139"/>
        <v>1.1826238703841959E-5</v>
      </c>
      <c r="U255" s="302">
        <f t="shared" si="139"/>
        <v>3.4301644465885273E-4</v>
      </c>
      <c r="V255" s="302">
        <f t="shared" si="139"/>
        <v>1.9454995501531563E-4</v>
      </c>
      <c r="W255" s="302">
        <f t="shared" si="139"/>
        <v>1.9454995501531563E-4</v>
      </c>
      <c r="X255" s="302">
        <f t="shared" si="139"/>
        <v>0</v>
      </c>
      <c r="Y255" s="302">
        <f t="shared" si="139"/>
        <v>0</v>
      </c>
      <c r="Z255" s="302">
        <f t="shared" si="139"/>
        <v>3.1980814523065581E-5</v>
      </c>
      <c r="AA255" s="302">
        <f t="shared" si="139"/>
        <v>5.6854781374338823E-5</v>
      </c>
      <c r="AB255" s="302">
        <f t="shared" si="116"/>
        <v>0</v>
      </c>
      <c r="AC255" s="302">
        <f t="shared" si="116"/>
        <v>0</v>
      </c>
      <c r="AD255" s="302">
        <f t="shared" si="116"/>
        <v>0</v>
      </c>
      <c r="AE255" s="302">
        <f t="shared" si="116"/>
        <v>0</v>
      </c>
      <c r="AF255" s="302">
        <f t="shared" si="116"/>
        <v>0</v>
      </c>
      <c r="AG255" s="302">
        <f t="shared" si="116"/>
        <v>1.8572089405645176E-6</v>
      </c>
      <c r="AH255" s="302">
        <f t="shared" si="116"/>
        <v>0</v>
      </c>
      <c r="AI255" s="302">
        <f t="shared" si="116"/>
        <v>0</v>
      </c>
      <c r="AJ255" s="302">
        <f t="shared" ref="AC255:AJ270" si="142">AJ94*$P94*0.45359/365</f>
        <v>0</v>
      </c>
    </row>
    <row r="256" spans="9:36" x14ac:dyDescent="0.25">
      <c r="I256">
        <f t="shared" ref="I256:L256" si="143">I95</f>
        <v>190000</v>
      </c>
      <c r="J256">
        <f t="shared" si="143"/>
        <v>102000</v>
      </c>
      <c r="K256">
        <f t="shared" si="143"/>
        <v>0</v>
      </c>
      <c r="L256">
        <f t="shared" si="143"/>
        <v>18000</v>
      </c>
      <c r="M256">
        <f t="shared" si="114"/>
        <v>3</v>
      </c>
      <c r="N256">
        <v>90</v>
      </c>
      <c r="P256">
        <f t="shared" si="130"/>
        <v>0</v>
      </c>
      <c r="Q256">
        <f t="shared" si="130"/>
        <v>9.1492736842105256</v>
      </c>
      <c r="R256" s="302">
        <f t="shared" si="115"/>
        <v>0</v>
      </c>
      <c r="S256" s="302">
        <f t="shared" si="139"/>
        <v>0</v>
      </c>
      <c r="T256" s="302">
        <f t="shared" si="139"/>
        <v>0</v>
      </c>
      <c r="U256" s="302">
        <f t="shared" si="139"/>
        <v>0</v>
      </c>
      <c r="V256" s="302">
        <f t="shared" si="139"/>
        <v>0</v>
      </c>
      <c r="W256" s="302">
        <f t="shared" si="139"/>
        <v>0</v>
      </c>
      <c r="X256" s="302">
        <f t="shared" si="139"/>
        <v>0</v>
      </c>
      <c r="Y256" s="302">
        <f t="shared" si="139"/>
        <v>0</v>
      </c>
      <c r="Z256" s="302">
        <f t="shared" si="139"/>
        <v>0</v>
      </c>
      <c r="AA256" s="302">
        <f t="shared" si="139"/>
        <v>0</v>
      </c>
      <c r="AB256" s="302">
        <f t="shared" si="116"/>
        <v>0</v>
      </c>
      <c r="AC256" s="302">
        <f t="shared" si="142"/>
        <v>0</v>
      </c>
      <c r="AD256" s="302">
        <f t="shared" si="142"/>
        <v>0</v>
      </c>
      <c r="AE256" s="302">
        <f t="shared" si="142"/>
        <v>0</v>
      </c>
      <c r="AF256" s="302">
        <f t="shared" si="142"/>
        <v>0</v>
      </c>
      <c r="AG256" s="302">
        <f t="shared" si="142"/>
        <v>0</v>
      </c>
      <c r="AH256" s="302">
        <f t="shared" si="142"/>
        <v>0</v>
      </c>
      <c r="AI256" s="302">
        <f t="shared" si="142"/>
        <v>0</v>
      </c>
      <c r="AJ256" s="302">
        <f t="shared" si="142"/>
        <v>0</v>
      </c>
    </row>
    <row r="257" spans="9:36" x14ac:dyDescent="0.25">
      <c r="I257">
        <f t="shared" ref="I257:L257" si="144">I96</f>
        <v>189000</v>
      </c>
      <c r="J257">
        <f t="shared" si="144"/>
        <v>159500</v>
      </c>
      <c r="K257">
        <f t="shared" si="144"/>
        <v>28500</v>
      </c>
      <c r="L257">
        <f t="shared" si="144"/>
        <v>0</v>
      </c>
      <c r="M257">
        <f t="shared" si="114"/>
        <v>4</v>
      </c>
      <c r="N257">
        <v>91</v>
      </c>
      <c r="P257">
        <f t="shared" si="130"/>
        <v>5.2006175030725275E-6</v>
      </c>
      <c r="Q257">
        <f t="shared" si="130"/>
        <v>9.2486772486772484</v>
      </c>
      <c r="R257" s="302">
        <f t="shared" si="115"/>
        <v>8.2807936205402752E-3</v>
      </c>
      <c r="S257" s="302">
        <f t="shared" si="139"/>
        <v>7.0536168186950991E-3</v>
      </c>
      <c r="T257" s="302">
        <f t="shared" si="139"/>
        <v>2.4467273733018054E-3</v>
      </c>
      <c r="U257" s="302">
        <f t="shared" si="139"/>
        <v>1.1775158236200954E-2</v>
      </c>
      <c r="V257" s="302">
        <f t="shared" si="139"/>
        <v>4.2171761467243224E-3</v>
      </c>
      <c r="W257" s="302">
        <f t="shared" si="139"/>
        <v>4.2171761467243224E-3</v>
      </c>
      <c r="X257" s="302">
        <f t="shared" si="139"/>
        <v>2.8514346164635126E-4</v>
      </c>
      <c r="Y257" s="302">
        <f t="shared" si="139"/>
        <v>7.6650078312006488E-7</v>
      </c>
      <c r="Z257" s="302">
        <f t="shared" si="139"/>
        <v>5.9807742386113654E-4</v>
      </c>
      <c r="AA257" s="302">
        <f t="shared" si="139"/>
        <v>1.2155435690490877E-3</v>
      </c>
      <c r="AB257" s="302">
        <f t="shared" si="116"/>
        <v>9.1966661278086694E-8</v>
      </c>
      <c r="AC257" s="302">
        <f t="shared" si="142"/>
        <v>1.5569057415243205E-7</v>
      </c>
      <c r="AD257" s="302">
        <f t="shared" si="142"/>
        <v>9.5715126741283492E-8</v>
      </c>
      <c r="AE257" s="302">
        <f t="shared" si="142"/>
        <v>2.1306794722529603E-6</v>
      </c>
      <c r="AF257" s="302">
        <f t="shared" si="142"/>
        <v>2.4558911655427223E-9</v>
      </c>
      <c r="AG257" s="302">
        <f t="shared" si="142"/>
        <v>8.0457708989204658E-5</v>
      </c>
      <c r="AH257" s="302">
        <f t="shared" si="142"/>
        <v>1.1781814723116798E-7</v>
      </c>
      <c r="AI257" s="302">
        <f t="shared" si="142"/>
        <v>1.0451109483681939E-6</v>
      </c>
      <c r="AJ257" s="302">
        <f t="shared" si="142"/>
        <v>1.2657533809777427E-6</v>
      </c>
    </row>
    <row r="258" spans="9:36" x14ac:dyDescent="0.25">
      <c r="I258">
        <f t="shared" ref="I258:L258" si="145">I97</f>
        <v>239000</v>
      </c>
      <c r="J258">
        <f t="shared" si="145"/>
        <v>106200</v>
      </c>
      <c r="K258">
        <f t="shared" si="145"/>
        <v>61000</v>
      </c>
      <c r="L258">
        <f t="shared" si="145"/>
        <v>35100</v>
      </c>
      <c r="M258">
        <f t="shared" si="114"/>
        <v>5</v>
      </c>
      <c r="N258">
        <v>92</v>
      </c>
      <c r="P258">
        <f t="shared" si="130"/>
        <v>4.1126222095427099E-6</v>
      </c>
      <c r="Q258">
        <f t="shared" si="130"/>
        <v>9.2637112970711293</v>
      </c>
      <c r="R258" s="302">
        <f t="shared" si="115"/>
        <v>1.0549886775087558E-2</v>
      </c>
      <c r="S258" s="302">
        <f t="shared" si="139"/>
        <v>1.6086964863726301E-2</v>
      </c>
      <c r="T258" s="302">
        <f t="shared" si="139"/>
        <v>8.0183882345074044E-3</v>
      </c>
      <c r="U258" s="302">
        <f t="shared" si="139"/>
        <v>1.0286985448818797E-2</v>
      </c>
      <c r="V258" s="302">
        <f t="shared" si="139"/>
        <v>5.9919423584272298E-3</v>
      </c>
      <c r="W258" s="302">
        <f t="shared" si="139"/>
        <v>7.1345205174599751E-3</v>
      </c>
      <c r="X258" s="302">
        <f t="shared" si="139"/>
        <v>1.965626945625309E-4</v>
      </c>
      <c r="Y258" s="302">
        <f t="shared" si="139"/>
        <v>7.9217934626084999E-7</v>
      </c>
      <c r="Z258" s="302">
        <f t="shared" si="139"/>
        <v>3.5479413043502066E-4</v>
      </c>
      <c r="AA258" s="302">
        <f t="shared" si="139"/>
        <v>8.827433334591872E-4</v>
      </c>
      <c r="AB258" s="302">
        <f t="shared" si="116"/>
        <v>2.2998628455120958E-7</v>
      </c>
      <c r="AC258" s="302">
        <f t="shared" si="142"/>
        <v>3.4753482998849454E-10</v>
      </c>
      <c r="AD258" s="302">
        <f t="shared" si="142"/>
        <v>2.0085468850805638E-10</v>
      </c>
      <c r="AE258" s="302">
        <f t="shared" si="142"/>
        <v>0</v>
      </c>
      <c r="AF258" s="302">
        <f t="shared" si="142"/>
        <v>0</v>
      </c>
      <c r="AG258" s="302">
        <f t="shared" si="142"/>
        <v>2.1627194686310477E-5</v>
      </c>
      <c r="AH258" s="302">
        <f t="shared" si="142"/>
        <v>0</v>
      </c>
      <c r="AI258" s="302">
        <f t="shared" si="142"/>
        <v>3.5542080414543921E-6</v>
      </c>
      <c r="AJ258" s="302">
        <f t="shared" si="142"/>
        <v>4.3566046342219468E-6</v>
      </c>
    </row>
    <row r="259" spans="9:36" x14ac:dyDescent="0.25">
      <c r="I259">
        <f t="shared" ref="I259:L259" si="146">I98</f>
        <v>60000</v>
      </c>
      <c r="J259">
        <f t="shared" si="146"/>
        <v>27500</v>
      </c>
      <c r="K259">
        <f t="shared" si="146"/>
        <v>10000</v>
      </c>
      <c r="L259">
        <f t="shared" si="146"/>
        <v>5500</v>
      </c>
      <c r="M259">
        <f t="shared" si="114"/>
        <v>5</v>
      </c>
      <c r="N259">
        <v>93</v>
      </c>
      <c r="P259">
        <f t="shared" si="130"/>
        <v>1.6666666666666667E-5</v>
      </c>
      <c r="Q259">
        <f t="shared" si="130"/>
        <v>9.2796083333333321</v>
      </c>
      <c r="R259" s="302">
        <f t="shared" si="115"/>
        <v>4.4456207397260269E-3</v>
      </c>
      <c r="S259" s="302">
        <f t="shared" si="139"/>
        <v>2.0630381075342465E-2</v>
      </c>
      <c r="T259" s="302">
        <f t="shared" si="139"/>
        <v>3.1839293821917809E-2</v>
      </c>
      <c r="U259" s="302">
        <f t="shared" si="139"/>
        <v>1.0063954143835617E-2</v>
      </c>
      <c r="V259" s="302">
        <f t="shared" si="139"/>
        <v>9.1033322191780806E-3</v>
      </c>
      <c r="W259" s="302">
        <f t="shared" si="139"/>
        <v>9.394542746575342E-3</v>
      </c>
      <c r="X259" s="302">
        <f t="shared" si="139"/>
        <v>1.201295205479452E-4</v>
      </c>
      <c r="Y259" s="302">
        <f t="shared" si="139"/>
        <v>1.056311301369863E-6</v>
      </c>
      <c r="Z259" s="302">
        <f t="shared" si="139"/>
        <v>8.6161863013698648E-5</v>
      </c>
      <c r="AA259" s="302">
        <f t="shared" si="139"/>
        <v>1.8682211643835617E-4</v>
      </c>
      <c r="AB259" s="302">
        <f t="shared" si="116"/>
        <v>1.5119666666666666E-7</v>
      </c>
      <c r="AC259" s="302">
        <f t="shared" si="142"/>
        <v>0</v>
      </c>
      <c r="AD259" s="302">
        <f t="shared" si="142"/>
        <v>0</v>
      </c>
      <c r="AE259" s="302">
        <f t="shared" si="142"/>
        <v>0</v>
      </c>
      <c r="AF259" s="302">
        <f t="shared" si="142"/>
        <v>0</v>
      </c>
      <c r="AG259" s="302">
        <f t="shared" si="142"/>
        <v>7.6426808219178096E-5</v>
      </c>
      <c r="AH259" s="302">
        <f t="shared" si="142"/>
        <v>0</v>
      </c>
      <c r="AI259" s="302">
        <f t="shared" si="142"/>
        <v>1.1598648401826485E-5</v>
      </c>
      <c r="AJ259" s="302">
        <f t="shared" si="142"/>
        <v>0</v>
      </c>
    </row>
    <row r="260" spans="9:36" x14ac:dyDescent="0.25">
      <c r="I260">
        <f t="shared" ref="I260:L260" si="147">I99</f>
        <v>161500</v>
      </c>
      <c r="J260">
        <f t="shared" si="147"/>
        <v>49400</v>
      </c>
      <c r="K260">
        <f t="shared" si="147"/>
        <v>20700</v>
      </c>
      <c r="L260">
        <f t="shared" si="147"/>
        <v>23400</v>
      </c>
      <c r="M260">
        <f t="shared" si="114"/>
        <v>5</v>
      </c>
      <c r="N260">
        <v>94</v>
      </c>
      <c r="P260">
        <f t="shared" si="130"/>
        <v>6.1919504643962844E-6</v>
      </c>
      <c r="Q260">
        <f t="shared" si="130"/>
        <v>9.3022315789473673</v>
      </c>
      <c r="R260" s="302">
        <f t="shared" si="115"/>
        <v>1.2977681749862165E-2</v>
      </c>
      <c r="S260" s="302">
        <f t="shared" si="139"/>
        <v>7.7898101098435053E-3</v>
      </c>
      <c r="T260" s="302">
        <f t="shared" si="139"/>
        <v>3.150427776411213E-3</v>
      </c>
      <c r="U260" s="302">
        <f t="shared" si="139"/>
        <v>2.220658375249162E-2</v>
      </c>
      <c r="V260" s="302">
        <f t="shared" si="139"/>
        <v>1.0256011327028285E-2</v>
      </c>
      <c r="W260" s="302">
        <f t="shared" si="139"/>
        <v>1.0256011327028285E-2</v>
      </c>
      <c r="X260" s="302">
        <f t="shared" si="139"/>
        <v>2.200728699266296E-5</v>
      </c>
      <c r="Y260" s="302">
        <f t="shared" si="139"/>
        <v>3.7243101064506548E-7</v>
      </c>
      <c r="Z260" s="302">
        <f t="shared" si="139"/>
        <v>3.4349835361974636E-4</v>
      </c>
      <c r="AA260" s="302">
        <f t="shared" si="139"/>
        <v>6.5991081555621521E-4</v>
      </c>
      <c r="AB260" s="302">
        <f t="shared" si="116"/>
        <v>3.4557405996861605E-7</v>
      </c>
      <c r="AC260" s="302">
        <f t="shared" si="142"/>
        <v>4.0013028542347002E-9</v>
      </c>
      <c r="AD260" s="302">
        <f t="shared" si="142"/>
        <v>5.4410024004410705E-7</v>
      </c>
      <c r="AE260" s="302">
        <f t="shared" si="142"/>
        <v>1.5278051571313456E-6</v>
      </c>
      <c r="AF260" s="302">
        <f t="shared" si="142"/>
        <v>7.8215467543152796E-6</v>
      </c>
      <c r="AG260" s="302">
        <f t="shared" si="142"/>
        <v>1.0080205267398955E-11</v>
      </c>
      <c r="AH260" s="302">
        <f t="shared" si="142"/>
        <v>2.3615381653165951E-7</v>
      </c>
      <c r="AI260" s="302">
        <f t="shared" si="142"/>
        <v>8.8490351584036631E-12</v>
      </c>
      <c r="AJ260" s="302">
        <f t="shared" si="142"/>
        <v>3.9356660977988882E-5</v>
      </c>
    </row>
    <row r="261" spans="9:36" x14ac:dyDescent="0.25">
      <c r="I261">
        <f t="shared" ref="I261:L261" si="148">I100</f>
        <v>322050</v>
      </c>
      <c r="J261">
        <f t="shared" si="148"/>
        <v>185250</v>
      </c>
      <c r="K261">
        <f t="shared" si="148"/>
        <v>63720</v>
      </c>
      <c r="L261">
        <f t="shared" si="148"/>
        <v>36000</v>
      </c>
      <c r="M261">
        <f t="shared" si="114"/>
        <v>5</v>
      </c>
      <c r="N261">
        <v>95</v>
      </c>
      <c r="P261">
        <f t="shared" si="130"/>
        <v>3.105107902499612E-6</v>
      </c>
      <c r="Q261">
        <f t="shared" si="130"/>
        <v>9.3828178854215203</v>
      </c>
      <c r="R261" s="302">
        <f t="shared" si="115"/>
        <v>3.4224266214086551E-3</v>
      </c>
      <c r="S261" s="302">
        <f t="shared" si="139"/>
        <v>3.9763926676917773E-3</v>
      </c>
      <c r="T261" s="302">
        <f t="shared" si="139"/>
        <v>5.7758176238268113E-3</v>
      </c>
      <c r="U261" s="302">
        <f t="shared" si="139"/>
        <v>9.9989405018790153E-3</v>
      </c>
      <c r="V261" s="302">
        <f t="shared" si="139"/>
        <v>1.1742258838391894E-3</v>
      </c>
      <c r="W261" s="302">
        <f t="shared" si="139"/>
        <v>1.8754428658019156E-3</v>
      </c>
      <c r="X261" s="302">
        <f t="shared" si="139"/>
        <v>2.2218838774715915E-4</v>
      </c>
      <c r="Y261" s="302">
        <f t="shared" si="139"/>
        <v>2.6085333469447647E-7</v>
      </c>
      <c r="Z261" s="302">
        <f t="shared" si="139"/>
        <v>1.4524437156656947E-4</v>
      </c>
      <c r="AA261" s="302">
        <f t="shared" si="139"/>
        <v>2.3939853379356988E-4</v>
      </c>
      <c r="AB261" s="302">
        <f t="shared" si="116"/>
        <v>2.3152535235530942E-9</v>
      </c>
      <c r="AC261" s="302">
        <f t="shared" si="142"/>
        <v>3.1255922567966776E-9</v>
      </c>
      <c r="AD261" s="302">
        <f t="shared" si="142"/>
        <v>7.9606133651500564E-8</v>
      </c>
      <c r="AE261" s="302">
        <f t="shared" si="142"/>
        <v>1.2559092738513761E-6</v>
      </c>
      <c r="AF261" s="302">
        <f t="shared" si="142"/>
        <v>1.2495809142203309E-5</v>
      </c>
      <c r="AG261" s="302">
        <f t="shared" si="142"/>
        <v>2.7959117313103345E-5</v>
      </c>
      <c r="AH261" s="302">
        <f t="shared" si="142"/>
        <v>1.9171240711452533E-4</v>
      </c>
      <c r="AI261" s="302">
        <f t="shared" si="142"/>
        <v>5.4022582216238865E-9</v>
      </c>
      <c r="AJ261" s="302">
        <f t="shared" si="142"/>
        <v>4.3546060022161113E-6</v>
      </c>
    </row>
    <row r="262" spans="9:36" x14ac:dyDescent="0.25">
      <c r="I262">
        <f t="shared" ref="I262:L262" si="149">I101</f>
        <v>238000</v>
      </c>
      <c r="J262">
        <f t="shared" si="149"/>
        <v>71250</v>
      </c>
      <c r="K262">
        <f t="shared" si="149"/>
        <v>0</v>
      </c>
      <c r="L262">
        <f t="shared" si="149"/>
        <v>0</v>
      </c>
      <c r="M262">
        <f t="shared" si="114"/>
        <v>2</v>
      </c>
      <c r="N262">
        <v>96</v>
      </c>
      <c r="P262">
        <f t="shared" si="130"/>
        <v>3.0515855977427466E-6</v>
      </c>
      <c r="Q262">
        <f t="shared" si="130"/>
        <v>9.4812231092436985</v>
      </c>
      <c r="R262" s="302">
        <f t="shared" si="115"/>
        <v>9.815137544711913E-4</v>
      </c>
      <c r="S262" s="302">
        <f t="shared" si="139"/>
        <v>3.0773463467980932E-3</v>
      </c>
      <c r="T262" s="302">
        <f t="shared" si="139"/>
        <v>3.8628000552675822E-4</v>
      </c>
      <c r="U262" s="302">
        <f t="shared" si="139"/>
        <v>7.0335119404131017E-3</v>
      </c>
      <c r="V262" s="302">
        <f t="shared" si="139"/>
        <v>1.7022714400240647E-3</v>
      </c>
      <c r="W262" s="302">
        <f t="shared" si="139"/>
        <v>2.137699186289354E-3</v>
      </c>
      <c r="X262" s="302">
        <f t="shared" si="139"/>
        <v>1.2491717437710008E-4</v>
      </c>
      <c r="Y262" s="302">
        <f t="shared" si="139"/>
        <v>9.177278749015853E-8</v>
      </c>
      <c r="Z262" s="302">
        <f t="shared" si="139"/>
        <v>2.681130609733144E-4</v>
      </c>
      <c r="AA262" s="302">
        <f t="shared" si="139"/>
        <v>1.7489921318372361E-4</v>
      </c>
      <c r="AB262" s="302">
        <f t="shared" si="116"/>
        <v>2.8441822834523266E-9</v>
      </c>
      <c r="AC262" s="302">
        <f t="shared" si="142"/>
        <v>0</v>
      </c>
      <c r="AD262" s="302">
        <f t="shared" si="142"/>
        <v>1.4372601139045758E-8</v>
      </c>
      <c r="AE262" s="302">
        <f t="shared" si="142"/>
        <v>0</v>
      </c>
      <c r="AF262" s="302">
        <f t="shared" si="142"/>
        <v>0</v>
      </c>
      <c r="AG262" s="302">
        <f t="shared" si="142"/>
        <v>1.441052356949179E-5</v>
      </c>
      <c r="AH262" s="302">
        <f t="shared" si="142"/>
        <v>0</v>
      </c>
      <c r="AI262" s="302">
        <f t="shared" si="142"/>
        <v>3.4130187401427918E-8</v>
      </c>
      <c r="AJ262" s="302">
        <f t="shared" si="142"/>
        <v>4.780501582026671E-7</v>
      </c>
    </row>
    <row r="263" spans="9:36" x14ac:dyDescent="0.25">
      <c r="I263">
        <f t="shared" ref="I263:L263" si="150">I102</f>
        <v>158650</v>
      </c>
      <c r="J263">
        <f t="shared" si="150"/>
        <v>71250</v>
      </c>
      <c r="K263">
        <f t="shared" si="150"/>
        <v>36000</v>
      </c>
      <c r="L263">
        <f t="shared" si="150"/>
        <v>0</v>
      </c>
      <c r="M263">
        <f t="shared" si="114"/>
        <v>4</v>
      </c>
      <c r="N263">
        <v>97</v>
      </c>
      <c r="P263">
        <f t="shared" si="130"/>
        <v>5.9406335450018528E-6</v>
      </c>
      <c r="Q263">
        <f t="shared" si="130"/>
        <v>9.4902269145918687</v>
      </c>
      <c r="R263" s="302">
        <f t="shared" si="115"/>
        <v>7.3651164437344551E-3</v>
      </c>
      <c r="S263" s="302">
        <f t="shared" si="139"/>
        <v>6.5431445251612286E-3</v>
      </c>
      <c r="T263" s="302">
        <f t="shared" si="139"/>
        <v>7.5817201449284426E-3</v>
      </c>
      <c r="U263" s="302">
        <f t="shared" si="139"/>
        <v>1.0112011642788941E-2</v>
      </c>
      <c r="V263" s="302">
        <f t="shared" si="139"/>
        <v>2.1263189508483999E-3</v>
      </c>
      <c r="W263" s="302">
        <f t="shared" si="139"/>
        <v>2.6611100931283045E-3</v>
      </c>
      <c r="X263" s="302">
        <f t="shared" si="139"/>
        <v>3.4246123009497808E-3</v>
      </c>
      <c r="Y263" s="302">
        <f t="shared" si="139"/>
        <v>2.0080506722823582E-9</v>
      </c>
      <c r="Z263" s="302">
        <f t="shared" si="139"/>
        <v>1.8057690972068561E-4</v>
      </c>
      <c r="AA263" s="302">
        <f t="shared" si="139"/>
        <v>2.8540896687660278E-4</v>
      </c>
      <c r="AB263" s="302">
        <f t="shared" si="116"/>
        <v>1.0335497965885882E-9</v>
      </c>
      <c r="AC263" s="302">
        <f t="shared" si="142"/>
        <v>2.2516620568537097E-10</v>
      </c>
      <c r="AD263" s="302">
        <f t="shared" si="142"/>
        <v>8.1207484017674784E-10</v>
      </c>
      <c r="AE263" s="302">
        <f t="shared" si="142"/>
        <v>1.0099258012379917E-7</v>
      </c>
      <c r="AF263" s="302">
        <f t="shared" si="142"/>
        <v>1.0990399411995694E-5</v>
      </c>
      <c r="AG263" s="302">
        <f t="shared" si="142"/>
        <v>3.3501778406564376E-6</v>
      </c>
      <c r="AH263" s="302">
        <f t="shared" si="142"/>
        <v>7.7147109816791033E-8</v>
      </c>
      <c r="AI263" s="302">
        <f t="shared" si="142"/>
        <v>2.0670995931771764E-9</v>
      </c>
      <c r="AJ263" s="302">
        <f t="shared" si="142"/>
        <v>0</v>
      </c>
    </row>
    <row r="264" spans="9:36" x14ac:dyDescent="0.25">
      <c r="I264">
        <f t="shared" ref="I264:L264" si="151">I103</f>
        <v>310000</v>
      </c>
      <c r="J264">
        <f t="shared" si="151"/>
        <v>145000</v>
      </c>
      <c r="K264">
        <f t="shared" si="151"/>
        <v>100000</v>
      </c>
      <c r="L264">
        <f t="shared" si="151"/>
        <v>45000</v>
      </c>
      <c r="M264">
        <f t="shared" si="114"/>
        <v>5</v>
      </c>
      <c r="N264">
        <v>98</v>
      </c>
      <c r="P264">
        <f t="shared" si="130"/>
        <v>3.1858018477326438E-6</v>
      </c>
      <c r="Q264">
        <f t="shared" si="130"/>
        <v>9.6100354838709681</v>
      </c>
      <c r="R264" s="302">
        <f t="shared" si="115"/>
        <v>3.8419481460972012E-3</v>
      </c>
      <c r="S264" s="302">
        <f t="shared" si="139"/>
        <v>4.8061369009667551E-3</v>
      </c>
      <c r="T264" s="302">
        <f t="shared" si="139"/>
        <v>4.9868282648997701E-3</v>
      </c>
      <c r="U264" s="302">
        <f t="shared" si="139"/>
        <v>8.8381197856438141E-3</v>
      </c>
      <c r="V264" s="302">
        <f t="shared" si="139"/>
        <v>1.2677692497508769E-3</v>
      </c>
      <c r="W264" s="302">
        <f t="shared" si="139"/>
        <v>1.487655278515987E-3</v>
      </c>
      <c r="X264" s="302">
        <f t="shared" si="139"/>
        <v>8.4565458668036739E-5</v>
      </c>
      <c r="Y264" s="302">
        <f t="shared" si="139"/>
        <v>3.9115483691020739E-7</v>
      </c>
      <c r="Z264" s="302">
        <f t="shared" si="139"/>
        <v>1.7031863445219762E-4</v>
      </c>
      <c r="AA264" s="302">
        <f t="shared" si="139"/>
        <v>2.2693315032078025E-4</v>
      </c>
      <c r="AB264" s="302">
        <f t="shared" si="116"/>
        <v>3.5631317098677937E-8</v>
      </c>
      <c r="AC264" s="302">
        <f t="shared" si="142"/>
        <v>2.7990379098628119E-8</v>
      </c>
      <c r="AD264" s="302">
        <f t="shared" si="142"/>
        <v>8.9474196270013504E-8</v>
      </c>
      <c r="AE264" s="302">
        <f t="shared" si="142"/>
        <v>1.4656348433256194E-6</v>
      </c>
      <c r="AF264" s="302">
        <f t="shared" si="142"/>
        <v>7.8127601291701169E-6</v>
      </c>
      <c r="AG264" s="302">
        <f t="shared" si="142"/>
        <v>6.8784278141381176E-6</v>
      </c>
      <c r="AH264" s="302">
        <f t="shared" si="142"/>
        <v>1.1797924994895586E-7</v>
      </c>
      <c r="AI264" s="302">
        <f t="shared" si="142"/>
        <v>3.3730980186748452E-7</v>
      </c>
      <c r="AJ264" s="302">
        <f t="shared" si="142"/>
        <v>1.9795176165932189E-8</v>
      </c>
    </row>
    <row r="265" spans="9:36" x14ac:dyDescent="0.25">
      <c r="I265">
        <f t="shared" ref="I265:L265" si="152">I104</f>
        <v>91500</v>
      </c>
      <c r="J265">
        <f t="shared" si="152"/>
        <v>32000</v>
      </c>
      <c r="K265">
        <f t="shared" si="152"/>
        <v>0</v>
      </c>
      <c r="L265">
        <f t="shared" si="152"/>
        <v>12000</v>
      </c>
      <c r="M265">
        <f t="shared" si="114"/>
        <v>3</v>
      </c>
      <c r="N265">
        <v>99</v>
      </c>
      <c r="P265">
        <f t="shared" ref="P265:Q284" si="153">P104</f>
        <v>1.0677093991799605E-5</v>
      </c>
      <c r="Q265">
        <f t="shared" si="153"/>
        <v>9.6614535519125688</v>
      </c>
      <c r="R265" s="302">
        <f t="shared" si="115"/>
        <v>5.6768504323573112E-3</v>
      </c>
      <c r="S265" s="302">
        <f t="shared" si="139"/>
        <v>1.0965726139017803E-2</v>
      </c>
      <c r="T265" s="302">
        <f t="shared" si="139"/>
        <v>1.7594202676948847E-3</v>
      </c>
      <c r="U265" s="302">
        <f t="shared" si="139"/>
        <v>1.411490265737907E-2</v>
      </c>
      <c r="V265" s="302">
        <f t="shared" si="139"/>
        <v>2.7219266494338517E-3</v>
      </c>
      <c r="W265" s="302">
        <f t="shared" si="139"/>
        <v>2.722192022023247E-3</v>
      </c>
      <c r="X265" s="302">
        <f t="shared" si="139"/>
        <v>3.9540515819990627E-5</v>
      </c>
      <c r="Y265" s="302">
        <f t="shared" si="139"/>
        <v>3.184471072750923E-7</v>
      </c>
      <c r="Z265" s="302">
        <f t="shared" si="139"/>
        <v>1.5816206327996251E-4</v>
      </c>
      <c r="AA265" s="302">
        <f t="shared" si="139"/>
        <v>2.9509431940825216E-4</v>
      </c>
      <c r="AB265" s="302">
        <f t="shared" si="116"/>
        <v>6.5413982751342712E-11</v>
      </c>
      <c r="AC265" s="302">
        <f t="shared" si="142"/>
        <v>7.9611338034088483E-9</v>
      </c>
      <c r="AD265" s="302">
        <f t="shared" si="142"/>
        <v>1.8310607747840348E-10</v>
      </c>
      <c r="AE265" s="302">
        <f t="shared" si="142"/>
        <v>0</v>
      </c>
      <c r="AF265" s="302">
        <f t="shared" si="142"/>
        <v>7.9876709160868774E-6</v>
      </c>
      <c r="AG265" s="302">
        <f t="shared" si="142"/>
        <v>2.7333226058370378E-5</v>
      </c>
      <c r="AH265" s="302">
        <f t="shared" si="142"/>
        <v>0</v>
      </c>
      <c r="AI265" s="302">
        <f t="shared" si="142"/>
        <v>1.5922267606817695E-7</v>
      </c>
      <c r="AJ265" s="302">
        <f t="shared" si="142"/>
        <v>6.1698786976418571E-6</v>
      </c>
    </row>
    <row r="266" spans="9:36" x14ac:dyDescent="0.25">
      <c r="I266">
        <f t="shared" ref="I266:L266" si="154">I105</f>
        <v>325000</v>
      </c>
      <c r="J266">
        <f t="shared" si="154"/>
        <v>138000</v>
      </c>
      <c r="K266">
        <f t="shared" si="154"/>
        <v>96000</v>
      </c>
      <c r="L266">
        <f t="shared" si="154"/>
        <v>20000</v>
      </c>
      <c r="M266">
        <f t="shared" si="114"/>
        <v>5</v>
      </c>
      <c r="N266">
        <v>100</v>
      </c>
      <c r="P266">
        <f t="shared" si="153"/>
        <v>3.4652581501653321E-6</v>
      </c>
      <c r="Q266">
        <f t="shared" si="153"/>
        <v>9.6966153846153844</v>
      </c>
      <c r="R266" s="302">
        <f t="shared" si="115"/>
        <v>2.891450782919483E-3</v>
      </c>
      <c r="S266" s="302">
        <f t="shared" si="139"/>
        <v>4.8788279667592027E-3</v>
      </c>
      <c r="T266" s="302">
        <f t="shared" si="139"/>
        <v>1.1124144618190172E-3</v>
      </c>
      <c r="U266" s="302">
        <f t="shared" si="139"/>
        <v>1.7028829557288048E-2</v>
      </c>
      <c r="V266" s="302">
        <f t="shared" si="139"/>
        <v>2.4701182072599422E-3</v>
      </c>
      <c r="W266" s="302">
        <f t="shared" si="139"/>
        <v>2.5410006090930987E-3</v>
      </c>
      <c r="X266" s="302">
        <f t="shared" si="139"/>
        <v>7.6222266855824564E-5</v>
      </c>
      <c r="Y266" s="302">
        <f t="shared" si="139"/>
        <v>1.2316140294217981E-9</v>
      </c>
      <c r="Z266" s="302">
        <f t="shared" si="139"/>
        <v>4.7154453224366051E-4</v>
      </c>
      <c r="AA266" s="302">
        <f t="shared" si="139"/>
        <v>4.6542952552415366E-4</v>
      </c>
      <c r="AB266" s="302">
        <f t="shared" si="116"/>
        <v>1.5158242970010673E-7</v>
      </c>
      <c r="AC266" s="302">
        <f t="shared" si="142"/>
        <v>1.3780220881827884E-10</v>
      </c>
      <c r="AD266" s="302">
        <f t="shared" si="142"/>
        <v>4.7369509281283354E-10</v>
      </c>
      <c r="AE266" s="302">
        <f t="shared" si="142"/>
        <v>2.7603504953911479E-6</v>
      </c>
      <c r="AF266" s="302">
        <f t="shared" si="142"/>
        <v>3.5880250121059351E-5</v>
      </c>
      <c r="AG266" s="302">
        <f t="shared" si="142"/>
        <v>1.3287577985302536E-5</v>
      </c>
      <c r="AH266" s="302">
        <f t="shared" si="142"/>
        <v>1.3780220881827884E-7</v>
      </c>
      <c r="AI266" s="302">
        <f t="shared" si="142"/>
        <v>1.8947803712513341E-8</v>
      </c>
      <c r="AJ266" s="302">
        <f t="shared" si="142"/>
        <v>0</v>
      </c>
    </row>
    <row r="267" spans="9:36" x14ac:dyDescent="0.25">
      <c r="I267">
        <f t="shared" ref="I267:L267" si="155">I106</f>
        <v>279300</v>
      </c>
      <c r="J267">
        <f t="shared" si="155"/>
        <v>83125</v>
      </c>
      <c r="K267">
        <f t="shared" si="155"/>
        <v>11970</v>
      </c>
      <c r="L267">
        <f t="shared" si="155"/>
        <v>11700</v>
      </c>
      <c r="M267">
        <f t="shared" si="114"/>
        <v>5</v>
      </c>
      <c r="N267">
        <v>101</v>
      </c>
      <c r="P267">
        <f t="shared" si="153"/>
        <v>3.5359777042503386E-6</v>
      </c>
      <c r="Q267">
        <f t="shared" si="153"/>
        <v>9.7194056569996423</v>
      </c>
      <c r="R267" s="302">
        <f t="shared" si="115"/>
        <v>7.8410592054383344E-4</v>
      </c>
      <c r="S267" s="302">
        <f t="shared" si="139"/>
        <v>1.028249189684247E-3</v>
      </c>
      <c r="T267" s="302">
        <f t="shared" si="139"/>
        <v>2.4730711280098041E-4</v>
      </c>
      <c r="U267" s="302">
        <f t="shared" si="139"/>
        <v>1.1511117851695954E-3</v>
      </c>
      <c r="V267" s="302">
        <f t="shared" si="139"/>
        <v>1.0733339618473254E-3</v>
      </c>
      <c r="W267" s="302">
        <f t="shared" si="139"/>
        <v>1.0733339618473254E-3</v>
      </c>
      <c r="X267" s="302">
        <f t="shared" si="139"/>
        <v>3.4274972989474903E-5</v>
      </c>
      <c r="Y267" s="302">
        <f t="shared" si="139"/>
        <v>3.0583822052146833E-9</v>
      </c>
      <c r="Z267" s="302">
        <f t="shared" si="139"/>
        <v>4.2272466687019044E-5</v>
      </c>
      <c r="AA267" s="302">
        <f t="shared" si="139"/>
        <v>5.5543033152174711E-5</v>
      </c>
      <c r="AB267" s="302">
        <f t="shared" si="116"/>
        <v>1.9422377645943635E-12</v>
      </c>
      <c r="AC267" s="302">
        <f t="shared" si="142"/>
        <v>3.4230842050203827E-10</v>
      </c>
      <c r="AD267" s="302">
        <f t="shared" si="142"/>
        <v>1.2303768644489183E-9</v>
      </c>
      <c r="AE267" s="302">
        <f t="shared" si="142"/>
        <v>0</v>
      </c>
      <c r="AF267" s="302">
        <f t="shared" si="142"/>
        <v>1.262893967295068E-6</v>
      </c>
      <c r="AG267" s="302">
        <f t="shared" si="142"/>
        <v>8.8059829869844005E-6</v>
      </c>
      <c r="AH267" s="302">
        <f t="shared" si="142"/>
        <v>0</v>
      </c>
      <c r="AI267" s="302">
        <f t="shared" si="142"/>
        <v>2.241043574531958E-7</v>
      </c>
      <c r="AJ267" s="302">
        <f t="shared" si="142"/>
        <v>0</v>
      </c>
    </row>
    <row r="268" spans="9:36" x14ac:dyDescent="0.25">
      <c r="I268">
        <f t="shared" ref="I268:L268" si="156">I107</f>
        <v>120000</v>
      </c>
      <c r="J268">
        <f t="shared" si="156"/>
        <v>46000</v>
      </c>
      <c r="K268">
        <f t="shared" si="156"/>
        <v>24000</v>
      </c>
      <c r="L268">
        <f t="shared" si="156"/>
        <v>0</v>
      </c>
      <c r="M268">
        <f t="shared" si="114"/>
        <v>4</v>
      </c>
      <c r="N268">
        <v>102</v>
      </c>
      <c r="P268">
        <f t="shared" si="153"/>
        <v>8.3333333333333337E-6</v>
      </c>
      <c r="Q268">
        <f t="shared" si="153"/>
        <v>9.7294666666666654</v>
      </c>
      <c r="R268" s="302">
        <f t="shared" si="115"/>
        <v>1.0836718352739727E-2</v>
      </c>
      <c r="S268" s="302">
        <f t="shared" si="139"/>
        <v>1.810372586643836E-2</v>
      </c>
      <c r="T268" s="302">
        <f t="shared" si="139"/>
        <v>9.3475265376712323E-3</v>
      </c>
      <c r="U268" s="302">
        <f t="shared" si="139"/>
        <v>1.3981419232876709E-2</v>
      </c>
      <c r="V268" s="302">
        <f t="shared" si="139"/>
        <v>4.0597564349315069E-3</v>
      </c>
      <c r="W268" s="302">
        <f t="shared" si="139"/>
        <v>4.0597564349315069E-3</v>
      </c>
      <c r="X268" s="302">
        <f t="shared" si="139"/>
        <v>3.678448767123288E-4</v>
      </c>
      <c r="Y268" s="302">
        <f t="shared" si="139"/>
        <v>4.950164726027398E-8</v>
      </c>
      <c r="Z268" s="302">
        <f t="shared" si="139"/>
        <v>1.8827195547945204E-4</v>
      </c>
      <c r="AA268" s="302">
        <f t="shared" si="139"/>
        <v>3.0343059931506848E-4</v>
      </c>
      <c r="AB268" s="302">
        <f t="shared" si="116"/>
        <v>2.537204337899544E-8</v>
      </c>
      <c r="AC268" s="302">
        <f t="shared" si="142"/>
        <v>2.5993399543378992E-8</v>
      </c>
      <c r="AD268" s="302">
        <f t="shared" si="142"/>
        <v>1.7708650684931508E-8</v>
      </c>
      <c r="AE268" s="302">
        <f t="shared" si="142"/>
        <v>0</v>
      </c>
      <c r="AF268" s="302">
        <f t="shared" si="142"/>
        <v>5.4902202210045668E-5</v>
      </c>
      <c r="AG268" s="302">
        <f t="shared" si="142"/>
        <v>6.9011957990867588E-6</v>
      </c>
      <c r="AH268" s="302">
        <f t="shared" si="142"/>
        <v>0</v>
      </c>
      <c r="AI268" s="302">
        <f t="shared" si="142"/>
        <v>0</v>
      </c>
      <c r="AJ268" s="302">
        <f t="shared" si="142"/>
        <v>0</v>
      </c>
    </row>
    <row r="269" spans="9:36" x14ac:dyDescent="0.25">
      <c r="I269">
        <f t="shared" ref="I269:L269" si="157">I108</f>
        <v>220000</v>
      </c>
      <c r="J269">
        <f t="shared" si="157"/>
        <v>78000</v>
      </c>
      <c r="K269">
        <f t="shared" si="157"/>
        <v>21380</v>
      </c>
      <c r="L269">
        <f t="shared" si="157"/>
        <v>31000</v>
      </c>
      <c r="M269">
        <f t="shared" si="114"/>
        <v>5</v>
      </c>
      <c r="N269">
        <v>103</v>
      </c>
      <c r="P269">
        <f t="shared" si="153"/>
        <v>4.4678032185486709E-6</v>
      </c>
      <c r="Q269">
        <f t="shared" si="153"/>
        <v>9.8505909090909096</v>
      </c>
      <c r="R269" s="302">
        <f t="shared" si="115"/>
        <v>6.5211990058387142E-3</v>
      </c>
      <c r="S269" s="302">
        <f t="shared" ref="S269:AA284" si="158">S108*$P108*907.185/365</f>
        <v>1.0539677186257802E-2</v>
      </c>
      <c r="T269" s="302">
        <f t="shared" si="158"/>
        <v>3.0157463917271357E-3</v>
      </c>
      <c r="U269" s="302">
        <f t="shared" si="158"/>
        <v>2.0245632305018461E-2</v>
      </c>
      <c r="V269" s="302">
        <f t="shared" si="158"/>
        <v>3.2709266409424302E-3</v>
      </c>
      <c r="W269" s="302">
        <f t="shared" si="158"/>
        <v>3.319564129696259E-3</v>
      </c>
      <c r="X269" s="302">
        <f t="shared" si="158"/>
        <v>2.3763521902555676E-4</v>
      </c>
      <c r="Y269" s="302">
        <f t="shared" si="158"/>
        <v>6.4849985005105213E-8</v>
      </c>
      <c r="Z269" s="302">
        <f t="shared" si="158"/>
        <v>4.1963714612036401E-4</v>
      </c>
      <c r="AA269" s="302">
        <f t="shared" si="158"/>
        <v>8.7913926589968825E-4</v>
      </c>
      <c r="AB269" s="302">
        <f t="shared" si="116"/>
        <v>5.8675587694725936E-7</v>
      </c>
      <c r="AC269" s="302">
        <f t="shared" si="142"/>
        <v>3.4312559798770461E-12</v>
      </c>
      <c r="AD269" s="302">
        <f t="shared" si="142"/>
        <v>0</v>
      </c>
      <c r="AE269" s="302">
        <f t="shared" si="142"/>
        <v>1.3874933161347473E-7</v>
      </c>
      <c r="AF269" s="302">
        <f t="shared" si="142"/>
        <v>2.8510516920175778E-7</v>
      </c>
      <c r="AG269" s="302">
        <f t="shared" si="142"/>
        <v>2.246989625929094E-5</v>
      </c>
      <c r="AH269" s="302">
        <f t="shared" si="142"/>
        <v>2.5540093054100993E-9</v>
      </c>
      <c r="AI269" s="302">
        <f t="shared" si="142"/>
        <v>3.3110731854750745E-5</v>
      </c>
      <c r="AJ269" s="302">
        <f t="shared" si="142"/>
        <v>1.5124176843341541E-7</v>
      </c>
    </row>
    <row r="270" spans="9:36" x14ac:dyDescent="0.25">
      <c r="I270">
        <f t="shared" ref="I270:L270" si="159">I109</f>
        <v>148600</v>
      </c>
      <c r="J270">
        <f t="shared" si="159"/>
        <v>65500</v>
      </c>
      <c r="K270">
        <f t="shared" si="159"/>
        <v>25700</v>
      </c>
      <c r="L270">
        <f t="shared" si="159"/>
        <v>0</v>
      </c>
      <c r="M270">
        <f t="shared" si="114"/>
        <v>4</v>
      </c>
      <c r="N270">
        <v>104</v>
      </c>
      <c r="P270">
        <f t="shared" si="153"/>
        <v>6.7294751009421264E-6</v>
      </c>
      <c r="Q270">
        <f t="shared" si="153"/>
        <v>9.9320794078061905</v>
      </c>
      <c r="R270" s="302">
        <f t="shared" si="115"/>
        <v>8.1171472989914999E-3</v>
      </c>
      <c r="S270" s="302">
        <f t="shared" si="158"/>
        <v>6.7085092212245782E-3</v>
      </c>
      <c r="T270" s="302">
        <f t="shared" si="158"/>
        <v>6.0048592101624287E-3</v>
      </c>
      <c r="U270" s="302">
        <f t="shared" si="158"/>
        <v>1.8408133246372534E-2</v>
      </c>
      <c r="V270" s="302">
        <f t="shared" si="158"/>
        <v>0</v>
      </c>
      <c r="W270" s="302">
        <f t="shared" si="158"/>
        <v>3.9430827218422167E-3</v>
      </c>
      <c r="X270" s="302">
        <f t="shared" si="158"/>
        <v>0</v>
      </c>
      <c r="Y270" s="302">
        <f t="shared" si="158"/>
        <v>3.1778821512196022E-7</v>
      </c>
      <c r="Z270" s="302">
        <f t="shared" si="158"/>
        <v>0</v>
      </c>
      <c r="AA270" s="302">
        <f t="shared" si="158"/>
        <v>0</v>
      </c>
      <c r="AB270" s="302">
        <f t="shared" si="116"/>
        <v>5.0176810044432972E-8</v>
      </c>
      <c r="AC270" s="302">
        <f t="shared" si="142"/>
        <v>2.7597245524438131E-8</v>
      </c>
      <c r="AD270" s="302">
        <f t="shared" si="142"/>
        <v>1.6725603348144325E-8</v>
      </c>
      <c r="AE270" s="302">
        <f t="shared" si="142"/>
        <v>1.4718530946367006E-6</v>
      </c>
      <c r="AF270" s="302">
        <f t="shared" si="142"/>
        <v>1.0545492911004996E-5</v>
      </c>
      <c r="AG270" s="302">
        <f t="shared" si="142"/>
        <v>4.2984800604730913E-6</v>
      </c>
      <c r="AH270" s="302">
        <f t="shared" si="142"/>
        <v>1.6725603348144325E-8</v>
      </c>
      <c r="AI270" s="302">
        <f t="shared" si="142"/>
        <v>1.8398163682958758E-7</v>
      </c>
      <c r="AJ270" s="302">
        <f t="shared" si="142"/>
        <v>2.1743284352587622E-6</v>
      </c>
    </row>
    <row r="271" spans="9:36" x14ac:dyDescent="0.25">
      <c r="I271">
        <f t="shared" ref="I271:L271" si="160">I110</f>
        <v>133000</v>
      </c>
      <c r="J271">
        <f t="shared" si="160"/>
        <v>60800</v>
      </c>
      <c r="K271">
        <f t="shared" si="160"/>
        <v>17100</v>
      </c>
      <c r="L271">
        <f t="shared" si="160"/>
        <v>0</v>
      </c>
      <c r="M271">
        <f t="shared" si="114"/>
        <v>4</v>
      </c>
      <c r="N271">
        <v>105</v>
      </c>
      <c r="P271">
        <f t="shared" si="153"/>
        <v>7.4074074074074075E-6</v>
      </c>
      <c r="Q271">
        <f t="shared" si="153"/>
        <v>9.950443609022555</v>
      </c>
      <c r="R271" s="302">
        <f t="shared" si="115"/>
        <v>1.2609089047184168E-2</v>
      </c>
      <c r="S271" s="302">
        <f t="shared" si="158"/>
        <v>1.5567128904109587E-2</v>
      </c>
      <c r="T271" s="302">
        <f t="shared" si="158"/>
        <v>2.7164552487062402E-2</v>
      </c>
      <c r="U271" s="302">
        <f t="shared" si="158"/>
        <v>2.0346166596651446E-2</v>
      </c>
      <c r="V271" s="302">
        <f t="shared" si="158"/>
        <v>3.071817701674277E-3</v>
      </c>
      <c r="W271" s="302">
        <f t="shared" si="158"/>
        <v>3.071817701674277E-3</v>
      </c>
      <c r="X271" s="302">
        <f t="shared" si="158"/>
        <v>4.413033881278539E-4</v>
      </c>
      <c r="Y271" s="302">
        <f t="shared" si="158"/>
        <v>2.5222596651445963E-8</v>
      </c>
      <c r="Z271" s="302">
        <f t="shared" si="158"/>
        <v>3.0248705327245052E-4</v>
      </c>
      <c r="AA271" s="302">
        <f t="shared" si="158"/>
        <v>4.2362915981735159E-4</v>
      </c>
      <c r="AB271" s="302">
        <f t="shared" si="116"/>
        <v>1.1046331811263319E-7</v>
      </c>
      <c r="AC271" s="302">
        <f t="shared" ref="AC271:AJ286" si="161">AC110*$P110*0.45359/365</f>
        <v>2.7615829528158295E-9</v>
      </c>
      <c r="AD271" s="302">
        <f t="shared" si="161"/>
        <v>7.180115677321157E-9</v>
      </c>
      <c r="AE271" s="302">
        <f t="shared" si="161"/>
        <v>5.8858538001014703E-6</v>
      </c>
      <c r="AF271" s="302">
        <f t="shared" si="161"/>
        <v>5.852714804667681E-5</v>
      </c>
      <c r="AG271" s="302">
        <f t="shared" si="161"/>
        <v>1.0149774700355151E-4</v>
      </c>
      <c r="AH271" s="302">
        <f t="shared" si="161"/>
        <v>3.1487568828006095E-6</v>
      </c>
      <c r="AI271" s="302">
        <f t="shared" si="161"/>
        <v>9.961950238457636E-7</v>
      </c>
      <c r="AJ271" s="302">
        <f t="shared" si="161"/>
        <v>0</v>
      </c>
    </row>
    <row r="272" spans="9:36" x14ac:dyDescent="0.25">
      <c r="I272">
        <f t="shared" ref="I272:L272" si="162">I111</f>
        <v>227000</v>
      </c>
      <c r="J272">
        <f t="shared" si="162"/>
        <v>104000</v>
      </c>
      <c r="K272">
        <f t="shared" si="162"/>
        <v>0</v>
      </c>
      <c r="L272">
        <f t="shared" si="162"/>
        <v>51780</v>
      </c>
      <c r="M272">
        <f t="shared" si="114"/>
        <v>3</v>
      </c>
      <c r="N272">
        <v>106</v>
      </c>
      <c r="P272">
        <f t="shared" si="153"/>
        <v>4.3300295510163335E-6</v>
      </c>
      <c r="Q272">
        <f t="shared" si="153"/>
        <v>9.9919295154185015</v>
      </c>
      <c r="R272" s="302">
        <f t="shared" si="115"/>
        <v>5.5086483400495559E-3</v>
      </c>
      <c r="S272" s="302">
        <f t="shared" si="158"/>
        <v>4.5240309903228065E-3</v>
      </c>
      <c r="T272" s="302">
        <f t="shared" si="158"/>
        <v>2.1748969308807383E-3</v>
      </c>
      <c r="U272" s="302">
        <f t="shared" si="158"/>
        <v>1.2419803325813286E-2</v>
      </c>
      <c r="V272" s="302">
        <f t="shared" si="158"/>
        <v>3.3254646525911632E-3</v>
      </c>
      <c r="W272" s="302">
        <f t="shared" si="158"/>
        <v>5.9210490050569768E-3</v>
      </c>
      <c r="X272" s="302">
        <f t="shared" si="158"/>
        <v>9.9548699147146457E-5</v>
      </c>
      <c r="Y272" s="302">
        <f t="shared" si="158"/>
        <v>3.4653709324736387E-7</v>
      </c>
      <c r="Z272" s="302">
        <f t="shared" si="158"/>
        <v>5.9094260218052019E-4</v>
      </c>
      <c r="AA272" s="302">
        <f t="shared" si="158"/>
        <v>7.4193376423830032E-4</v>
      </c>
      <c r="AB272" s="302">
        <f t="shared" si="116"/>
        <v>7.5548974741914513E-8</v>
      </c>
      <c r="AC272" s="302">
        <f t="shared" si="161"/>
        <v>7.9638520383214747E-9</v>
      </c>
      <c r="AD272" s="302">
        <f t="shared" si="161"/>
        <v>3.4492088895703146E-8</v>
      </c>
      <c r="AE272" s="302">
        <f t="shared" si="161"/>
        <v>2.7355293653523564E-6</v>
      </c>
      <c r="AF272" s="302">
        <f t="shared" si="161"/>
        <v>7.0831468605430448E-6</v>
      </c>
      <c r="AG272" s="302">
        <f t="shared" si="161"/>
        <v>2.5866160941979591E-5</v>
      </c>
      <c r="AH272" s="302">
        <f t="shared" si="161"/>
        <v>2.3192028571057809E-7</v>
      </c>
      <c r="AI272" s="302">
        <f t="shared" si="161"/>
        <v>1.4878412760783024E-7</v>
      </c>
      <c r="AJ272" s="302">
        <f t="shared" si="161"/>
        <v>0</v>
      </c>
    </row>
    <row r="273" spans="9:36" x14ac:dyDescent="0.25">
      <c r="I273">
        <f t="shared" ref="I273:L273" si="163">I112</f>
        <v>100000</v>
      </c>
      <c r="J273">
        <f t="shared" si="163"/>
        <v>35000</v>
      </c>
      <c r="K273">
        <f t="shared" si="163"/>
        <v>0</v>
      </c>
      <c r="L273">
        <f t="shared" si="163"/>
        <v>0</v>
      </c>
      <c r="M273">
        <f t="shared" si="114"/>
        <v>2</v>
      </c>
      <c r="N273">
        <v>107</v>
      </c>
      <c r="P273">
        <f t="shared" si="153"/>
        <v>9.8759857279711965E-6</v>
      </c>
      <c r="Q273">
        <f t="shared" si="153"/>
        <v>10.106100000000001</v>
      </c>
      <c r="R273" s="302">
        <f t="shared" si="115"/>
        <v>8.1210949626396908E-3</v>
      </c>
      <c r="S273" s="302">
        <f t="shared" si="158"/>
        <v>1.4430929241304213E-2</v>
      </c>
      <c r="T273" s="302">
        <f t="shared" si="158"/>
        <v>3.8365638285041062E-4</v>
      </c>
      <c r="U273" s="302">
        <f t="shared" si="158"/>
        <v>8.6807472677573692E-3</v>
      </c>
      <c r="V273" s="302">
        <f t="shared" si="158"/>
        <v>1.3115009939665668E-3</v>
      </c>
      <c r="W273" s="302">
        <f t="shared" si="158"/>
        <v>1.4747329162925569E-3</v>
      </c>
      <c r="X273" s="302">
        <f t="shared" si="158"/>
        <v>8.8120691902301583E-5</v>
      </c>
      <c r="Y273" s="302">
        <f t="shared" si="158"/>
        <v>2.528253834522859E-7</v>
      </c>
      <c r="Z273" s="302">
        <f t="shared" si="158"/>
        <v>1.5586807620602091E-4</v>
      </c>
      <c r="AA273" s="302">
        <f t="shared" si="158"/>
        <v>2.7737153718551758E-4</v>
      </c>
      <c r="AB273" s="302">
        <f t="shared" si="116"/>
        <v>2.4546018445755915E-8</v>
      </c>
      <c r="AC273" s="302">
        <f t="shared" si="161"/>
        <v>4.5901054493563563E-8</v>
      </c>
      <c r="AD273" s="302">
        <f t="shared" si="161"/>
        <v>8.3456462715570123E-8</v>
      </c>
      <c r="AE273" s="302">
        <f t="shared" si="161"/>
        <v>9.2538489540499812E-7</v>
      </c>
      <c r="AF273" s="302">
        <f t="shared" si="161"/>
        <v>8.5420144191230599E-6</v>
      </c>
      <c r="AG273" s="302">
        <f t="shared" si="161"/>
        <v>1.1455626808634288E-5</v>
      </c>
      <c r="AH273" s="302">
        <f t="shared" si="161"/>
        <v>7.3638055337267756E-8</v>
      </c>
      <c r="AI273" s="302">
        <f t="shared" si="161"/>
        <v>3.3628045270685602E-7</v>
      </c>
      <c r="AJ273" s="302">
        <f t="shared" si="161"/>
        <v>3.1909823979482691E-6</v>
      </c>
    </row>
    <row r="274" spans="9:36" x14ac:dyDescent="0.25">
      <c r="I274">
        <f t="shared" ref="I274:L274" si="164">I113</f>
        <v>238000</v>
      </c>
      <c r="J274">
        <f t="shared" si="164"/>
        <v>121500</v>
      </c>
      <c r="K274">
        <f t="shared" si="164"/>
        <v>56000</v>
      </c>
      <c r="L274">
        <f t="shared" si="164"/>
        <v>0</v>
      </c>
      <c r="M274">
        <f t="shared" si="114"/>
        <v>4</v>
      </c>
      <c r="N274">
        <v>108</v>
      </c>
      <c r="P274">
        <f t="shared" si="153"/>
        <v>3.9600063525821178E-6</v>
      </c>
      <c r="Q274">
        <f t="shared" si="153"/>
        <v>10.221638655462185</v>
      </c>
      <c r="R274" s="302">
        <f t="shared" si="115"/>
        <v>1.4586857306398771E-2</v>
      </c>
      <c r="S274" s="302">
        <f t="shared" si="158"/>
        <v>4.2246326113326441E-3</v>
      </c>
      <c r="T274" s="302">
        <f t="shared" si="158"/>
        <v>1.2963951937988737E-2</v>
      </c>
      <c r="U274" s="302">
        <f t="shared" si="158"/>
        <v>1.6927073265200723E-2</v>
      </c>
      <c r="V274" s="302">
        <f t="shared" si="158"/>
        <v>2.4527140384970635E-3</v>
      </c>
      <c r="W274" s="302">
        <f t="shared" si="158"/>
        <v>2.4527140384970635E-3</v>
      </c>
      <c r="X274" s="302">
        <f t="shared" si="158"/>
        <v>2.0343156686073761E-3</v>
      </c>
      <c r="Y274" s="302">
        <f t="shared" si="158"/>
        <v>0</v>
      </c>
      <c r="Z274" s="302">
        <f t="shared" si="158"/>
        <v>1.0757690385542899E-4</v>
      </c>
      <c r="AA274" s="302">
        <f t="shared" si="158"/>
        <v>1.5255645103011433E-4</v>
      </c>
      <c r="AB274" s="302">
        <f t="shared" si="116"/>
        <v>5.1278369624366216E-8</v>
      </c>
      <c r="AC274" s="302">
        <f t="shared" si="161"/>
        <v>4.1337649217339368E-9</v>
      </c>
      <c r="AD274" s="302">
        <f t="shared" si="161"/>
        <v>0</v>
      </c>
      <c r="AE274" s="302">
        <f t="shared" si="161"/>
        <v>3.0924498533542929E-7</v>
      </c>
      <c r="AF274" s="302">
        <f t="shared" si="161"/>
        <v>6.2028618995232625E-6</v>
      </c>
      <c r="AG274" s="302">
        <f t="shared" si="161"/>
        <v>8.309408819044013E-6</v>
      </c>
      <c r="AH274" s="302">
        <f t="shared" si="161"/>
        <v>4.9457544599316758E-8</v>
      </c>
      <c r="AI274" s="302">
        <f t="shared" si="161"/>
        <v>4.9546125276211049E-7</v>
      </c>
      <c r="AJ274" s="302">
        <f t="shared" si="161"/>
        <v>3.0019007169734548E-7</v>
      </c>
    </row>
    <row r="275" spans="9:36" x14ac:dyDescent="0.25">
      <c r="I275">
        <f t="shared" ref="I275:L275" si="165">I114</f>
        <v>135000</v>
      </c>
      <c r="J275">
        <f t="shared" si="165"/>
        <v>46000</v>
      </c>
      <c r="K275">
        <f t="shared" si="165"/>
        <v>28000</v>
      </c>
      <c r="L275">
        <f t="shared" si="165"/>
        <v>0</v>
      </c>
      <c r="M275">
        <f t="shared" si="114"/>
        <v>4</v>
      </c>
      <c r="N275">
        <v>109</v>
      </c>
      <c r="P275">
        <f t="shared" si="153"/>
        <v>7.0879386223715824E-6</v>
      </c>
      <c r="Q275">
        <f t="shared" si="153"/>
        <v>10.248518518518518</v>
      </c>
      <c r="R275" s="302">
        <f t="shared" si="115"/>
        <v>9.3015830255997121E-5</v>
      </c>
      <c r="S275" s="302">
        <f t="shared" si="158"/>
        <v>2.2337892569053848E-4</v>
      </c>
      <c r="T275" s="302">
        <f t="shared" si="158"/>
        <v>2.6424951777271904E-6</v>
      </c>
      <c r="U275" s="302">
        <f t="shared" si="158"/>
        <v>8.4207512996906472E-5</v>
      </c>
      <c r="V275" s="302">
        <f t="shared" si="158"/>
        <v>1.0746147056090573E-5</v>
      </c>
      <c r="W275" s="302">
        <f t="shared" si="158"/>
        <v>1.0746147056090573E-5</v>
      </c>
      <c r="X275" s="302">
        <f t="shared" si="158"/>
        <v>4.5803249747271305E-6</v>
      </c>
      <c r="Y275" s="302">
        <f t="shared" si="158"/>
        <v>6.5181547717270696E-10</v>
      </c>
      <c r="Z275" s="302">
        <f t="shared" si="158"/>
        <v>2.6424951777271904E-6</v>
      </c>
      <c r="AA275" s="302">
        <f t="shared" si="158"/>
        <v>1.9378297969999397E-6</v>
      </c>
      <c r="AB275" s="302">
        <f t="shared" si="116"/>
        <v>2.1844506404683244E-14</v>
      </c>
      <c r="AC275" s="302">
        <f t="shared" si="161"/>
        <v>2.5632061950656554E-10</v>
      </c>
      <c r="AD275" s="302">
        <f t="shared" si="161"/>
        <v>1.0129509018300699E-10</v>
      </c>
      <c r="AE275" s="302">
        <f t="shared" si="161"/>
        <v>0</v>
      </c>
      <c r="AF275" s="302">
        <f t="shared" si="161"/>
        <v>2.2461085214492852E-8</v>
      </c>
      <c r="AG275" s="302">
        <f t="shared" si="161"/>
        <v>4.4922170428985709E-7</v>
      </c>
      <c r="AH275" s="302">
        <f t="shared" si="161"/>
        <v>0</v>
      </c>
      <c r="AI275" s="302">
        <f t="shared" si="161"/>
        <v>3.7875555459733049E-12</v>
      </c>
      <c r="AJ275" s="302">
        <f t="shared" si="161"/>
        <v>0</v>
      </c>
    </row>
    <row r="276" spans="9:36" x14ac:dyDescent="0.25">
      <c r="I276">
        <f t="shared" ref="I276:L276" si="166">I115</f>
        <v>560500</v>
      </c>
      <c r="J276">
        <f t="shared" si="166"/>
        <v>286000</v>
      </c>
      <c r="K276">
        <f t="shared" si="166"/>
        <v>90000</v>
      </c>
      <c r="L276">
        <f t="shared" si="166"/>
        <v>26500</v>
      </c>
      <c r="M276">
        <f t="shared" si="114"/>
        <v>5</v>
      </c>
      <c r="N276">
        <v>110</v>
      </c>
      <c r="P276">
        <f t="shared" si="153"/>
        <v>1.7619956695755924E-6</v>
      </c>
      <c r="Q276">
        <f t="shared" si="153"/>
        <v>10.250669045495092</v>
      </c>
      <c r="R276" s="302">
        <f t="shared" si="115"/>
        <v>5.7440627334734377E-3</v>
      </c>
      <c r="S276" s="302">
        <f t="shared" si="158"/>
        <v>7.8194717817724226E-3</v>
      </c>
      <c r="T276" s="302">
        <f t="shared" si="158"/>
        <v>6.8667043944036664E-3</v>
      </c>
      <c r="U276" s="302">
        <f t="shared" si="158"/>
        <v>8.0869175638399425E-3</v>
      </c>
      <c r="V276" s="302">
        <f t="shared" si="158"/>
        <v>3.3953833920515892E-3</v>
      </c>
      <c r="W276" s="302">
        <f t="shared" si="158"/>
        <v>4.0144019166175639E-3</v>
      </c>
      <c r="X276" s="302">
        <f t="shared" si="158"/>
        <v>2.7454029929282629E-4</v>
      </c>
      <c r="Y276" s="302">
        <f t="shared" si="158"/>
        <v>1.4451794347843786E-6</v>
      </c>
      <c r="Z276" s="302">
        <f t="shared" si="158"/>
        <v>3.4719341087789554E-4</v>
      </c>
      <c r="AA276" s="302">
        <f t="shared" si="158"/>
        <v>5.6905035077540035E-4</v>
      </c>
      <c r="AB276" s="302">
        <f t="shared" si="116"/>
        <v>3.4077581183880403E-7</v>
      </c>
      <c r="AC276" s="302">
        <f t="shared" si="161"/>
        <v>3.2619271791831029E-7</v>
      </c>
      <c r="AD276" s="302">
        <f t="shared" si="161"/>
        <v>2.0801710547250776E-7</v>
      </c>
      <c r="AE276" s="302">
        <f t="shared" si="161"/>
        <v>5.6309135624536942E-6</v>
      </c>
      <c r="AF276" s="302">
        <f t="shared" si="161"/>
        <v>3.8619798905903249E-5</v>
      </c>
      <c r="AG276" s="302">
        <f t="shared" si="161"/>
        <v>3.3252957584712546E-5</v>
      </c>
      <c r="AH276" s="302">
        <f t="shared" si="161"/>
        <v>2.7710943964176571E-5</v>
      </c>
      <c r="AI276" s="302">
        <f t="shared" si="161"/>
        <v>1.4115821811990195E-5</v>
      </c>
      <c r="AJ276" s="302">
        <f t="shared" si="161"/>
        <v>0</v>
      </c>
    </row>
    <row r="277" spans="9:36" x14ac:dyDescent="0.25">
      <c r="I277">
        <f t="shared" ref="I277:L277" si="167">I116</f>
        <v>74000</v>
      </c>
      <c r="J277">
        <f t="shared" si="167"/>
        <v>41300</v>
      </c>
      <c r="K277">
        <f t="shared" si="167"/>
        <v>0</v>
      </c>
      <c r="L277">
        <f t="shared" si="167"/>
        <v>0</v>
      </c>
      <c r="M277">
        <f t="shared" si="114"/>
        <v>2</v>
      </c>
      <c r="N277">
        <v>111</v>
      </c>
      <c r="P277">
        <f t="shared" si="153"/>
        <v>1.3513513513513513E-5</v>
      </c>
      <c r="Q277">
        <f t="shared" si="153"/>
        <v>10.294702702702702</v>
      </c>
      <c r="R277" s="302">
        <f t="shared" si="115"/>
        <v>1.3540936860422065E-2</v>
      </c>
      <c r="S277" s="302">
        <f t="shared" si="158"/>
        <v>1.7338283624583489E-2</v>
      </c>
      <c r="T277" s="302">
        <f t="shared" si="158"/>
        <v>3.5645888208071077E-3</v>
      </c>
      <c r="U277" s="302">
        <f t="shared" si="158"/>
        <v>1.6707519674194742E-2</v>
      </c>
      <c r="V277" s="302">
        <f t="shared" si="158"/>
        <v>5.2835717271380971E-3</v>
      </c>
      <c r="W277" s="302">
        <f t="shared" si="158"/>
        <v>5.9721053258052579E-3</v>
      </c>
      <c r="X277" s="302">
        <f t="shared" si="158"/>
        <v>1.1486755646057015E-4</v>
      </c>
      <c r="Y277" s="302">
        <f t="shared" si="158"/>
        <v>1.7801112550907069E-7</v>
      </c>
      <c r="Z277" s="302">
        <f t="shared" si="158"/>
        <v>4.2353213069233609E-4</v>
      </c>
      <c r="AA277" s="302">
        <f t="shared" si="158"/>
        <v>7.6410435949648265E-4</v>
      </c>
      <c r="AB277" s="302">
        <f t="shared" si="116"/>
        <v>5.9902092928544979E-7</v>
      </c>
      <c r="AC277" s="302">
        <f t="shared" si="161"/>
        <v>7.6913817104776011E-8</v>
      </c>
      <c r="AD277" s="302">
        <f t="shared" si="161"/>
        <v>4.7021547574972232E-8</v>
      </c>
      <c r="AE277" s="302">
        <f t="shared" si="161"/>
        <v>8.3308747574972218E-6</v>
      </c>
      <c r="AF277" s="302">
        <f t="shared" si="161"/>
        <v>2.5474998176971487E-4</v>
      </c>
      <c r="AG277" s="302">
        <f t="shared" si="161"/>
        <v>6.9127552628656057E-5</v>
      </c>
      <c r="AH277" s="302">
        <f t="shared" si="161"/>
        <v>2.2619043724546463E-6</v>
      </c>
      <c r="AI277" s="302">
        <f t="shared" si="161"/>
        <v>3.8047149352091814E-6</v>
      </c>
      <c r="AJ277" s="302">
        <f t="shared" si="161"/>
        <v>9.935988870788596E-6</v>
      </c>
    </row>
    <row r="278" spans="9:36" x14ac:dyDescent="0.25">
      <c r="I278">
        <f t="shared" ref="I278:L278" si="168">I117</f>
        <v>55000</v>
      </c>
      <c r="J278">
        <f t="shared" si="168"/>
        <v>31300</v>
      </c>
      <c r="K278">
        <f t="shared" si="168"/>
        <v>15000</v>
      </c>
      <c r="L278">
        <f t="shared" si="168"/>
        <v>0</v>
      </c>
      <c r="M278">
        <f t="shared" si="114"/>
        <v>4</v>
      </c>
      <c r="N278">
        <v>112</v>
      </c>
      <c r="P278">
        <f t="shared" si="153"/>
        <v>1.8181818181818182E-5</v>
      </c>
      <c r="Q278">
        <f t="shared" si="153"/>
        <v>10.297127272727272</v>
      </c>
      <c r="R278" s="302">
        <f t="shared" si="115"/>
        <v>1.7812910749688667E-2</v>
      </c>
      <c r="S278" s="302">
        <f t="shared" si="158"/>
        <v>4.9885459195516811E-2</v>
      </c>
      <c r="T278" s="302">
        <f t="shared" si="158"/>
        <v>1.0003663434620174E-2</v>
      </c>
      <c r="U278" s="302">
        <f t="shared" si="158"/>
        <v>2.129839912079701E-2</v>
      </c>
      <c r="V278" s="302">
        <f t="shared" si="158"/>
        <v>2.1686579402241594E-3</v>
      </c>
      <c r="W278" s="302">
        <f t="shared" si="158"/>
        <v>2.8546389265255291E-3</v>
      </c>
      <c r="X278" s="302">
        <f t="shared" si="158"/>
        <v>6.6880886674968863E-4</v>
      </c>
      <c r="Y278" s="302">
        <f t="shared" si="158"/>
        <v>6.100621419676213E-7</v>
      </c>
      <c r="Z278" s="302">
        <f t="shared" si="158"/>
        <v>2.9463741967621418E-4</v>
      </c>
      <c r="AA278" s="302">
        <f t="shared" si="158"/>
        <v>3.5880691905354917E-4</v>
      </c>
      <c r="AB278" s="302">
        <f t="shared" si="116"/>
        <v>1.1071437110834372E-6</v>
      </c>
      <c r="AC278" s="302">
        <f t="shared" si="161"/>
        <v>0</v>
      </c>
      <c r="AD278" s="302">
        <f t="shared" si="161"/>
        <v>0</v>
      </c>
      <c r="AE278" s="302">
        <f t="shared" si="161"/>
        <v>8.6086072229140733E-8</v>
      </c>
      <c r="AF278" s="302">
        <f t="shared" si="161"/>
        <v>1.3556861768368616E-6</v>
      </c>
      <c r="AG278" s="302">
        <f t="shared" si="161"/>
        <v>3.120337683686177E-5</v>
      </c>
      <c r="AH278" s="302">
        <f t="shared" si="161"/>
        <v>1.3782809464508094E-8</v>
      </c>
      <c r="AI278" s="302">
        <f t="shared" si="161"/>
        <v>6.0757335491905349E-5</v>
      </c>
      <c r="AJ278" s="302">
        <f t="shared" si="161"/>
        <v>3.5021892901618931E-5</v>
      </c>
    </row>
    <row r="279" spans="9:36" x14ac:dyDescent="0.25">
      <c r="I279">
        <f t="shared" ref="I279:L279" si="169">I118</f>
        <v>187000</v>
      </c>
      <c r="J279">
        <f t="shared" si="169"/>
        <v>80000</v>
      </c>
      <c r="K279">
        <f t="shared" si="169"/>
        <v>23100</v>
      </c>
      <c r="L279">
        <f t="shared" si="169"/>
        <v>0</v>
      </c>
      <c r="M279">
        <f t="shared" si="114"/>
        <v>4</v>
      </c>
      <c r="N279">
        <v>113</v>
      </c>
      <c r="P279">
        <f t="shared" si="153"/>
        <v>5.2243534772709303E-6</v>
      </c>
      <c r="Q279">
        <f t="shared" si="153"/>
        <v>10.384207486631016</v>
      </c>
      <c r="R279" s="302">
        <f t="shared" si="115"/>
        <v>5.1131578984424707E-3</v>
      </c>
      <c r="S279" s="302">
        <f t="shared" si="158"/>
        <v>3.9845443116254091E-2</v>
      </c>
      <c r="T279" s="302">
        <f t="shared" si="158"/>
        <v>3.0593507350602646E-3</v>
      </c>
      <c r="U279" s="302">
        <f t="shared" si="158"/>
        <v>1.2480868099964241E-2</v>
      </c>
      <c r="V279" s="302">
        <f t="shared" si="158"/>
        <v>5.097056735879445E-3</v>
      </c>
      <c r="W279" s="302">
        <f t="shared" si="158"/>
        <v>6.9241491425274214E-3</v>
      </c>
      <c r="X279" s="302">
        <f t="shared" si="158"/>
        <v>3.0838920231603616E-4</v>
      </c>
      <c r="Y279" s="302">
        <f t="shared" si="158"/>
        <v>3.4409742574210344E-9</v>
      </c>
      <c r="Z279" s="302">
        <f t="shared" si="158"/>
        <v>2.9942968443822282E-4</v>
      </c>
      <c r="AA279" s="302">
        <f t="shared" si="158"/>
        <v>4.7589323220558833E-4</v>
      </c>
      <c r="AB279" s="302">
        <f t="shared" si="116"/>
        <v>3.9213905595293534E-8</v>
      </c>
      <c r="AC279" s="302">
        <f t="shared" si="161"/>
        <v>3.8564668747689337E-10</v>
      </c>
      <c r="AD279" s="302">
        <f t="shared" si="161"/>
        <v>0</v>
      </c>
      <c r="AE279" s="302">
        <f t="shared" si="161"/>
        <v>0</v>
      </c>
      <c r="AF279" s="302">
        <f t="shared" si="161"/>
        <v>2.4307427574301156E-5</v>
      </c>
      <c r="AG279" s="302">
        <f t="shared" si="161"/>
        <v>1.2408214631411425E-4</v>
      </c>
      <c r="AH279" s="302">
        <f t="shared" si="161"/>
        <v>0</v>
      </c>
      <c r="AI279" s="302">
        <f t="shared" si="161"/>
        <v>2.7787337077459656E-6</v>
      </c>
      <c r="AJ279" s="302">
        <f t="shared" si="161"/>
        <v>0</v>
      </c>
    </row>
    <row r="280" spans="9:36" x14ac:dyDescent="0.25">
      <c r="I280">
        <f t="shared" ref="I280:L280" si="170">I119</f>
        <v>233000</v>
      </c>
      <c r="J280">
        <f t="shared" si="170"/>
        <v>111600</v>
      </c>
      <c r="K280">
        <f t="shared" si="170"/>
        <v>0</v>
      </c>
      <c r="L280">
        <f t="shared" si="170"/>
        <v>0</v>
      </c>
      <c r="M280">
        <f t="shared" si="114"/>
        <v>2</v>
      </c>
      <c r="N280">
        <v>114</v>
      </c>
      <c r="P280">
        <f t="shared" si="153"/>
        <v>4.5977011494252875E-6</v>
      </c>
      <c r="Q280">
        <f t="shared" si="153"/>
        <v>10.404859656652359</v>
      </c>
      <c r="R280" s="302">
        <f t="shared" si="115"/>
        <v>1.750000003401039E-2</v>
      </c>
      <c r="S280" s="302">
        <f t="shared" si="158"/>
        <v>1.3133856185167688E-2</v>
      </c>
      <c r="T280" s="302">
        <f t="shared" si="158"/>
        <v>3.5666897458667929E-3</v>
      </c>
      <c r="U280" s="302">
        <f t="shared" si="158"/>
        <v>1.1692530484648087E-2</v>
      </c>
      <c r="V280" s="302">
        <f t="shared" si="158"/>
        <v>4.0795470949456774E-3</v>
      </c>
      <c r="W280" s="302">
        <f t="shared" si="158"/>
        <v>4.1391976154936229E-3</v>
      </c>
      <c r="X280" s="302">
        <f t="shared" si="158"/>
        <v>9.7132073689182795E-6</v>
      </c>
      <c r="Y280" s="302">
        <f t="shared" si="158"/>
        <v>1.5084039678790741E-8</v>
      </c>
      <c r="Z280" s="302">
        <f t="shared" si="158"/>
        <v>5.501103561643835E-4</v>
      </c>
      <c r="AA280" s="302">
        <f t="shared" si="158"/>
        <v>8.983002720831365E-4</v>
      </c>
      <c r="AB280" s="302">
        <f t="shared" si="116"/>
        <v>2.531133616753267E-7</v>
      </c>
      <c r="AC280" s="302">
        <f t="shared" si="161"/>
        <v>0</v>
      </c>
      <c r="AD280" s="302">
        <f t="shared" si="161"/>
        <v>0</v>
      </c>
      <c r="AE280" s="302">
        <f t="shared" si="161"/>
        <v>0</v>
      </c>
      <c r="AF280" s="302">
        <f t="shared" si="161"/>
        <v>1.1427239804755156E-7</v>
      </c>
      <c r="AG280" s="302">
        <f t="shared" si="161"/>
        <v>0</v>
      </c>
      <c r="AH280" s="302">
        <f t="shared" si="161"/>
        <v>0</v>
      </c>
      <c r="AI280" s="302">
        <f t="shared" si="161"/>
        <v>0</v>
      </c>
      <c r="AJ280" s="302">
        <f t="shared" si="161"/>
        <v>0</v>
      </c>
    </row>
    <row r="281" spans="9:36" x14ac:dyDescent="0.25">
      <c r="I281">
        <f t="shared" ref="I281:L281" si="171">I120</f>
        <v>206000</v>
      </c>
      <c r="J281">
        <f t="shared" si="171"/>
        <v>67900</v>
      </c>
      <c r="K281">
        <f t="shared" si="171"/>
        <v>27600</v>
      </c>
      <c r="L281">
        <f t="shared" si="171"/>
        <v>27100</v>
      </c>
      <c r="M281">
        <f t="shared" si="114"/>
        <v>5</v>
      </c>
      <c r="N281">
        <v>115</v>
      </c>
      <c r="P281">
        <f t="shared" si="153"/>
        <v>4.5751529704589514E-6</v>
      </c>
      <c r="Q281">
        <f t="shared" si="153"/>
        <v>10.423300970873786</v>
      </c>
      <c r="R281" s="302">
        <f t="shared" si="115"/>
        <v>1.0860236223224363E-2</v>
      </c>
      <c r="S281" s="302">
        <f t="shared" si="158"/>
        <v>1.0294970854916109E-2</v>
      </c>
      <c r="T281" s="302">
        <f t="shared" si="158"/>
        <v>1.1197280389723193E-3</v>
      </c>
      <c r="U281" s="302">
        <f t="shared" si="158"/>
        <v>1.4920913411373193E-2</v>
      </c>
      <c r="V281" s="302">
        <f t="shared" si="158"/>
        <v>2.567630661114549E-3</v>
      </c>
      <c r="W281" s="302">
        <f t="shared" si="158"/>
        <v>2.9153638126507889E-3</v>
      </c>
      <c r="X281" s="302">
        <f t="shared" si="158"/>
        <v>1.0529787387918834E-4</v>
      </c>
      <c r="Y281" s="302">
        <f t="shared" si="158"/>
        <v>2.615389955962561E-8</v>
      </c>
      <c r="Z281" s="302">
        <f t="shared" si="158"/>
        <v>2.5608079047076903E-4</v>
      </c>
      <c r="AA281" s="302">
        <f t="shared" si="158"/>
        <v>1.8148532042244558E-4</v>
      </c>
      <c r="AB281" s="302">
        <f t="shared" si="116"/>
        <v>1.131434201474588E-8</v>
      </c>
      <c r="AC281" s="302">
        <f t="shared" si="161"/>
        <v>3.0702234612878274E-9</v>
      </c>
      <c r="AD281" s="302">
        <f t="shared" si="161"/>
        <v>1.2508317805246705E-8</v>
      </c>
      <c r="AE281" s="302">
        <f t="shared" si="161"/>
        <v>6.3650280831698565E-7</v>
      </c>
      <c r="AF281" s="302">
        <f t="shared" si="161"/>
        <v>1.0761675637958662E-3</v>
      </c>
      <c r="AG281" s="302">
        <f t="shared" si="161"/>
        <v>4.5783513390664221E-5</v>
      </c>
      <c r="AH281" s="302">
        <f t="shared" si="161"/>
        <v>7.5379671573618549E-7</v>
      </c>
      <c r="AI281" s="302">
        <f t="shared" si="161"/>
        <v>5.9698789525041091E-9</v>
      </c>
      <c r="AJ281" s="302">
        <f t="shared" si="161"/>
        <v>1.8193916807631568E-7</v>
      </c>
    </row>
    <row r="282" spans="9:36" x14ac:dyDescent="0.25">
      <c r="I282">
        <f t="shared" ref="I282:L282" si="172">I121</f>
        <v>502500</v>
      </c>
      <c r="J282">
        <f t="shared" si="172"/>
        <v>236500</v>
      </c>
      <c r="K282">
        <f t="shared" si="172"/>
        <v>117500</v>
      </c>
      <c r="L282">
        <f t="shared" si="172"/>
        <v>24500</v>
      </c>
      <c r="M282">
        <f t="shared" si="114"/>
        <v>5</v>
      </c>
      <c r="N282">
        <v>116</v>
      </c>
      <c r="P282">
        <f t="shared" si="153"/>
        <v>1.9521682384919715E-6</v>
      </c>
      <c r="Q282">
        <f t="shared" si="153"/>
        <v>10.507486567164177</v>
      </c>
      <c r="R282" s="302">
        <f t="shared" si="115"/>
        <v>9.2969053539681355E-3</v>
      </c>
      <c r="S282" s="302">
        <f t="shared" si="158"/>
        <v>5.2899347796134324E-3</v>
      </c>
      <c r="T282" s="302">
        <f t="shared" si="158"/>
        <v>2.3861620395741294E-3</v>
      </c>
      <c r="U282" s="302">
        <f t="shared" si="158"/>
        <v>9.4750220470134709E-3</v>
      </c>
      <c r="V282" s="302">
        <f t="shared" si="158"/>
        <v>6.8932276167123479E-3</v>
      </c>
      <c r="W282" s="302">
        <f t="shared" si="158"/>
        <v>6.8932276167123479E-3</v>
      </c>
      <c r="X282" s="302">
        <f t="shared" si="158"/>
        <v>2.812700816082317E-4</v>
      </c>
      <c r="Y282" s="302">
        <f t="shared" si="158"/>
        <v>2.4259969088169028E-9</v>
      </c>
      <c r="Z282" s="302">
        <f t="shared" si="158"/>
        <v>2.9747574095912864E-4</v>
      </c>
      <c r="AA282" s="302">
        <f t="shared" si="158"/>
        <v>6.1673693415943307E-4</v>
      </c>
      <c r="AB282" s="302">
        <f t="shared" si="116"/>
        <v>1.3854791984384771E-7</v>
      </c>
      <c r="AC282" s="302">
        <f t="shared" si="161"/>
        <v>0</v>
      </c>
      <c r="AD282" s="302">
        <f t="shared" si="161"/>
        <v>0</v>
      </c>
      <c r="AE282" s="302">
        <f t="shared" si="161"/>
        <v>7.2779506134047131E-9</v>
      </c>
      <c r="AF282" s="302">
        <f t="shared" si="161"/>
        <v>4.8519670756031413E-9</v>
      </c>
      <c r="AG282" s="302">
        <f t="shared" si="161"/>
        <v>4.796654650941265E-5</v>
      </c>
      <c r="AH282" s="302">
        <f t="shared" si="161"/>
        <v>1.6739286410830839E-7</v>
      </c>
      <c r="AI282" s="302">
        <f t="shared" si="161"/>
        <v>8.7092809007076382E-7</v>
      </c>
      <c r="AJ282" s="302">
        <f t="shared" si="161"/>
        <v>3.5661958005683087E-7</v>
      </c>
    </row>
    <row r="283" spans="9:36" x14ac:dyDescent="0.25">
      <c r="I283">
        <f t="shared" ref="I283:L283" si="173">I122</f>
        <v>170000</v>
      </c>
      <c r="J283">
        <f t="shared" si="173"/>
        <v>78500</v>
      </c>
      <c r="K283">
        <f t="shared" si="173"/>
        <v>28000</v>
      </c>
      <c r="L283">
        <f t="shared" si="173"/>
        <v>36000</v>
      </c>
      <c r="M283">
        <f t="shared" si="114"/>
        <v>5</v>
      </c>
      <c r="N283">
        <v>117</v>
      </c>
      <c r="P283">
        <f t="shared" si="153"/>
        <v>5.6286571412950794E-6</v>
      </c>
      <c r="Q283">
        <f t="shared" si="153"/>
        <v>10.615479411764708</v>
      </c>
      <c r="R283" s="302">
        <f t="shared" si="115"/>
        <v>7.6397644405949228E-3</v>
      </c>
      <c r="S283" s="302">
        <f t="shared" si="158"/>
        <v>2.9519624512176056E-3</v>
      </c>
      <c r="T283" s="302">
        <f t="shared" si="158"/>
        <v>5.6829718909450884E-2</v>
      </c>
      <c r="U283" s="302">
        <f t="shared" si="158"/>
        <v>2.7540924123093939E-2</v>
      </c>
      <c r="V283" s="302">
        <f t="shared" si="158"/>
        <v>4.0954789232451267E-3</v>
      </c>
      <c r="W283" s="302">
        <f t="shared" si="158"/>
        <v>5.0902850931237292E-3</v>
      </c>
      <c r="X283" s="302">
        <f t="shared" si="158"/>
        <v>1.103785779825928E-4</v>
      </c>
      <c r="Y283" s="302">
        <f t="shared" si="158"/>
        <v>6.9248917745733136E-7</v>
      </c>
      <c r="Z283" s="302">
        <f t="shared" si="158"/>
        <v>7.8034437007211996E-4</v>
      </c>
      <c r="AA283" s="302">
        <f t="shared" si="158"/>
        <v>7.0130267607951562E-4</v>
      </c>
      <c r="AB283" s="302">
        <f t="shared" si="116"/>
        <v>1.9991143041079067E-7</v>
      </c>
      <c r="AC283" s="302">
        <f t="shared" si="161"/>
        <v>2.0284924709282471E-9</v>
      </c>
      <c r="AD283" s="302">
        <f t="shared" si="161"/>
        <v>1.3989603247781011E-9</v>
      </c>
      <c r="AE283" s="302">
        <f t="shared" si="161"/>
        <v>1.9310548843074521E-6</v>
      </c>
      <c r="AF283" s="302">
        <f t="shared" si="161"/>
        <v>2.8526269930566507E-5</v>
      </c>
      <c r="AG283" s="302">
        <f t="shared" si="161"/>
        <v>1.0380285609853512E-7</v>
      </c>
      <c r="AH283" s="302">
        <f t="shared" si="161"/>
        <v>1.1856188752494409E-7</v>
      </c>
      <c r="AI283" s="302">
        <f t="shared" si="161"/>
        <v>9.4429821922521844E-7</v>
      </c>
      <c r="AJ283" s="302">
        <f t="shared" si="161"/>
        <v>2.6552266964288361E-7</v>
      </c>
    </row>
    <row r="284" spans="9:36" x14ac:dyDescent="0.25">
      <c r="I284">
        <f t="shared" ref="I284:L284" si="174">I123</f>
        <v>268000</v>
      </c>
      <c r="J284">
        <f t="shared" si="174"/>
        <v>191100</v>
      </c>
      <c r="K284">
        <f t="shared" si="174"/>
        <v>98500</v>
      </c>
      <c r="L284">
        <f t="shared" si="174"/>
        <v>0</v>
      </c>
      <c r="M284">
        <f t="shared" si="114"/>
        <v>4</v>
      </c>
      <c r="N284">
        <v>118</v>
      </c>
      <c r="P284">
        <f t="shared" si="153"/>
        <v>3.6850693014817894E-6</v>
      </c>
      <c r="Q284">
        <f t="shared" si="153"/>
        <v>10.9169776119403</v>
      </c>
      <c r="R284" s="302">
        <f t="shared" si="115"/>
        <v>2.8202431557972714E-3</v>
      </c>
      <c r="S284" s="302">
        <f t="shared" si="158"/>
        <v>7.0505162993673076E-3</v>
      </c>
      <c r="T284" s="302">
        <f t="shared" si="158"/>
        <v>3.1659958809575305E-3</v>
      </c>
      <c r="U284" s="302">
        <f t="shared" si="158"/>
        <v>6.1419422507342563E-3</v>
      </c>
      <c r="V284" s="302">
        <f t="shared" si="158"/>
        <v>1.4102131680245056E-3</v>
      </c>
      <c r="W284" s="302">
        <f t="shared" si="158"/>
        <v>1.4177235583458677E-3</v>
      </c>
      <c r="X284" s="302">
        <f t="shared" si="158"/>
        <v>6.1548564584819634E-7</v>
      </c>
      <c r="Y284" s="302">
        <f t="shared" si="158"/>
        <v>0</v>
      </c>
      <c r="Z284" s="302">
        <f t="shared" si="158"/>
        <v>3.7130637027806365E-4</v>
      </c>
      <c r="AA284" s="302">
        <f t="shared" si="158"/>
        <v>3.7707654820789049E-4</v>
      </c>
      <c r="AB284" s="302">
        <f t="shared" si="116"/>
        <v>4.2634968606340964E-14</v>
      </c>
      <c r="AC284" s="302">
        <f t="shared" si="161"/>
        <v>0</v>
      </c>
      <c r="AD284" s="302">
        <f t="shared" si="161"/>
        <v>0</v>
      </c>
      <c r="AE284" s="302">
        <f t="shared" si="161"/>
        <v>0</v>
      </c>
      <c r="AF284" s="302">
        <f t="shared" si="161"/>
        <v>4.6893885985921758E-7</v>
      </c>
      <c r="AG284" s="302">
        <f t="shared" si="161"/>
        <v>8.5645454659053571E-6</v>
      </c>
      <c r="AH284" s="302">
        <f t="shared" si="161"/>
        <v>0</v>
      </c>
      <c r="AI284" s="302">
        <f t="shared" si="161"/>
        <v>1.185444465460518E-5</v>
      </c>
      <c r="AJ284" s="302">
        <f t="shared" si="161"/>
        <v>0</v>
      </c>
    </row>
    <row r="285" spans="9:36" x14ac:dyDescent="0.25">
      <c r="I285">
        <f t="shared" ref="I285:L285" si="175">I124</f>
        <v>330000</v>
      </c>
      <c r="J285">
        <f t="shared" si="175"/>
        <v>240000</v>
      </c>
      <c r="K285">
        <f t="shared" si="175"/>
        <v>98000</v>
      </c>
      <c r="L285">
        <f t="shared" si="175"/>
        <v>58000</v>
      </c>
      <c r="M285">
        <f t="shared" si="114"/>
        <v>5</v>
      </c>
      <c r="N285">
        <v>119</v>
      </c>
      <c r="P285">
        <f t="shared" ref="P285:Q298" si="176">P124</f>
        <v>3.0303030303030305E-6</v>
      </c>
      <c r="Q285">
        <f t="shared" si="176"/>
        <v>10.964257575757577</v>
      </c>
      <c r="R285" s="302">
        <f t="shared" si="115"/>
        <v>8.323808371108344E-3</v>
      </c>
      <c r="S285" s="302">
        <f t="shared" ref="S285:AA295" si="177">S124*$P124*907.185/365</f>
        <v>3.3224662098381069E-2</v>
      </c>
      <c r="T285" s="302">
        <f t="shared" si="177"/>
        <v>5.8153985392278952E-3</v>
      </c>
      <c r="U285" s="302">
        <f t="shared" si="177"/>
        <v>1.6396512151930262E-2</v>
      </c>
      <c r="V285" s="302">
        <f t="shared" si="177"/>
        <v>1.6135013910336239E-3</v>
      </c>
      <c r="W285" s="302">
        <f t="shared" si="177"/>
        <v>1.7588618767123288E-3</v>
      </c>
      <c r="X285" s="302">
        <f t="shared" si="177"/>
        <v>2.5908811955168115E-4</v>
      </c>
      <c r="Y285" s="302">
        <f t="shared" si="177"/>
        <v>9.489855541718556E-8</v>
      </c>
      <c r="Z285" s="302">
        <f t="shared" si="177"/>
        <v>1.9032432503113326E-4</v>
      </c>
      <c r="AA285" s="302">
        <f t="shared" si="177"/>
        <v>3.7364423287671234E-4</v>
      </c>
      <c r="AB285" s="302">
        <f t="shared" si="116"/>
        <v>4.5189539227895397E-8</v>
      </c>
      <c r="AC285" s="302">
        <f t="shared" si="161"/>
        <v>4.4285748443337484E-8</v>
      </c>
      <c r="AD285" s="302">
        <f t="shared" si="161"/>
        <v>3.0879518472395179E-8</v>
      </c>
      <c r="AE285" s="302">
        <f t="shared" si="161"/>
        <v>0</v>
      </c>
      <c r="AF285" s="302">
        <f t="shared" si="161"/>
        <v>1.4198553225404733E-5</v>
      </c>
      <c r="AG285" s="302">
        <f t="shared" si="161"/>
        <v>4.270185509339975E-5</v>
      </c>
      <c r="AH285" s="302">
        <f t="shared" si="161"/>
        <v>0</v>
      </c>
      <c r="AI285" s="302">
        <f t="shared" si="161"/>
        <v>3.4336518223329184E-6</v>
      </c>
      <c r="AJ285" s="302">
        <f t="shared" si="161"/>
        <v>5.3474288086342885E-8</v>
      </c>
    </row>
    <row r="286" spans="9:36" x14ac:dyDescent="0.25">
      <c r="I286">
        <f t="shared" ref="I286:L286" si="178">I125</f>
        <v>490000</v>
      </c>
      <c r="J286">
        <f t="shared" si="178"/>
        <v>254700</v>
      </c>
      <c r="K286">
        <f t="shared" si="178"/>
        <v>82700</v>
      </c>
      <c r="L286">
        <f t="shared" si="178"/>
        <v>88400</v>
      </c>
      <c r="M286">
        <f t="shared" si="114"/>
        <v>5</v>
      </c>
      <c r="N286">
        <v>120</v>
      </c>
      <c r="P286">
        <f t="shared" si="176"/>
        <v>2.2543961194511644E-6</v>
      </c>
      <c r="Q286">
        <f t="shared" si="176"/>
        <v>11.040204081632654</v>
      </c>
      <c r="R286" s="302">
        <f t="shared" si="115"/>
        <v>5.2005193218944163E-3</v>
      </c>
      <c r="S286" s="302">
        <f t="shared" si="177"/>
        <v>6.0547214580191425E-3</v>
      </c>
      <c r="T286" s="302">
        <f t="shared" si="177"/>
        <v>1.8577285551469537E-3</v>
      </c>
      <c r="U286" s="302">
        <f t="shared" si="177"/>
        <v>9.4316915165367655E-3</v>
      </c>
      <c r="V286" s="302">
        <f t="shared" si="177"/>
        <v>2.9249069011378719E-3</v>
      </c>
      <c r="W286" s="302">
        <f t="shared" si="177"/>
        <v>2.9983083310049356E-3</v>
      </c>
      <c r="X286" s="302">
        <f t="shared" si="177"/>
        <v>9.1051392010671096E-5</v>
      </c>
      <c r="Y286" s="302">
        <f t="shared" si="177"/>
        <v>2.6502959028336877E-9</v>
      </c>
      <c r="Z286" s="302">
        <f t="shared" si="177"/>
        <v>9.9803531968866072E-4</v>
      </c>
      <c r="AA286" s="302">
        <f t="shared" si="177"/>
        <v>6.5725097125241341E-4</v>
      </c>
      <c r="AB286" s="302">
        <f t="shared" si="116"/>
        <v>2.8856128271137244E-9</v>
      </c>
      <c r="AC286" s="302">
        <f t="shared" si="161"/>
        <v>2.6194640712148854E-10</v>
      </c>
      <c r="AD286" s="302">
        <f t="shared" si="161"/>
        <v>6.8022018876040025E-8</v>
      </c>
      <c r="AE286" s="302">
        <f t="shared" si="161"/>
        <v>1.2864790390394389E-7</v>
      </c>
      <c r="AF286" s="302">
        <f t="shared" si="161"/>
        <v>7.6328661625935334E-7</v>
      </c>
      <c r="AG286" s="302">
        <f t="shared" si="161"/>
        <v>2.0825551820255293E-5</v>
      </c>
      <c r="AH286" s="302">
        <f t="shared" si="161"/>
        <v>4.6449961818976251E-8</v>
      </c>
      <c r="AI286" s="302">
        <f t="shared" si="161"/>
        <v>4.3802482089245701E-7</v>
      </c>
      <c r="AJ286" s="302">
        <f t="shared" si="161"/>
        <v>1.4066662140716514E-5</v>
      </c>
    </row>
    <row r="287" spans="9:36" x14ac:dyDescent="0.25">
      <c r="I287">
        <f t="shared" ref="I287:L287" si="179">I126</f>
        <v>269000</v>
      </c>
      <c r="J287">
        <f t="shared" si="179"/>
        <v>161000</v>
      </c>
      <c r="K287">
        <f t="shared" si="179"/>
        <v>67500</v>
      </c>
      <c r="L287">
        <f t="shared" si="179"/>
        <v>46000</v>
      </c>
      <c r="M287">
        <f t="shared" si="114"/>
        <v>5</v>
      </c>
      <c r="N287">
        <v>121</v>
      </c>
      <c r="P287">
        <f t="shared" si="176"/>
        <v>3.5571439182905709E-6</v>
      </c>
      <c r="Q287">
        <f t="shared" si="176"/>
        <v>11.111781784386618</v>
      </c>
      <c r="R287" s="302">
        <f t="shared" si="115"/>
        <v>6.7551901910833188E-3</v>
      </c>
      <c r="S287" s="302">
        <f t="shared" si="177"/>
        <v>4.7874350366741494E-3</v>
      </c>
      <c r="T287" s="302">
        <f t="shared" si="177"/>
        <v>3.3533263805358049E-3</v>
      </c>
      <c r="U287" s="302">
        <f t="shared" si="177"/>
        <v>5.7344895909281378E-3</v>
      </c>
      <c r="V287" s="302">
        <f t="shared" si="177"/>
        <v>1.5631881603589224E-3</v>
      </c>
      <c r="W287" s="302">
        <f t="shared" si="177"/>
        <v>1.6289656611398191E-3</v>
      </c>
      <c r="X287" s="302">
        <f t="shared" si="177"/>
        <v>4.2286799225138425E-4</v>
      </c>
      <c r="Y287" s="302">
        <f t="shared" si="177"/>
        <v>1.3084771660716051E-7</v>
      </c>
      <c r="Z287" s="302">
        <f t="shared" si="177"/>
        <v>4.8625840631039379E-6</v>
      </c>
      <c r="AA287" s="302">
        <f t="shared" si="177"/>
        <v>5.2073854784876718E-5</v>
      </c>
      <c r="AB287" s="302">
        <f t="shared" si="116"/>
        <v>3.991717462020192E-8</v>
      </c>
      <c r="AC287" s="302">
        <f t="shared" ref="AC287:AJ295" si="180">AC126*$P126*0.45359/365</f>
        <v>1.5604388306679156E-10</v>
      </c>
      <c r="AD287" s="302">
        <f t="shared" si="180"/>
        <v>2.7407140935243849E-8</v>
      </c>
      <c r="AE287" s="302">
        <f t="shared" si="180"/>
        <v>2.4761467733672325E-6</v>
      </c>
      <c r="AF287" s="302">
        <f t="shared" si="180"/>
        <v>1.2961013768540915E-5</v>
      </c>
      <c r="AG287" s="302">
        <f t="shared" si="180"/>
        <v>5.909377431232794E-6</v>
      </c>
      <c r="AH287" s="302">
        <f t="shared" si="180"/>
        <v>3.0001978310887101E-6</v>
      </c>
      <c r="AI287" s="302">
        <f t="shared" si="180"/>
        <v>7.9348093514133405E-8</v>
      </c>
      <c r="AJ287" s="302">
        <f t="shared" si="180"/>
        <v>3.0125752495755942E-7</v>
      </c>
    </row>
    <row r="288" spans="9:36" x14ac:dyDescent="0.25">
      <c r="I288">
        <f t="shared" ref="I288:L288" si="181">I127</f>
        <v>344500</v>
      </c>
      <c r="J288">
        <f t="shared" si="181"/>
        <v>143000</v>
      </c>
      <c r="K288">
        <f t="shared" si="181"/>
        <v>45500</v>
      </c>
      <c r="L288">
        <f t="shared" si="181"/>
        <v>60000</v>
      </c>
      <c r="M288">
        <f t="shared" si="114"/>
        <v>5</v>
      </c>
      <c r="N288">
        <v>122</v>
      </c>
      <c r="P288">
        <f t="shared" si="176"/>
        <v>2.8667592824299553E-6</v>
      </c>
      <c r="Q288">
        <f t="shared" si="176"/>
        <v>11.217850507982584</v>
      </c>
      <c r="R288" s="302">
        <f t="shared" si="115"/>
        <v>1.4087283445296644E-2</v>
      </c>
      <c r="S288" s="302">
        <f t="shared" si="177"/>
        <v>1.0770168243408115E-2</v>
      </c>
      <c r="T288" s="302">
        <f t="shared" si="177"/>
        <v>3.5002316462844833E-3</v>
      </c>
      <c r="U288" s="302">
        <f t="shared" si="177"/>
        <v>1.3740715980105242E-2</v>
      </c>
      <c r="V288" s="302">
        <f t="shared" si="177"/>
        <v>3.8306962646146091E-3</v>
      </c>
      <c r="W288" s="302">
        <f t="shared" si="177"/>
        <v>3.8541380195586815E-3</v>
      </c>
      <c r="X288" s="302">
        <f t="shared" si="177"/>
        <v>4.8187412974701177E-4</v>
      </c>
      <c r="Y288" s="302">
        <f t="shared" si="177"/>
        <v>1.4962822304727559E-6</v>
      </c>
      <c r="Z288" s="302">
        <f t="shared" si="177"/>
        <v>7.671652750238174E-4</v>
      </c>
      <c r="AA288" s="302">
        <f t="shared" si="177"/>
        <v>8.9342299466180425E-4</v>
      </c>
      <c r="AB288" s="302">
        <f t="shared" si="116"/>
        <v>7.0253626088578616E-7</v>
      </c>
      <c r="AC288" s="302">
        <f t="shared" si="180"/>
        <v>1.3629987223747104E-6</v>
      </c>
      <c r="AD288" s="302">
        <f t="shared" si="180"/>
        <v>2.2301607470309441E-7</v>
      </c>
      <c r="AE288" s="302">
        <f t="shared" si="180"/>
        <v>4.8621779353799238E-6</v>
      </c>
      <c r="AF288" s="302">
        <f t="shared" si="180"/>
        <v>1.1100571679989965E-4</v>
      </c>
      <c r="AG288" s="302">
        <f t="shared" si="180"/>
        <v>2.9024152725337221E-5</v>
      </c>
      <c r="AH288" s="302">
        <f t="shared" si="180"/>
        <v>3.0502613923448792E-6</v>
      </c>
      <c r="AI288" s="302">
        <f t="shared" si="180"/>
        <v>3.220551621910501E-6</v>
      </c>
      <c r="AJ288" s="302">
        <f t="shared" si="180"/>
        <v>1.7399528895366023E-6</v>
      </c>
    </row>
    <row r="289" spans="9:36" x14ac:dyDescent="0.25">
      <c r="I289">
        <f t="shared" ref="I289:L289" si="182">I128</f>
        <v>138700</v>
      </c>
      <c r="J289">
        <f t="shared" si="182"/>
        <v>78000</v>
      </c>
      <c r="K289">
        <f t="shared" si="182"/>
        <v>48000</v>
      </c>
      <c r="L289">
        <f t="shared" si="182"/>
        <v>24750</v>
      </c>
      <c r="M289">
        <f t="shared" si="114"/>
        <v>5</v>
      </c>
      <c r="N289">
        <v>123</v>
      </c>
      <c r="P289">
        <f t="shared" si="176"/>
        <v>6.8988587888980795E-6</v>
      </c>
      <c r="Q289">
        <f t="shared" si="176"/>
        <v>0</v>
      </c>
      <c r="R289" s="302">
        <f t="shared" si="115"/>
        <v>4.0802259354200867E-3</v>
      </c>
      <c r="S289" s="302">
        <f t="shared" si="177"/>
        <v>3.2681587800095333E-3</v>
      </c>
      <c r="T289" s="302">
        <f t="shared" si="177"/>
        <v>9.5342445332450201E-3</v>
      </c>
      <c r="U289" s="302">
        <f t="shared" si="177"/>
        <v>6.4838486939811386E-3</v>
      </c>
      <c r="V289" s="302">
        <f t="shared" si="177"/>
        <v>2.187574486640169E-3</v>
      </c>
      <c r="W289" s="302">
        <f t="shared" si="177"/>
        <v>2.2312985416717761E-3</v>
      </c>
      <c r="X289" s="302">
        <f t="shared" si="177"/>
        <v>9.5085022101787668E-4</v>
      </c>
      <c r="Y289" s="302">
        <f t="shared" si="177"/>
        <v>2.366242978181089E-7</v>
      </c>
      <c r="Z289" s="302">
        <f t="shared" si="177"/>
        <v>4.0140397187840067E-4</v>
      </c>
      <c r="AA289" s="302">
        <f t="shared" si="177"/>
        <v>6.2516825351074273E-4</v>
      </c>
      <c r="AB289" s="302">
        <f t="shared" si="116"/>
        <v>6.2190791525966753E-7</v>
      </c>
      <c r="AC289" s="302">
        <f t="shared" si="180"/>
        <v>1.3888740931647048E-8</v>
      </c>
      <c r="AD289" s="302">
        <f t="shared" si="180"/>
        <v>1.2431280463511247E-8</v>
      </c>
      <c r="AE289" s="302">
        <f t="shared" si="180"/>
        <v>1.1279886693683966E-6</v>
      </c>
      <c r="AF289" s="302">
        <f t="shared" si="180"/>
        <v>3.0618140902065755E-4</v>
      </c>
      <c r="AG289" s="302">
        <f t="shared" si="180"/>
        <v>5.3403066211870049E-7</v>
      </c>
      <c r="AH289" s="302">
        <f t="shared" si="180"/>
        <v>1.8561187726553002E-7</v>
      </c>
      <c r="AI289" s="302">
        <f t="shared" si="180"/>
        <v>2.5034026864450236E-7</v>
      </c>
      <c r="AJ289" s="302">
        <f t="shared" si="180"/>
        <v>0</v>
      </c>
    </row>
    <row r="290" spans="9:36" x14ac:dyDescent="0.25">
      <c r="I290">
        <f t="shared" ref="I290:L290" si="183">I129</f>
        <v>247000</v>
      </c>
      <c r="J290">
        <f t="shared" si="183"/>
        <v>92000</v>
      </c>
      <c r="K290">
        <f t="shared" si="183"/>
        <v>26000</v>
      </c>
      <c r="L290">
        <f t="shared" si="183"/>
        <v>0</v>
      </c>
      <c r="M290">
        <f t="shared" si="114"/>
        <v>4</v>
      </c>
      <c r="N290">
        <v>124</v>
      </c>
      <c r="P290">
        <f t="shared" si="176"/>
        <v>3.9794198707720958E-6</v>
      </c>
      <c r="Q290">
        <f t="shared" si="176"/>
        <v>11.266438866396761</v>
      </c>
      <c r="R290" s="302">
        <f t="shared" si="115"/>
        <v>8.6617942924516154E-3</v>
      </c>
      <c r="S290" s="302">
        <f t="shared" si="177"/>
        <v>5.4069947289182531E-3</v>
      </c>
      <c r="T290" s="302">
        <f t="shared" si="177"/>
        <v>1.1632832462166542E-2</v>
      </c>
      <c r="U290" s="302">
        <f t="shared" si="177"/>
        <v>1.6599893179336998E-2</v>
      </c>
      <c r="V290" s="302">
        <f t="shared" si="177"/>
        <v>4.7656880445269096E-3</v>
      </c>
      <c r="W290" s="302">
        <f t="shared" si="177"/>
        <v>4.7656880445269096E-3</v>
      </c>
      <c r="X290" s="302">
        <f t="shared" si="177"/>
        <v>8.5771307326368426E-4</v>
      </c>
      <c r="Y290" s="302">
        <f t="shared" si="177"/>
        <v>1.3846843894939556E-6</v>
      </c>
      <c r="Z290" s="302">
        <f t="shared" si="177"/>
        <v>5.2835600061976499E-4</v>
      </c>
      <c r="AA290" s="302">
        <f t="shared" si="177"/>
        <v>1.1352433873294014E-3</v>
      </c>
      <c r="AB290" s="302">
        <f t="shared" si="116"/>
        <v>1.2560996302263362E-7</v>
      </c>
      <c r="AC290" s="302">
        <f t="shared" si="180"/>
        <v>3.0640918538907009E-7</v>
      </c>
      <c r="AD290" s="302">
        <f t="shared" si="180"/>
        <v>2.3203226240243977E-7</v>
      </c>
      <c r="AE290" s="302">
        <f t="shared" si="180"/>
        <v>6.4952714068038471E-6</v>
      </c>
      <c r="AF290" s="302">
        <f t="shared" si="180"/>
        <v>2.3202978976537239E-5</v>
      </c>
      <c r="AG290" s="302">
        <f t="shared" si="180"/>
        <v>2.1554818012907974E-5</v>
      </c>
      <c r="AH290" s="302">
        <f t="shared" si="180"/>
        <v>5.1431840056220259E-6</v>
      </c>
      <c r="AI290" s="302">
        <f t="shared" si="180"/>
        <v>2.118159817395844E-6</v>
      </c>
      <c r="AJ290" s="302">
        <f t="shared" si="180"/>
        <v>0</v>
      </c>
    </row>
    <row r="291" spans="9:36" x14ac:dyDescent="0.25">
      <c r="I291">
        <f t="shared" ref="I291:L291" si="184">I130</f>
        <v>247000</v>
      </c>
      <c r="J291">
        <f t="shared" si="184"/>
        <v>125500</v>
      </c>
      <c r="K291">
        <f t="shared" si="184"/>
        <v>70900</v>
      </c>
      <c r="L291">
        <f t="shared" si="184"/>
        <v>0</v>
      </c>
      <c r="M291">
        <f t="shared" si="114"/>
        <v>4</v>
      </c>
      <c r="N291">
        <v>125</v>
      </c>
      <c r="P291">
        <f t="shared" si="176"/>
        <v>3.9983747886523061E-6</v>
      </c>
      <c r="Q291">
        <f t="shared" si="176"/>
        <v>11.431437246963563</v>
      </c>
      <c r="R291" s="302">
        <f t="shared" si="115"/>
        <v>4.5993728221920115E-3</v>
      </c>
      <c r="S291" s="302">
        <f t="shared" si="177"/>
        <v>4.7614569385438362E-3</v>
      </c>
      <c r="T291" s="302">
        <f t="shared" si="177"/>
        <v>2.612823781190795E-3</v>
      </c>
      <c r="U291" s="302">
        <f t="shared" si="177"/>
        <v>4.9609068597689212E-3</v>
      </c>
      <c r="V291" s="302">
        <f t="shared" si="177"/>
        <v>1.5850653928949179E-3</v>
      </c>
      <c r="W291" s="302">
        <f t="shared" si="177"/>
        <v>1.9241401966916237E-3</v>
      </c>
      <c r="X291" s="302">
        <f t="shared" si="177"/>
        <v>2.210147607397051E-4</v>
      </c>
      <c r="Y291" s="302">
        <f t="shared" si="177"/>
        <v>1.7689131030426041E-7</v>
      </c>
      <c r="Z291" s="302">
        <f t="shared" si="177"/>
        <v>1.4330183677457501E-4</v>
      </c>
      <c r="AA291" s="302">
        <f t="shared" si="177"/>
        <v>1.9467981847530683E-4</v>
      </c>
      <c r="AB291" s="302">
        <f t="shared" si="116"/>
        <v>4.5713232732986719E-8</v>
      </c>
      <c r="AC291" s="302">
        <f t="shared" si="180"/>
        <v>0</v>
      </c>
      <c r="AD291" s="302">
        <f t="shared" si="180"/>
        <v>0</v>
      </c>
      <c r="AE291" s="302">
        <f t="shared" si="180"/>
        <v>0</v>
      </c>
      <c r="AF291" s="302">
        <f t="shared" si="180"/>
        <v>0</v>
      </c>
      <c r="AG291" s="302">
        <f t="shared" si="180"/>
        <v>1.0386841489677767E-5</v>
      </c>
      <c r="AH291" s="302">
        <f t="shared" si="180"/>
        <v>0</v>
      </c>
      <c r="AI291" s="302">
        <f t="shared" si="180"/>
        <v>1.9574207503079121E-5</v>
      </c>
      <c r="AJ291" s="302">
        <f t="shared" si="180"/>
        <v>4.968829644889862E-8</v>
      </c>
    </row>
    <row r="292" spans="9:36" x14ac:dyDescent="0.25">
      <c r="I292">
        <f t="shared" ref="I292:L292" si="185">I131</f>
        <v>251275</v>
      </c>
      <c r="J292">
        <f t="shared" si="185"/>
        <v>133000</v>
      </c>
      <c r="K292">
        <f t="shared" si="185"/>
        <v>63450</v>
      </c>
      <c r="L292">
        <f t="shared" si="185"/>
        <v>45000</v>
      </c>
      <c r="M292">
        <f t="shared" si="114"/>
        <v>5</v>
      </c>
      <c r="N292">
        <v>126</v>
      </c>
      <c r="P292">
        <f t="shared" si="176"/>
        <v>3.8080657209040435E-6</v>
      </c>
      <c r="Q292">
        <f t="shared" si="176"/>
        <v>11.674586466165412</v>
      </c>
      <c r="R292" s="302">
        <f t="shared" si="115"/>
        <v>5.6611285507454688E-3</v>
      </c>
      <c r="S292" s="302">
        <f t="shared" si="177"/>
        <v>4.5737277194961637E-3</v>
      </c>
      <c r="T292" s="302">
        <f t="shared" si="177"/>
        <v>4.9563860501377292E-3</v>
      </c>
      <c r="U292" s="302">
        <f t="shared" si="177"/>
        <v>5.5283386328898888E-3</v>
      </c>
      <c r="V292" s="302">
        <f t="shared" si="177"/>
        <v>2.9570601593456388E-3</v>
      </c>
      <c r="W292" s="302">
        <f t="shared" si="177"/>
        <v>3.066756178443728E-3</v>
      </c>
      <c r="X292" s="302">
        <f t="shared" si="177"/>
        <v>1.5506038661639283E-3</v>
      </c>
      <c r="Y292" s="302">
        <f t="shared" si="177"/>
        <v>6.530651697815482E-8</v>
      </c>
      <c r="Z292" s="302">
        <f t="shared" si="177"/>
        <v>5.5841804372625132E-6</v>
      </c>
      <c r="AA292" s="302">
        <f t="shared" si="177"/>
        <v>9.2943477786301497E-5</v>
      </c>
      <c r="AB292" s="302">
        <f t="shared" si="116"/>
        <v>6.6536562894928235E-8</v>
      </c>
      <c r="AC292" s="302">
        <f t="shared" si="180"/>
        <v>6.577939005970855E-9</v>
      </c>
      <c r="AD292" s="302">
        <f t="shared" si="180"/>
        <v>3.0002973595579301E-8</v>
      </c>
      <c r="AE292" s="302">
        <f t="shared" si="180"/>
        <v>3.8346071773656004E-6</v>
      </c>
      <c r="AF292" s="302">
        <f t="shared" si="180"/>
        <v>1.007233896381182E-5</v>
      </c>
      <c r="AG292" s="302">
        <f t="shared" si="180"/>
        <v>1.4988141626568903E-5</v>
      </c>
      <c r="AH292" s="302">
        <f t="shared" si="180"/>
        <v>3.5459350339381024E-7</v>
      </c>
      <c r="AI292" s="302">
        <f t="shared" si="180"/>
        <v>1.4674956012601169E-7</v>
      </c>
      <c r="AJ292" s="302">
        <f t="shared" si="180"/>
        <v>8.1777032368834087E-6</v>
      </c>
    </row>
    <row r="293" spans="9:36" x14ac:dyDescent="0.25">
      <c r="I293">
        <f t="shared" ref="I293:L293" si="186">I132</f>
        <v>90000</v>
      </c>
      <c r="J293">
        <f t="shared" si="186"/>
        <v>39000</v>
      </c>
      <c r="K293">
        <f t="shared" si="186"/>
        <v>0</v>
      </c>
      <c r="L293">
        <f t="shared" si="186"/>
        <v>34000</v>
      </c>
      <c r="M293">
        <f t="shared" si="114"/>
        <v>3</v>
      </c>
      <c r="N293">
        <v>127</v>
      </c>
      <c r="P293">
        <f t="shared" si="176"/>
        <v>1.0973317475523551E-5</v>
      </c>
      <c r="Q293">
        <f t="shared" si="176"/>
        <v>11.788888888888888</v>
      </c>
      <c r="R293" s="302">
        <f t="shared" si="115"/>
        <v>5.6338877518596221E-3</v>
      </c>
      <c r="S293" s="302">
        <f t="shared" si="177"/>
        <v>4.8609566443043066E-3</v>
      </c>
      <c r="T293" s="302">
        <f t="shared" si="177"/>
        <v>1.7735959747467265E-3</v>
      </c>
      <c r="U293" s="302">
        <f t="shared" si="177"/>
        <v>5.7934377511256272E-3</v>
      </c>
      <c r="V293" s="302">
        <f t="shared" si="177"/>
        <v>2.2437911862588523E-3</v>
      </c>
      <c r="W293" s="302">
        <f t="shared" si="177"/>
        <v>2.2999746048038045E-3</v>
      </c>
      <c r="X293" s="302">
        <f t="shared" si="177"/>
        <v>6.6574623625353815E-4</v>
      </c>
      <c r="Y293" s="302">
        <f t="shared" si="177"/>
        <v>1.3364017032537227E-6</v>
      </c>
      <c r="Z293" s="302">
        <f t="shared" si="177"/>
        <v>1.464587172749488E-4</v>
      </c>
      <c r="AA293" s="302">
        <f t="shared" si="177"/>
        <v>3.4228247705784122E-4</v>
      </c>
      <c r="AB293" s="302">
        <f t="shared" si="116"/>
        <v>8.1820061485853066E-8</v>
      </c>
      <c r="AC293" s="302">
        <f t="shared" si="180"/>
        <v>8.4547396868714837E-8</v>
      </c>
      <c r="AD293" s="302">
        <f t="shared" si="180"/>
        <v>2.1818683062894148E-7</v>
      </c>
      <c r="AE293" s="302">
        <f t="shared" si="180"/>
        <v>5.3728507042376848E-6</v>
      </c>
      <c r="AF293" s="302">
        <f t="shared" si="180"/>
        <v>1.8245873711345232E-5</v>
      </c>
      <c r="AG293" s="302">
        <f t="shared" si="180"/>
        <v>3.3437131793885286E-5</v>
      </c>
      <c r="AH293" s="302">
        <f t="shared" si="180"/>
        <v>4.3637366125788297E-7</v>
      </c>
      <c r="AI293" s="302">
        <f t="shared" si="180"/>
        <v>1.6064005405055815E-5</v>
      </c>
      <c r="AJ293" s="302">
        <f t="shared" si="180"/>
        <v>0</v>
      </c>
    </row>
    <row r="294" spans="9:36" x14ac:dyDescent="0.25">
      <c r="I294">
        <f t="shared" ref="I294:L294" si="187">I133</f>
        <v>58000</v>
      </c>
      <c r="J294">
        <f t="shared" si="187"/>
        <v>35000</v>
      </c>
      <c r="K294">
        <f t="shared" si="187"/>
        <v>20000</v>
      </c>
      <c r="L294">
        <f t="shared" si="187"/>
        <v>0</v>
      </c>
      <c r="M294">
        <f t="shared" si="114"/>
        <v>4</v>
      </c>
      <c r="N294">
        <v>128</v>
      </c>
      <c r="P294">
        <f t="shared" si="176"/>
        <v>1.7241379310344828E-5</v>
      </c>
      <c r="Q294">
        <f t="shared" si="176"/>
        <v>11.939451724137932</v>
      </c>
      <c r="R294" s="302">
        <f t="shared" si="115"/>
        <v>1.4905345231459611E-2</v>
      </c>
      <c r="S294" s="302">
        <f t="shared" si="177"/>
        <v>1.4804213601794994E-2</v>
      </c>
      <c r="T294" s="302">
        <f t="shared" si="177"/>
        <v>1.5769677846008499E-3</v>
      </c>
      <c r="U294" s="302">
        <f t="shared" si="177"/>
        <v>2.1841003816721775E-2</v>
      </c>
      <c r="V294" s="302">
        <f t="shared" si="177"/>
        <v>3.6231691898913555E-3</v>
      </c>
      <c r="W294" s="302">
        <f t="shared" si="177"/>
        <v>4.3910839371752476E-3</v>
      </c>
      <c r="X294" s="302">
        <f t="shared" si="177"/>
        <v>8.9132961738308932E-5</v>
      </c>
      <c r="Y294" s="302">
        <f t="shared" si="177"/>
        <v>7.5848722248464816E-7</v>
      </c>
      <c r="Z294" s="302">
        <f t="shared" si="177"/>
        <v>3.7795803967879076E-4</v>
      </c>
      <c r="AA294" s="302">
        <f t="shared" si="177"/>
        <v>6.9078045347189425E-4</v>
      </c>
      <c r="AB294" s="302">
        <f t="shared" si="116"/>
        <v>8.7846905999055249E-8</v>
      </c>
      <c r="AC294" s="302">
        <f t="shared" si="180"/>
        <v>0</v>
      </c>
      <c r="AD294" s="302">
        <f t="shared" si="180"/>
        <v>0</v>
      </c>
      <c r="AE294" s="302">
        <f t="shared" si="180"/>
        <v>0</v>
      </c>
      <c r="AF294" s="302">
        <f t="shared" si="180"/>
        <v>0</v>
      </c>
      <c r="AG294" s="302">
        <f t="shared" si="180"/>
        <v>4.3923452999527639E-5</v>
      </c>
      <c r="AH294" s="302">
        <f t="shared" si="180"/>
        <v>0</v>
      </c>
      <c r="AI294" s="302">
        <f t="shared" si="180"/>
        <v>1.1570080302314596E-6</v>
      </c>
      <c r="AJ294" s="302">
        <f t="shared" si="180"/>
        <v>7.7133868682097307E-8</v>
      </c>
    </row>
    <row r="295" spans="9:36" x14ac:dyDescent="0.25">
      <c r="I295">
        <f t="shared" ref="I295:L295" si="188">I134</f>
        <v>161000</v>
      </c>
      <c r="J295">
        <f t="shared" si="188"/>
        <v>144000</v>
      </c>
      <c r="K295">
        <f t="shared" si="188"/>
        <v>42000</v>
      </c>
      <c r="L295">
        <f t="shared" si="188"/>
        <v>32000</v>
      </c>
      <c r="M295">
        <f t="shared" si="114"/>
        <v>5</v>
      </c>
      <c r="N295">
        <v>129</v>
      </c>
      <c r="P295">
        <f t="shared" si="176"/>
        <v>5.9433025715538109E-6</v>
      </c>
      <c r="Q295">
        <f t="shared" si="176"/>
        <v>12.342267080745343</v>
      </c>
      <c r="R295" s="302">
        <f t="shared" si="115"/>
        <v>4.999633702286896E-3</v>
      </c>
      <c r="S295" s="302">
        <f t="shared" si="177"/>
        <v>8.669074723338388E-3</v>
      </c>
      <c r="T295" s="302">
        <f t="shared" si="177"/>
        <v>6.9416707017540677E-3</v>
      </c>
      <c r="U295" s="302">
        <f t="shared" si="177"/>
        <v>1.5117665672736676E-2</v>
      </c>
      <c r="V295" s="302">
        <f t="shared" si="177"/>
        <v>2.0170772973092119E-3</v>
      </c>
      <c r="W295" s="302">
        <f t="shared" si="177"/>
        <v>2.2070415158620964E-3</v>
      </c>
      <c r="X295" s="302">
        <f t="shared" si="177"/>
        <v>3.5452109216712614E-6</v>
      </c>
      <c r="Y295" s="302">
        <f t="shared" si="177"/>
        <v>5.7314243233685393E-7</v>
      </c>
      <c r="Z295" s="302">
        <f t="shared" si="177"/>
        <v>6.1701441749253592E-4</v>
      </c>
      <c r="AA295" s="302">
        <f t="shared" si="177"/>
        <v>4.4241277960022616E-4</v>
      </c>
      <c r="AB295" s="302">
        <f t="shared" si="116"/>
        <v>1.4402339989563374E-8</v>
      </c>
      <c r="AC295" s="302">
        <f t="shared" si="180"/>
        <v>3.3236169206684712E-9</v>
      </c>
      <c r="AD295" s="302">
        <f t="shared" si="180"/>
        <v>3.6190495358390014E-9</v>
      </c>
      <c r="AE295" s="302">
        <f t="shared" si="180"/>
        <v>1.5966655686891334E-6</v>
      </c>
      <c r="AF295" s="302">
        <f t="shared" si="180"/>
        <v>7.5081244819438683E-5</v>
      </c>
      <c r="AG295" s="302">
        <f t="shared" si="180"/>
        <v>2.038485044676662E-7</v>
      </c>
      <c r="AH295" s="302">
        <f t="shared" si="180"/>
        <v>3.1906722438417318E-8</v>
      </c>
      <c r="AI295" s="302">
        <f t="shared" si="180"/>
        <v>5.4655033806548183E-7</v>
      </c>
      <c r="AJ295" s="302">
        <f t="shared" si="180"/>
        <v>5.7609359958253499E-9</v>
      </c>
    </row>
    <row r="296" spans="9:36" x14ac:dyDescent="0.25">
      <c r="I296">
        <f t="shared" ref="I296:L296" si="189">I135</f>
        <v>149500</v>
      </c>
      <c r="J296">
        <f t="shared" si="189"/>
        <v>98000</v>
      </c>
      <c r="K296">
        <f t="shared" si="189"/>
        <v>50500</v>
      </c>
      <c r="L296">
        <f t="shared" si="189"/>
        <v>21000</v>
      </c>
      <c r="M296">
        <f t="shared" ref="M296:M306" si="190">IF(AND(K296&gt;0,L296&gt;0),5,IF(K296&gt;0,4,IF(L296&gt;0,3,IF(J296&gt;0,2,IF(I296&gt;0,1,0)))))</f>
        <v>5</v>
      </c>
      <c r="N296">
        <v>130</v>
      </c>
      <c r="P296">
        <f t="shared" si="176"/>
        <v>6.4004796924425658E-6</v>
      </c>
      <c r="Q296">
        <f t="shared" si="176"/>
        <v>12.593023411371236</v>
      </c>
      <c r="R296" s="302">
        <f t="shared" ref="R296:AA306" si="191">R135*$P135*907.185/365</f>
        <v>1.5486435785723597E-2</v>
      </c>
      <c r="S296" s="302">
        <f t="shared" si="191"/>
        <v>9.7447621666776618E-3</v>
      </c>
      <c r="T296" s="302">
        <f t="shared" si="191"/>
        <v>5.5153028114128116E-3</v>
      </c>
      <c r="U296" s="302">
        <f t="shared" si="191"/>
        <v>1.3011787659552911E-2</v>
      </c>
      <c r="V296" s="302">
        <f t="shared" si="191"/>
        <v>5.1296929465479519E-3</v>
      </c>
      <c r="W296" s="302">
        <f t="shared" si="191"/>
        <v>5.485236695711714E-3</v>
      </c>
      <c r="X296" s="302">
        <f t="shared" si="191"/>
        <v>7.9937688570376041E-4</v>
      </c>
      <c r="Y296" s="302">
        <f t="shared" si="191"/>
        <v>5.7746031743376125E-7</v>
      </c>
      <c r="Z296" s="302">
        <f t="shared" si="191"/>
        <v>3.5299846952769047E-4</v>
      </c>
      <c r="AA296" s="302">
        <f t="shared" si="191"/>
        <v>6.5493226635669299E-4</v>
      </c>
      <c r="AB296" s="302">
        <f t="shared" ref="AB296:AJ306" si="192">AB135*$P135*0.45359/365</f>
        <v>1.4039526012548179E-6</v>
      </c>
      <c r="AC296" s="302">
        <f t="shared" si="192"/>
        <v>4.8519125645314098E-9</v>
      </c>
      <c r="AD296" s="302">
        <f t="shared" si="192"/>
        <v>2.211994892124893E-7</v>
      </c>
      <c r="AE296" s="302">
        <f t="shared" si="192"/>
        <v>1.1901184743943878E-5</v>
      </c>
      <c r="AF296" s="302">
        <f t="shared" si="192"/>
        <v>1.1486075785205632E-4</v>
      </c>
      <c r="AG296" s="302">
        <f t="shared" si="192"/>
        <v>1.6599267818314572E-5</v>
      </c>
      <c r="AH296" s="302">
        <f t="shared" si="192"/>
        <v>4.9582569431999089E-6</v>
      </c>
      <c r="AI296" s="302">
        <f t="shared" si="192"/>
        <v>1.0771245893259726E-6</v>
      </c>
      <c r="AJ296" s="302">
        <f t="shared" si="192"/>
        <v>1.7339621951931918E-7</v>
      </c>
    </row>
    <row r="297" spans="9:36" x14ac:dyDescent="0.25">
      <c r="I297">
        <f t="shared" ref="I297:L297" si="193">I136</f>
        <v>451250</v>
      </c>
      <c r="J297">
        <f t="shared" si="193"/>
        <v>225150</v>
      </c>
      <c r="K297">
        <f t="shared" si="193"/>
        <v>29700</v>
      </c>
      <c r="L297">
        <f t="shared" si="193"/>
        <v>117000</v>
      </c>
      <c r="M297">
        <f t="shared" si="190"/>
        <v>5</v>
      </c>
      <c r="N297">
        <v>131</v>
      </c>
      <c r="P297">
        <f t="shared" si="176"/>
        <v>2.1885840948412623E-6</v>
      </c>
      <c r="Q297">
        <f t="shared" si="176"/>
        <v>12.895638559556785</v>
      </c>
      <c r="R297" s="302">
        <f t="shared" si="191"/>
        <v>4.8848613796158846E-3</v>
      </c>
      <c r="S297" s="302">
        <f t="shared" si="191"/>
        <v>7.8239267144862186E-3</v>
      </c>
      <c r="T297" s="302">
        <f t="shared" si="191"/>
        <v>3.5929041556425115E-3</v>
      </c>
      <c r="U297" s="302">
        <f t="shared" si="191"/>
        <v>9.0597473608358924E-3</v>
      </c>
      <c r="V297" s="302">
        <f t="shared" si="191"/>
        <v>1.6263832697393746E-3</v>
      </c>
      <c r="W297" s="302">
        <f t="shared" si="191"/>
        <v>1.6293750447096305E-3</v>
      </c>
      <c r="X297" s="302">
        <f t="shared" si="191"/>
        <v>8.7740600491307785E-5</v>
      </c>
      <c r="Y297" s="302">
        <f t="shared" si="191"/>
        <v>0</v>
      </c>
      <c r="Z297" s="302">
        <f t="shared" si="191"/>
        <v>1.2070452107266707E-4</v>
      </c>
      <c r="AA297" s="302">
        <f t="shared" si="191"/>
        <v>2.5538879064270929E-4</v>
      </c>
      <c r="AB297" s="302">
        <f t="shared" si="192"/>
        <v>4.7324179607329964E-8</v>
      </c>
      <c r="AC297" s="302">
        <f t="shared" si="192"/>
        <v>1.4741209969639565E-8</v>
      </c>
      <c r="AD297" s="302">
        <f t="shared" si="192"/>
        <v>6.4186818317987781E-8</v>
      </c>
      <c r="AE297" s="302">
        <f t="shared" si="192"/>
        <v>1.904390262129451E-6</v>
      </c>
      <c r="AF297" s="302">
        <f t="shared" si="192"/>
        <v>9.9119678253421452E-6</v>
      </c>
      <c r="AG297" s="302">
        <f t="shared" si="192"/>
        <v>3.0098178230261857E-5</v>
      </c>
      <c r="AH297" s="302">
        <f t="shared" si="192"/>
        <v>1.3870880229734647E-7</v>
      </c>
      <c r="AI297" s="302">
        <f t="shared" si="192"/>
        <v>1.1137500890345758E-5</v>
      </c>
      <c r="AJ297" s="302">
        <f t="shared" si="192"/>
        <v>0</v>
      </c>
    </row>
    <row r="298" spans="9:36" x14ac:dyDescent="0.25">
      <c r="I298">
        <f t="shared" ref="I298:L298" si="194">I137</f>
        <v>156750</v>
      </c>
      <c r="J298">
        <f t="shared" si="194"/>
        <v>73625</v>
      </c>
      <c r="K298">
        <f t="shared" si="194"/>
        <v>37800</v>
      </c>
      <c r="L298">
        <f t="shared" si="194"/>
        <v>0</v>
      </c>
      <c r="M298">
        <f t="shared" si="190"/>
        <v>4</v>
      </c>
      <c r="N298">
        <v>132</v>
      </c>
      <c r="P298">
        <f t="shared" si="176"/>
        <v>6.3004693639369675E-6</v>
      </c>
      <c r="Q298">
        <f t="shared" si="176"/>
        <v>0</v>
      </c>
      <c r="R298" s="302">
        <f t="shared" si="191"/>
        <v>3.0622794853602003E-2</v>
      </c>
      <c r="S298" s="302">
        <f t="shared" si="191"/>
        <v>2.990042542986103E-2</v>
      </c>
      <c r="T298" s="302">
        <f t="shared" si="191"/>
        <v>1.1624776538350562E-2</v>
      </c>
      <c r="U298" s="302">
        <f t="shared" si="191"/>
        <v>5.2188489613917553E-2</v>
      </c>
      <c r="V298" s="302">
        <f t="shared" si="191"/>
        <v>1.6906858270890508E-2</v>
      </c>
      <c r="W298" s="302">
        <f t="shared" si="191"/>
        <v>1.786772078640636E-2</v>
      </c>
      <c r="X298" s="302">
        <f t="shared" si="191"/>
        <v>3.3308230198872749E-4</v>
      </c>
      <c r="Y298" s="302">
        <f t="shared" si="191"/>
        <v>1.6047312255951382E-6</v>
      </c>
      <c r="Z298" s="302">
        <f t="shared" si="191"/>
        <v>2.2942628283609363E-3</v>
      </c>
      <c r="AA298" s="302">
        <f t="shared" si="191"/>
        <v>2.0383877712630066E-3</v>
      </c>
      <c r="AB298" s="302">
        <f t="shared" si="192"/>
        <v>5.1834175572260289E-7</v>
      </c>
      <c r="AC298" s="302">
        <f t="shared" si="192"/>
        <v>6.511389256792343E-8</v>
      </c>
      <c r="AD298" s="302">
        <f t="shared" si="192"/>
        <v>2.7067172493453969E-7</v>
      </c>
      <c r="AE298" s="302">
        <f t="shared" si="192"/>
        <v>1.0544217875885003E-5</v>
      </c>
      <c r="AF298" s="302">
        <f t="shared" si="192"/>
        <v>7.2241242038791558E-5</v>
      </c>
      <c r="AG298" s="302">
        <f t="shared" si="192"/>
        <v>1.3601547790621454E-4</v>
      </c>
      <c r="AH298" s="302">
        <f t="shared" si="192"/>
        <v>5.0211679838160357E-6</v>
      </c>
      <c r="AI298" s="302">
        <f t="shared" si="192"/>
        <v>3.2336541046562024E-6</v>
      </c>
      <c r="AJ298" s="302">
        <f t="shared" si="192"/>
        <v>8.0254127294736242E-5</v>
      </c>
    </row>
    <row r="299" spans="9:36" x14ac:dyDescent="0.25">
      <c r="I299">
        <f t="shared" ref="I299:L299" si="195">I138</f>
        <v>145000</v>
      </c>
      <c r="J299">
        <f t="shared" si="195"/>
        <v>91100</v>
      </c>
      <c r="K299">
        <f t="shared" si="195"/>
        <v>46500</v>
      </c>
      <c r="L299">
        <f t="shared" si="195"/>
        <v>37900</v>
      </c>
      <c r="M299">
        <f t="shared" si="190"/>
        <v>5</v>
      </c>
      <c r="N299">
        <v>133</v>
      </c>
      <c r="P299">
        <f t="shared" ref="P299:Q299" si="196">P138</f>
        <v>6.5991152691045767E-6</v>
      </c>
      <c r="Q299">
        <f t="shared" si="196"/>
        <v>13.87600689655172</v>
      </c>
      <c r="R299" s="302">
        <f t="shared" si="191"/>
        <v>1.97097519111082E-2</v>
      </c>
      <c r="S299" s="302">
        <f t="shared" si="191"/>
        <v>2.0134719808000748E-2</v>
      </c>
      <c r="T299" s="302">
        <f t="shared" si="191"/>
        <v>1.9032197923434274E-2</v>
      </c>
      <c r="U299" s="302">
        <f t="shared" si="191"/>
        <v>1.6996747672397377E-2</v>
      </c>
      <c r="V299" s="302">
        <f t="shared" si="191"/>
        <v>1.3645717529050496E-2</v>
      </c>
      <c r="W299" s="302">
        <f t="shared" si="191"/>
        <v>1.4492372983994287E-2</v>
      </c>
      <c r="X299" s="302">
        <f t="shared" si="191"/>
        <v>2.4602541309873844E-6</v>
      </c>
      <c r="Y299" s="302">
        <f t="shared" si="191"/>
        <v>1.8041863627240818E-7</v>
      </c>
      <c r="Z299" s="302">
        <f t="shared" si="191"/>
        <v>2.0782586729160761E-3</v>
      </c>
      <c r="AA299" s="302">
        <f t="shared" si="191"/>
        <v>3.6810322307833242E-3</v>
      </c>
      <c r="AB299" s="302">
        <f t="shared" si="192"/>
        <v>8.0449866676980693E-8</v>
      </c>
      <c r="AC299" s="302">
        <f t="shared" si="192"/>
        <v>1.4597427388891499E-8</v>
      </c>
      <c r="AD299" s="302">
        <f t="shared" si="192"/>
        <v>1.0415018417916969E-8</v>
      </c>
      <c r="AE299" s="302">
        <f t="shared" si="192"/>
        <v>6.75573860039041E-6</v>
      </c>
      <c r="AF299" s="302">
        <f t="shared" si="192"/>
        <v>2.9768443465345498E-4</v>
      </c>
      <c r="AG299" s="302">
        <f t="shared" si="192"/>
        <v>3.3344460541142048E-6</v>
      </c>
      <c r="AH299" s="302">
        <f t="shared" si="192"/>
        <v>9.8409622846459557E-7</v>
      </c>
      <c r="AI299" s="302">
        <f t="shared" si="192"/>
        <v>8.9798780847394344E-8</v>
      </c>
      <c r="AJ299" s="302">
        <f t="shared" si="192"/>
        <v>4.4899390423697173E-7</v>
      </c>
    </row>
    <row r="300" spans="9:36" x14ac:dyDescent="0.25">
      <c r="I300">
        <f t="shared" ref="I300:L300" si="197">I139</f>
        <v>257000</v>
      </c>
      <c r="J300">
        <f t="shared" si="197"/>
        <v>110000</v>
      </c>
      <c r="K300">
        <f t="shared" si="197"/>
        <v>0</v>
      </c>
      <c r="L300">
        <f t="shared" si="197"/>
        <v>86000</v>
      </c>
      <c r="M300">
        <f t="shared" si="190"/>
        <v>3</v>
      </c>
      <c r="N300">
        <v>134</v>
      </c>
      <c r="P300">
        <f t="shared" ref="P300:Q306" si="198">P139</f>
        <v>3.9377436790953236E-6</v>
      </c>
      <c r="Q300">
        <f t="shared" si="198"/>
        <v>13.964396887159532</v>
      </c>
      <c r="R300" s="302">
        <f t="shared" si="191"/>
        <v>3.747547512975995E-3</v>
      </c>
      <c r="S300" s="302">
        <f t="shared" si="191"/>
        <v>9.8641408878802992E-3</v>
      </c>
      <c r="T300" s="302">
        <f t="shared" si="191"/>
        <v>3.5948700138184234E-3</v>
      </c>
      <c r="U300" s="302">
        <f t="shared" si="191"/>
        <v>8.1758800798879278E-3</v>
      </c>
      <c r="V300" s="302">
        <f t="shared" si="191"/>
        <v>5.7754178864021944E-3</v>
      </c>
      <c r="W300" s="302">
        <f t="shared" si="191"/>
        <v>7.0076036007572064E-3</v>
      </c>
      <c r="X300" s="302">
        <f t="shared" si="191"/>
        <v>1.2521512334756177E-3</v>
      </c>
      <c r="Y300" s="302">
        <f t="shared" si="191"/>
        <v>2.4956898900756799E-7</v>
      </c>
      <c r="Z300" s="302">
        <f t="shared" si="191"/>
        <v>6.8969124138679671E-4</v>
      </c>
      <c r="AA300" s="302">
        <f t="shared" si="191"/>
        <v>1.3794803529653611E-3</v>
      </c>
      <c r="AB300" s="302">
        <f t="shared" si="192"/>
        <v>1.3701751329102394E-8</v>
      </c>
      <c r="AC300" s="302">
        <f t="shared" si="192"/>
        <v>3.8658512678538906E-9</v>
      </c>
      <c r="AD300" s="302">
        <f t="shared" si="192"/>
        <v>7.193419447778757E-9</v>
      </c>
      <c r="AE300" s="302">
        <f t="shared" si="192"/>
        <v>7.7688930036010575E-7</v>
      </c>
      <c r="AF300" s="302">
        <f t="shared" si="192"/>
        <v>7.0273346477395644E-6</v>
      </c>
      <c r="AG300" s="302">
        <f t="shared" si="192"/>
        <v>4.0960896250089849E-6</v>
      </c>
      <c r="AH300" s="302">
        <f t="shared" si="192"/>
        <v>1.5849990198200948E-7</v>
      </c>
      <c r="AI300" s="302">
        <f t="shared" si="192"/>
        <v>2.1188779733933345E-7</v>
      </c>
      <c r="AJ300" s="302">
        <f t="shared" si="192"/>
        <v>1.1220755642011352E-7</v>
      </c>
    </row>
    <row r="301" spans="9:36" x14ac:dyDescent="0.25">
      <c r="I301">
        <f t="shared" ref="I301:L301" si="199">I140</f>
        <v>0</v>
      </c>
      <c r="J301">
        <f t="shared" si="199"/>
        <v>0</v>
      </c>
      <c r="K301">
        <f t="shared" si="199"/>
        <v>0</v>
      </c>
      <c r="L301">
        <f t="shared" si="199"/>
        <v>0</v>
      </c>
      <c r="M301">
        <f t="shared" si="190"/>
        <v>0</v>
      </c>
      <c r="N301">
        <v>135</v>
      </c>
      <c r="P301">
        <f t="shared" si="198"/>
        <v>4.347826086956522E-5</v>
      </c>
      <c r="Q301">
        <f t="shared" si="198"/>
        <v>13.991869565217392</v>
      </c>
      <c r="R301" s="302">
        <f t="shared" si="191"/>
        <v>1.2921037575938056E-2</v>
      </c>
      <c r="S301" s="302">
        <f t="shared" si="191"/>
        <v>9.7504827337701033E-3</v>
      </c>
      <c r="T301" s="302">
        <f t="shared" si="191"/>
        <v>4.1171826682549133E-4</v>
      </c>
      <c r="U301" s="302">
        <f t="shared" si="191"/>
        <v>1.5427007814175104E-2</v>
      </c>
      <c r="V301" s="302">
        <f t="shared" si="191"/>
        <v>2.8420447290053606E-3</v>
      </c>
      <c r="W301" s="302">
        <f t="shared" si="191"/>
        <v>2.8420447290053606E-3</v>
      </c>
      <c r="X301" s="302">
        <f t="shared" si="191"/>
        <v>8.5702237022036928E-2</v>
      </c>
      <c r="Y301" s="302">
        <f t="shared" si="191"/>
        <v>1.3940067301965453E-8</v>
      </c>
      <c r="Z301" s="302">
        <f t="shared" si="191"/>
        <v>8.0614652769505659E-4</v>
      </c>
      <c r="AA301" s="302">
        <f t="shared" si="191"/>
        <v>5.4247393686718281E-4</v>
      </c>
      <c r="AB301" s="302">
        <f t="shared" si="192"/>
        <v>4.198206432400239E-12</v>
      </c>
      <c r="AC301" s="302">
        <f t="shared" si="192"/>
        <v>1.5614950565812983E-9</v>
      </c>
      <c r="AD301" s="302">
        <f t="shared" si="192"/>
        <v>5.4030970815961884E-9</v>
      </c>
      <c r="AE301" s="302">
        <f t="shared" si="192"/>
        <v>0</v>
      </c>
      <c r="AF301" s="302">
        <f t="shared" si="192"/>
        <v>5.305841334127457E-7</v>
      </c>
      <c r="AG301" s="302">
        <f t="shared" si="192"/>
        <v>1.7711352233472306E-5</v>
      </c>
      <c r="AH301" s="302">
        <f t="shared" si="192"/>
        <v>0</v>
      </c>
      <c r="AI301" s="302">
        <f t="shared" si="192"/>
        <v>0</v>
      </c>
      <c r="AJ301" s="302">
        <f t="shared" si="192"/>
        <v>0</v>
      </c>
    </row>
    <row r="302" spans="9:36" x14ac:dyDescent="0.25">
      <c r="I302">
        <f t="shared" ref="I302:L302" si="200">I141</f>
        <v>146000</v>
      </c>
      <c r="J302">
        <f t="shared" si="200"/>
        <v>75000</v>
      </c>
      <c r="K302">
        <f t="shared" si="200"/>
        <v>26000</v>
      </c>
      <c r="L302">
        <f t="shared" si="200"/>
        <v>0</v>
      </c>
      <c r="M302">
        <f t="shared" si="190"/>
        <v>4</v>
      </c>
      <c r="N302">
        <v>136</v>
      </c>
      <c r="P302">
        <f t="shared" si="198"/>
        <v>6.7643737862816414E-6</v>
      </c>
      <c r="Q302">
        <f t="shared" si="198"/>
        <v>14.144520547945207</v>
      </c>
      <c r="R302" s="302">
        <f t="shared" si="191"/>
        <v>1.7589168517607497E-2</v>
      </c>
      <c r="S302" s="302">
        <f t="shared" si="191"/>
        <v>5.0282123425162459E-2</v>
      </c>
      <c r="T302" s="302">
        <f t="shared" si="191"/>
        <v>1.399450199041417E-2</v>
      </c>
      <c r="U302" s="302">
        <f t="shared" si="191"/>
        <v>2.164802634930392E-2</v>
      </c>
      <c r="V302" s="302">
        <f t="shared" si="191"/>
        <v>3.5670941353286006E-3</v>
      </c>
      <c r="W302" s="302">
        <f t="shared" si="191"/>
        <v>4.5425515597136007E-3</v>
      </c>
      <c r="X302" s="302">
        <f t="shared" si="191"/>
        <v>5.1345173631020156E-4</v>
      </c>
      <c r="Y302" s="302">
        <f t="shared" si="191"/>
        <v>1.4525943031172697E-6</v>
      </c>
      <c r="Z302" s="302">
        <f t="shared" si="191"/>
        <v>2.5084151623275074E-4</v>
      </c>
      <c r="AA302" s="302">
        <f t="shared" si="191"/>
        <v>3.2969183199224139E-4</v>
      </c>
      <c r="AB302" s="302">
        <f t="shared" si="192"/>
        <v>9.4149111846735027E-8</v>
      </c>
      <c r="AC302" s="302">
        <f t="shared" si="192"/>
        <v>1.861966810183197E-7</v>
      </c>
      <c r="AD302" s="302">
        <f t="shared" si="192"/>
        <v>2.2696660891623623E-7</v>
      </c>
      <c r="AE302" s="302">
        <f t="shared" si="192"/>
        <v>2.7659664073258653E-5</v>
      </c>
      <c r="AF302" s="302">
        <f t="shared" si="192"/>
        <v>1.8622021829628138E-4</v>
      </c>
      <c r="AG302" s="302">
        <f t="shared" si="192"/>
        <v>8.9075147211852053E-5</v>
      </c>
      <c r="AH302" s="302">
        <f t="shared" si="192"/>
        <v>1.0559831634095407E-5</v>
      </c>
      <c r="AI302" s="302">
        <f t="shared" si="192"/>
        <v>3.3490184071195748E-6</v>
      </c>
      <c r="AJ302" s="302">
        <f t="shared" si="192"/>
        <v>2.1015426751503352E-7</v>
      </c>
    </row>
    <row r="303" spans="9:36" x14ac:dyDescent="0.25">
      <c r="I303">
        <f t="shared" ref="I303:L303" si="201">I142</f>
        <v>82700</v>
      </c>
      <c r="J303">
        <f t="shared" si="201"/>
        <v>35600</v>
      </c>
      <c r="K303">
        <f t="shared" si="201"/>
        <v>20800</v>
      </c>
      <c r="L303">
        <f t="shared" si="201"/>
        <v>36400</v>
      </c>
      <c r="M303">
        <f t="shared" si="190"/>
        <v>5</v>
      </c>
      <c r="N303">
        <v>137</v>
      </c>
      <c r="P303">
        <f t="shared" si="198"/>
        <v>1.2091898428053204E-5</v>
      </c>
      <c r="Q303">
        <f t="shared" si="198"/>
        <v>14.163413542926241</v>
      </c>
      <c r="R303" s="302">
        <f t="shared" si="191"/>
        <v>1.6449875262957381E-2</v>
      </c>
      <c r="S303" s="302">
        <f t="shared" si="191"/>
        <v>1.2361975320932235E-2</v>
      </c>
      <c r="T303" s="302">
        <f t="shared" si="191"/>
        <v>1.3656386808235739E-3</v>
      </c>
      <c r="U303" s="302">
        <f t="shared" si="191"/>
        <v>3.3617131584701261E-2</v>
      </c>
      <c r="V303" s="302">
        <f t="shared" si="191"/>
        <v>6.0164438273343154E-3</v>
      </c>
      <c r="W303" s="302">
        <f t="shared" si="191"/>
        <v>6.4462112819068757E-3</v>
      </c>
      <c r="X303" s="302">
        <f t="shared" si="191"/>
        <v>5.7101969488661762E-6</v>
      </c>
      <c r="Y303" s="302">
        <f t="shared" si="191"/>
        <v>2.8550984744330882E-7</v>
      </c>
      <c r="Z303" s="302">
        <f t="shared" si="191"/>
        <v>7.2549554918752363E-4</v>
      </c>
      <c r="AA303" s="302">
        <f t="shared" si="191"/>
        <v>1.033245111063259E-3</v>
      </c>
      <c r="AB303" s="302">
        <f t="shared" si="192"/>
        <v>5.8619356644746639E-7</v>
      </c>
      <c r="AC303" s="302">
        <f t="shared" si="192"/>
        <v>0</v>
      </c>
      <c r="AD303" s="302">
        <f t="shared" si="192"/>
        <v>0</v>
      </c>
      <c r="AE303" s="302">
        <f t="shared" si="192"/>
        <v>1.0819260903413888E-5</v>
      </c>
      <c r="AF303" s="302">
        <f t="shared" si="192"/>
        <v>6.0557176433055605E-4</v>
      </c>
      <c r="AG303" s="302">
        <f t="shared" si="192"/>
        <v>8.7374097043282366E-5</v>
      </c>
      <c r="AH303" s="302">
        <f t="shared" si="192"/>
        <v>1.0819260903413888E-5</v>
      </c>
      <c r="AI303" s="302">
        <f t="shared" si="192"/>
        <v>7.0625730897285128E-7</v>
      </c>
      <c r="AJ303" s="302">
        <f t="shared" si="192"/>
        <v>7.979204916267744E-6</v>
      </c>
    </row>
    <row r="304" spans="9:36" x14ac:dyDescent="0.25">
      <c r="I304">
        <f t="shared" ref="I304:L304" si="202">I143</f>
        <v>100000</v>
      </c>
      <c r="J304">
        <f t="shared" si="202"/>
        <v>62000</v>
      </c>
      <c r="K304">
        <f t="shared" si="202"/>
        <v>40000</v>
      </c>
      <c r="L304">
        <f t="shared" si="202"/>
        <v>32000</v>
      </c>
      <c r="M304">
        <f t="shared" si="190"/>
        <v>5</v>
      </c>
      <c r="N304">
        <v>138</v>
      </c>
      <c r="P304">
        <f t="shared" si="198"/>
        <v>9.5687171402016357E-6</v>
      </c>
      <c r="Q304">
        <f t="shared" si="198"/>
        <v>14.771100000000001</v>
      </c>
      <c r="R304" s="302">
        <f t="shared" si="191"/>
        <v>1.4195034870570255E-2</v>
      </c>
      <c r="S304" s="302">
        <f t="shared" si="191"/>
        <v>5.59767680983484E-3</v>
      </c>
      <c r="T304" s="302">
        <f t="shared" si="191"/>
        <v>5.1160820636940597E-3</v>
      </c>
      <c r="U304" s="302">
        <f t="shared" si="191"/>
        <v>1.3888716829568118E-2</v>
      </c>
      <c r="V304" s="302">
        <f t="shared" si="191"/>
        <v>3.6325324210144598E-3</v>
      </c>
      <c r="W304" s="302">
        <f t="shared" si="191"/>
        <v>4.9997858509222854E-3</v>
      </c>
      <c r="X304" s="302">
        <f t="shared" si="191"/>
        <v>9.0920331580059436E-4</v>
      </c>
      <c r="Y304" s="302">
        <f t="shared" si="191"/>
        <v>2.9490246183435446E-7</v>
      </c>
      <c r="Z304" s="302">
        <f t="shared" si="191"/>
        <v>6.6638443391924288E-4</v>
      </c>
      <c r="AA304" s="302">
        <f t="shared" si="191"/>
        <v>2.9133509334442273E-4</v>
      </c>
      <c r="AB304" s="302">
        <f t="shared" si="192"/>
        <v>8.1335553282598819E-8</v>
      </c>
      <c r="AC304" s="302">
        <f t="shared" si="192"/>
        <v>1.5220688333585746E-8</v>
      </c>
      <c r="AD304" s="302">
        <f t="shared" si="192"/>
        <v>1.2723544153856832E-7</v>
      </c>
      <c r="AE304" s="302">
        <f t="shared" si="192"/>
        <v>3.4332997503837582E-5</v>
      </c>
      <c r="AF304" s="302">
        <f t="shared" si="192"/>
        <v>4.9405224670357069E-4</v>
      </c>
      <c r="AG304" s="302">
        <f t="shared" si="192"/>
        <v>9.9678860957121785E-6</v>
      </c>
      <c r="AH304" s="302">
        <f t="shared" si="192"/>
        <v>6.0169283568706135E-8</v>
      </c>
      <c r="AI304" s="302">
        <f t="shared" si="192"/>
        <v>3.6565325488887624E-6</v>
      </c>
      <c r="AJ304" s="302">
        <f t="shared" si="192"/>
        <v>4.993099243181761E-7</v>
      </c>
    </row>
    <row r="305" spans="9:36" x14ac:dyDescent="0.25">
      <c r="I305">
        <f t="shared" ref="I305:L305" si="203">I144</f>
        <v>205000</v>
      </c>
      <c r="J305">
        <f t="shared" si="203"/>
        <v>95000</v>
      </c>
      <c r="K305">
        <f t="shared" si="203"/>
        <v>17500</v>
      </c>
      <c r="L305">
        <f t="shared" si="203"/>
        <v>49000</v>
      </c>
      <c r="M305">
        <f t="shared" si="190"/>
        <v>5</v>
      </c>
      <c r="N305">
        <v>139</v>
      </c>
      <c r="P305">
        <f t="shared" si="198"/>
        <v>4.8175540136444855E-6</v>
      </c>
      <c r="Q305">
        <f t="shared" si="198"/>
        <v>15.025697560975612</v>
      </c>
      <c r="R305" s="302">
        <f t="shared" si="191"/>
        <v>1.332556804376268E-3</v>
      </c>
      <c r="S305" s="302">
        <f t="shared" si="191"/>
        <v>4.0128770547098788E-3</v>
      </c>
      <c r="T305" s="302">
        <f t="shared" si="191"/>
        <v>1.1707916644075071E-3</v>
      </c>
      <c r="U305" s="302">
        <f t="shared" si="191"/>
        <v>4.2463648585137894E-3</v>
      </c>
      <c r="V305" s="302">
        <f t="shared" si="191"/>
        <v>7.1567005299280736E-4</v>
      </c>
      <c r="W305" s="302">
        <f t="shared" si="191"/>
        <v>9.204208963285444E-4</v>
      </c>
      <c r="X305" s="302">
        <f t="shared" si="191"/>
        <v>2.8258011127037398E-5</v>
      </c>
      <c r="Y305" s="302">
        <f t="shared" si="191"/>
        <v>1.9157973645449085E-8</v>
      </c>
      <c r="Z305" s="302">
        <f t="shared" si="191"/>
        <v>1.1111624714360468E-4</v>
      </c>
      <c r="AA305" s="302">
        <f t="shared" si="191"/>
        <v>1.9469290717187635E-4</v>
      </c>
      <c r="AB305" s="302">
        <f t="shared" si="192"/>
        <v>5.9868337672575395E-9</v>
      </c>
      <c r="AC305" s="302">
        <f t="shared" si="192"/>
        <v>2.3947335069030158E-8</v>
      </c>
      <c r="AD305" s="302">
        <f t="shared" si="192"/>
        <v>4.7894670138060316E-8</v>
      </c>
      <c r="AE305" s="302">
        <f t="shared" si="192"/>
        <v>2.0355234808675638E-9</v>
      </c>
      <c r="AF305" s="302">
        <f t="shared" si="192"/>
        <v>4.3907438849066798E-6</v>
      </c>
      <c r="AG305" s="302">
        <f t="shared" si="192"/>
        <v>1.7469580932857502E-5</v>
      </c>
      <c r="AH305" s="302">
        <f t="shared" si="192"/>
        <v>2.0355234808675638E-9</v>
      </c>
      <c r="AI305" s="302">
        <f t="shared" si="192"/>
        <v>2.3947335069030165E-9</v>
      </c>
      <c r="AJ305" s="302">
        <f t="shared" si="192"/>
        <v>0</v>
      </c>
    </row>
    <row r="306" spans="9:36" x14ac:dyDescent="0.25">
      <c r="I306">
        <f t="shared" ref="I306:L306" si="204">I145</f>
        <v>173589</v>
      </c>
      <c r="J306">
        <f t="shared" si="204"/>
        <v>109315</v>
      </c>
      <c r="K306">
        <f t="shared" si="204"/>
        <v>50438</v>
      </c>
      <c r="L306">
        <f t="shared" si="204"/>
        <v>0</v>
      </c>
      <c r="M306">
        <f t="shared" si="190"/>
        <v>4</v>
      </c>
      <c r="N306">
        <v>140</v>
      </c>
      <c r="P306">
        <f t="shared" si="198"/>
        <v>5.6892923675873452E-6</v>
      </c>
      <c r="Q306">
        <f t="shared" si="198"/>
        <v>16.547572138787601</v>
      </c>
      <c r="R306" s="302">
        <f t="shared" si="191"/>
        <v>4.3002326252314814E-3</v>
      </c>
      <c r="S306" s="302">
        <f t="shared" si="191"/>
        <v>5.6964542865229765E-3</v>
      </c>
      <c r="T306" s="302">
        <f t="shared" si="191"/>
        <v>3.6301197578160064E-3</v>
      </c>
      <c r="U306" s="302">
        <f t="shared" si="191"/>
        <v>7.5236748969350368E-3</v>
      </c>
      <c r="V306" s="302">
        <f t="shared" si="191"/>
        <v>2.5985786377915533E-3</v>
      </c>
      <c r="W306" s="302">
        <f t="shared" si="191"/>
        <v>2.5985786377915533E-3</v>
      </c>
      <c r="X306" s="302">
        <f t="shared" si="191"/>
        <v>3.9593079315537626E-6</v>
      </c>
      <c r="Y306" s="302">
        <f t="shared" si="191"/>
        <v>1.6402847145008443E-8</v>
      </c>
      <c r="Z306" s="302">
        <f t="shared" si="191"/>
        <v>3.7429600338652889E-4</v>
      </c>
      <c r="AA306" s="302">
        <f t="shared" si="191"/>
        <v>5.9997655548509336E-4</v>
      </c>
      <c r="AB306" s="302">
        <f t="shared" si="192"/>
        <v>8.4841845205937873E-9</v>
      </c>
      <c r="AC306" s="302">
        <f t="shared" si="192"/>
        <v>1.8382399794619876E-9</v>
      </c>
      <c r="AD306" s="302">
        <f t="shared" si="192"/>
        <v>6.6459445411318001E-9</v>
      </c>
      <c r="AE306" s="302">
        <f t="shared" si="192"/>
        <v>1.4140307534322981E-6</v>
      </c>
      <c r="AF306" s="302">
        <f t="shared" si="192"/>
        <v>2.7391401829350056E-5</v>
      </c>
      <c r="AG306" s="302">
        <f t="shared" si="192"/>
        <v>6.1170970393481206E-6</v>
      </c>
      <c r="AH306" s="302">
        <f t="shared" si="192"/>
        <v>1.4140307534322981E-7</v>
      </c>
      <c r="AI306" s="302">
        <f t="shared" si="192"/>
        <v>2.9836048897421489E-7</v>
      </c>
      <c r="AJ306" s="302">
        <f t="shared" si="192"/>
        <v>0</v>
      </c>
    </row>
    <row r="307" spans="9:36" x14ac:dyDescent="0.25">
      <c r="R307" s="302"/>
      <c r="S307" s="302"/>
      <c r="T307" s="302"/>
      <c r="U307" s="302"/>
      <c r="V307" s="302"/>
      <c r="W307" s="302"/>
      <c r="X307" s="302"/>
      <c r="Y307" s="302"/>
      <c r="Z307" s="302"/>
      <c r="AA307" s="302"/>
      <c r="AB307" s="302"/>
      <c r="AC307" s="302"/>
      <c r="AD307" s="302"/>
      <c r="AE307" s="302"/>
      <c r="AF307" s="302"/>
      <c r="AG307" s="302"/>
      <c r="AH307" s="302"/>
      <c r="AI307" s="302"/>
      <c r="AJ307" s="302"/>
    </row>
    <row r="308" spans="9:36" x14ac:dyDescent="0.25">
      <c r="R308" s="302"/>
      <c r="S308" s="302"/>
      <c r="T308" s="302"/>
      <c r="U308" s="302"/>
      <c r="V308" s="302"/>
      <c r="W308" s="302"/>
      <c r="X308" s="302"/>
      <c r="Y308" s="302"/>
      <c r="Z308" s="302"/>
      <c r="AA308" s="302"/>
      <c r="AB308" s="302"/>
      <c r="AC308" s="302"/>
      <c r="AD308" s="302"/>
      <c r="AE308" s="302"/>
      <c r="AF308" s="302"/>
      <c r="AG308" s="302"/>
      <c r="AH308" s="302"/>
      <c r="AI308" s="302"/>
      <c r="AJ308" s="302"/>
    </row>
    <row r="309" spans="9:36" x14ac:dyDescent="0.25">
      <c r="R309" s="302"/>
      <c r="S309" s="302"/>
      <c r="T309" s="302"/>
      <c r="U309" s="302"/>
      <c r="V309" s="302"/>
      <c r="W309" s="302"/>
      <c r="X309" s="302"/>
      <c r="Y309" s="302"/>
      <c r="Z309" s="302"/>
      <c r="AA309" s="302"/>
      <c r="AB309" s="302"/>
      <c r="AC309" s="302"/>
      <c r="AD309" s="302"/>
      <c r="AE309" s="302"/>
      <c r="AF309" s="302"/>
      <c r="AG309" s="302"/>
      <c r="AH309" s="302"/>
      <c r="AI309" s="302"/>
      <c r="AJ309" s="302"/>
    </row>
    <row r="310" spans="9:36" x14ac:dyDescent="0.25">
      <c r="R310" s="302"/>
      <c r="S310" s="302"/>
      <c r="T310" s="302"/>
      <c r="U310" s="302"/>
      <c r="V310" s="302"/>
      <c r="W310" s="302"/>
      <c r="X310" s="302"/>
      <c r="Y310" s="302"/>
      <c r="Z310" s="302"/>
      <c r="AA310" s="302"/>
      <c r="AB310" s="302"/>
      <c r="AC310" s="302"/>
      <c r="AD310" s="302"/>
      <c r="AE310" s="302"/>
      <c r="AF310" s="302"/>
      <c r="AG310" s="302"/>
      <c r="AH310" s="302"/>
      <c r="AI310" s="302"/>
      <c r="AJ310" s="302"/>
    </row>
    <row r="311" spans="9:36" x14ac:dyDescent="0.25">
      <c r="R311" s="302"/>
      <c r="S311" s="302"/>
      <c r="T311" s="302"/>
      <c r="U311" s="302"/>
      <c r="V311" s="302"/>
      <c r="W311" s="302"/>
      <c r="X311" s="302"/>
      <c r="Y311" s="302"/>
      <c r="Z311" s="302"/>
      <c r="AA311" s="302"/>
      <c r="AB311" s="302"/>
      <c r="AC311" s="302"/>
      <c r="AD311" s="302"/>
      <c r="AE311" s="302"/>
      <c r="AF311" s="302"/>
      <c r="AG311" s="302"/>
      <c r="AH311" s="302"/>
      <c r="AI311" s="302"/>
      <c r="AJ311" s="302"/>
    </row>
    <row r="312" spans="9:36" x14ac:dyDescent="0.25">
      <c r="R312" s="302"/>
      <c r="S312" s="302"/>
      <c r="T312" s="302"/>
      <c r="U312" s="302"/>
      <c r="V312" s="302"/>
      <c r="W312" s="302"/>
      <c r="X312" s="302"/>
      <c r="Y312" s="302"/>
      <c r="Z312" s="302"/>
      <c r="AA312" s="302"/>
      <c r="AB312" s="302"/>
      <c r="AC312" s="302"/>
      <c r="AD312" s="302"/>
      <c r="AE312" s="302"/>
      <c r="AF312" s="302"/>
      <c r="AG312" s="302"/>
      <c r="AH312" s="302"/>
      <c r="AI312" s="302"/>
      <c r="AJ312" s="302"/>
    </row>
    <row r="313" spans="9:36" x14ac:dyDescent="0.25">
      <c r="R313" s="302"/>
      <c r="S313" s="302"/>
      <c r="T313" s="302"/>
      <c r="U313" s="302"/>
      <c r="V313" s="302"/>
      <c r="W313" s="302"/>
      <c r="X313" s="302"/>
      <c r="Y313" s="302"/>
      <c r="Z313" s="302"/>
      <c r="AA313" s="302"/>
      <c r="AB313" s="302"/>
      <c r="AC313" s="302"/>
      <c r="AD313" s="302"/>
      <c r="AE313" s="302"/>
      <c r="AF313" s="302"/>
      <c r="AG313" s="302"/>
      <c r="AH313" s="302"/>
      <c r="AI313" s="302"/>
      <c r="AJ313" s="302"/>
    </row>
    <row r="314" spans="9:36" x14ac:dyDescent="0.25">
      <c r="R314" s="302"/>
      <c r="S314" s="302"/>
      <c r="T314" s="302"/>
      <c r="U314" s="302"/>
      <c r="V314" s="302"/>
      <c r="W314" s="302"/>
      <c r="X314" s="302"/>
      <c r="Y314" s="302"/>
      <c r="Z314" s="302"/>
      <c r="AA314" s="302"/>
      <c r="AB314" s="302"/>
      <c r="AC314" s="302"/>
      <c r="AD314" s="302"/>
      <c r="AE314" s="302"/>
      <c r="AF314" s="302"/>
      <c r="AG314" s="302"/>
      <c r="AH314" s="302"/>
      <c r="AI314" s="302"/>
      <c r="AJ314" s="302"/>
    </row>
    <row r="315" spans="9:36" x14ac:dyDescent="0.25">
      <c r="R315" s="302"/>
      <c r="S315" s="302"/>
      <c r="T315" s="302"/>
      <c r="U315" s="302"/>
      <c r="V315" s="302"/>
      <c r="W315" s="302"/>
      <c r="X315" s="302"/>
      <c r="Y315" s="302"/>
      <c r="Z315" s="302"/>
      <c r="AA315" s="302"/>
      <c r="AB315" s="302"/>
      <c r="AC315" s="302"/>
      <c r="AD315" s="302"/>
      <c r="AE315" s="302"/>
      <c r="AF315" s="302"/>
      <c r="AG315" s="302"/>
      <c r="AH315" s="302"/>
      <c r="AI315" s="302"/>
      <c r="AJ315" s="302"/>
    </row>
    <row r="316" spans="9:36" x14ac:dyDescent="0.25">
      <c r="R316" s="302"/>
      <c r="S316" s="302"/>
      <c r="T316" s="302"/>
      <c r="U316" s="302"/>
      <c r="V316" s="302"/>
      <c r="W316" s="302"/>
      <c r="X316" s="302"/>
      <c r="Y316" s="302"/>
      <c r="Z316" s="302"/>
      <c r="AA316" s="302"/>
      <c r="AB316" s="302"/>
      <c r="AC316" s="302"/>
      <c r="AD316" s="302"/>
      <c r="AE316" s="302"/>
      <c r="AF316" s="302"/>
      <c r="AG316" s="302"/>
      <c r="AH316" s="302"/>
      <c r="AI316" s="302"/>
      <c r="AJ316" s="302"/>
    </row>
    <row r="317" spans="9:36" x14ac:dyDescent="0.25">
      <c r="R317" s="302"/>
      <c r="S317" s="302"/>
      <c r="T317" s="302"/>
      <c r="U317" s="302"/>
      <c r="V317" s="302"/>
      <c r="W317" s="302"/>
      <c r="X317" s="302"/>
      <c r="Y317" s="302"/>
      <c r="Z317" s="302"/>
      <c r="AA317" s="302"/>
      <c r="AB317" s="302"/>
      <c r="AC317" s="302"/>
      <c r="AD317" s="302"/>
      <c r="AE317" s="302"/>
      <c r="AF317" s="302"/>
      <c r="AG317" s="302"/>
      <c r="AH317" s="302"/>
      <c r="AI317" s="302"/>
      <c r="AJ317" s="302"/>
    </row>
    <row r="318" spans="9:36" x14ac:dyDescent="0.25">
      <c r="R318" s="302"/>
      <c r="S318" s="302"/>
      <c r="T318" s="302"/>
      <c r="U318" s="302"/>
      <c r="V318" s="302"/>
      <c r="W318" s="302"/>
      <c r="X318" s="302"/>
      <c r="Y318" s="302"/>
      <c r="Z318" s="302"/>
      <c r="AA318" s="302"/>
      <c r="AB318" s="302"/>
      <c r="AC318" s="302"/>
      <c r="AD318" s="302"/>
      <c r="AE318" s="302"/>
      <c r="AF318" s="302"/>
      <c r="AG318" s="302"/>
      <c r="AH318" s="302"/>
      <c r="AI318" s="302"/>
      <c r="AJ318" s="302"/>
    </row>
    <row r="319" spans="9:36" x14ac:dyDescent="0.25">
      <c r="R319" s="302"/>
      <c r="S319" s="302"/>
      <c r="T319" s="302"/>
      <c r="U319" s="302"/>
      <c r="V319" s="302"/>
      <c r="W319" s="302"/>
      <c r="X319" s="302"/>
      <c r="Y319" s="302"/>
      <c r="Z319" s="302"/>
      <c r="AA319" s="302"/>
      <c r="AB319" s="302"/>
      <c r="AC319" s="302"/>
      <c r="AD319" s="302"/>
      <c r="AE319" s="302"/>
      <c r="AF319" s="302"/>
      <c r="AG319" s="302"/>
      <c r="AH319" s="302"/>
      <c r="AI319" s="302"/>
      <c r="AJ319" s="302"/>
    </row>
    <row r="320" spans="9:36" x14ac:dyDescent="0.25">
      <c r="R320" s="302"/>
      <c r="S320" s="302"/>
      <c r="T320" s="302"/>
      <c r="U320" s="302"/>
      <c r="V320" s="302"/>
      <c r="W320" s="302"/>
      <c r="X320" s="302"/>
      <c r="Y320" s="302"/>
      <c r="Z320" s="302"/>
      <c r="AA320" s="302"/>
      <c r="AB320" s="302"/>
      <c r="AC320" s="302"/>
      <c r="AD320" s="302"/>
      <c r="AE320" s="302"/>
      <c r="AF320" s="302"/>
      <c r="AG320" s="302"/>
      <c r="AH320" s="302"/>
      <c r="AI320" s="302"/>
      <c r="AJ320" s="302"/>
    </row>
    <row r="321" spans="18:36" x14ac:dyDescent="0.25">
      <c r="R321" s="302"/>
      <c r="S321" s="302"/>
      <c r="T321" s="302"/>
      <c r="U321" s="302"/>
      <c r="V321" s="302"/>
      <c r="W321" s="302"/>
      <c r="X321" s="302"/>
      <c r="Y321" s="302"/>
      <c r="Z321" s="302"/>
      <c r="AA321" s="302"/>
      <c r="AB321" s="302"/>
      <c r="AC321" s="302"/>
      <c r="AD321" s="302"/>
      <c r="AE321" s="302"/>
      <c r="AF321" s="302"/>
      <c r="AG321" s="302"/>
      <c r="AH321" s="302"/>
      <c r="AI321" s="302"/>
      <c r="AJ321" s="302"/>
    </row>
    <row r="322" spans="18:36" x14ac:dyDescent="0.25">
      <c r="R322" s="302"/>
      <c r="S322" s="302"/>
      <c r="T322" s="302"/>
      <c r="U322" s="302"/>
      <c r="V322" s="302"/>
      <c r="W322" s="302"/>
      <c r="X322" s="302"/>
      <c r="Y322" s="302"/>
      <c r="Z322" s="302"/>
      <c r="AA322" s="302"/>
      <c r="AB322" s="302"/>
      <c r="AC322" s="302"/>
      <c r="AD322" s="302"/>
      <c r="AE322" s="302"/>
      <c r="AF322" s="302"/>
      <c r="AG322" s="302"/>
      <c r="AH322" s="302"/>
      <c r="AI322" s="302"/>
      <c r="AJ322" s="302"/>
    </row>
    <row r="323" spans="18:36" x14ac:dyDescent="0.25">
      <c r="R323" s="302"/>
      <c r="S323" s="302"/>
      <c r="T323" s="302"/>
      <c r="U323" s="302"/>
      <c r="V323" s="302"/>
      <c r="W323" s="302"/>
      <c r="X323" s="302"/>
      <c r="Y323" s="302"/>
      <c r="Z323" s="302"/>
      <c r="AA323" s="302"/>
      <c r="AB323" s="302"/>
      <c r="AC323" s="302"/>
      <c r="AD323" s="302"/>
      <c r="AE323" s="302"/>
      <c r="AF323" s="302"/>
      <c r="AG323" s="302"/>
      <c r="AH323" s="302"/>
      <c r="AI323" s="302"/>
      <c r="AJ323" s="302"/>
    </row>
    <row r="324" spans="18:36" x14ac:dyDescent="0.25">
      <c r="R324" s="302"/>
      <c r="S324" s="302"/>
      <c r="T324" s="302"/>
      <c r="U324" s="302"/>
      <c r="V324" s="302"/>
      <c r="W324" s="302"/>
      <c r="X324" s="302"/>
      <c r="Y324" s="302"/>
      <c r="Z324" s="302"/>
      <c r="AA324" s="302"/>
      <c r="AB324" s="302"/>
      <c r="AC324" s="302"/>
      <c r="AD324" s="302"/>
      <c r="AE324" s="302"/>
      <c r="AF324" s="302"/>
      <c r="AG324" s="302"/>
      <c r="AH324" s="302"/>
      <c r="AI324" s="302"/>
      <c r="AJ324" s="302"/>
    </row>
    <row r="325" spans="18:36" x14ac:dyDescent="0.25">
      <c r="R325" s="302"/>
      <c r="S325" s="302"/>
      <c r="T325" s="302"/>
      <c r="U325" s="302"/>
      <c r="V325" s="302"/>
      <c r="W325" s="302"/>
      <c r="X325" s="302"/>
      <c r="Y325" s="302"/>
      <c r="Z325" s="302"/>
      <c r="AA325" s="302"/>
      <c r="AB325" s="302"/>
      <c r="AC325" s="302"/>
      <c r="AD325" s="302"/>
      <c r="AE325" s="302"/>
      <c r="AF325" s="302"/>
      <c r="AG325" s="302"/>
      <c r="AH325" s="302"/>
      <c r="AI325" s="302"/>
      <c r="AJ325" s="302"/>
    </row>
    <row r="326" spans="18:36" x14ac:dyDescent="0.25">
      <c r="R326" s="302"/>
      <c r="S326" s="302"/>
      <c r="T326" s="302"/>
      <c r="U326" s="302"/>
      <c r="V326" s="302"/>
      <c r="W326" s="302"/>
      <c r="X326" s="302"/>
      <c r="Y326" s="302"/>
      <c r="Z326" s="302"/>
      <c r="AA326" s="302"/>
      <c r="AB326" s="302"/>
      <c r="AC326" s="302"/>
      <c r="AD326" s="302"/>
      <c r="AE326" s="302"/>
      <c r="AF326" s="302"/>
      <c r="AG326" s="302"/>
      <c r="AH326" s="302"/>
      <c r="AI326" s="302"/>
      <c r="AJ326" s="302"/>
    </row>
    <row r="327" spans="18:36" x14ac:dyDescent="0.25">
      <c r="R327" s="302"/>
      <c r="S327" s="302"/>
      <c r="T327" s="302"/>
      <c r="U327" s="302"/>
      <c r="V327" s="302"/>
      <c r="W327" s="302"/>
      <c r="X327" s="302"/>
      <c r="Y327" s="302"/>
      <c r="Z327" s="302"/>
      <c r="AA327" s="302"/>
      <c r="AB327" s="302"/>
      <c r="AC327" s="302"/>
      <c r="AD327" s="302"/>
      <c r="AE327" s="302"/>
      <c r="AF327" s="302"/>
      <c r="AG327" s="302"/>
      <c r="AH327" s="302"/>
      <c r="AI327" s="302"/>
      <c r="AJ327" s="302"/>
    </row>
    <row r="328" spans="18:36" x14ac:dyDescent="0.25">
      <c r="R328" s="302"/>
      <c r="S328" s="302"/>
      <c r="T328" s="302"/>
      <c r="U328" s="302"/>
      <c r="V328" s="302"/>
      <c r="W328" s="302"/>
      <c r="X328" s="302"/>
      <c r="Y328" s="302"/>
      <c r="Z328" s="302"/>
      <c r="AA328" s="302"/>
      <c r="AB328" s="302"/>
      <c r="AC328" s="302"/>
      <c r="AD328" s="302"/>
      <c r="AE328" s="302"/>
      <c r="AF328" s="302"/>
      <c r="AG328" s="302"/>
      <c r="AH328" s="302"/>
      <c r="AI328" s="302"/>
      <c r="AJ328" s="302"/>
    </row>
    <row r="329" spans="18:36" x14ac:dyDescent="0.25">
      <c r="R329" s="302"/>
      <c r="S329" s="302"/>
      <c r="T329" s="302"/>
      <c r="U329" s="302"/>
      <c r="V329" s="302"/>
      <c r="W329" s="302"/>
      <c r="X329" s="302"/>
      <c r="Y329" s="302"/>
      <c r="Z329" s="302"/>
      <c r="AA329" s="302"/>
      <c r="AB329" s="302"/>
      <c r="AC329" s="302"/>
      <c r="AD329" s="302"/>
      <c r="AE329" s="302"/>
      <c r="AF329" s="302"/>
      <c r="AG329" s="302"/>
      <c r="AH329" s="302"/>
      <c r="AI329" s="302"/>
      <c r="AJ329" s="302"/>
    </row>
    <row r="330" spans="18:36" x14ac:dyDescent="0.25">
      <c r="R330" s="302"/>
      <c r="S330" s="302"/>
      <c r="T330" s="302"/>
      <c r="U330" s="302"/>
      <c r="V330" s="302"/>
      <c r="W330" s="302"/>
      <c r="X330" s="302"/>
      <c r="Y330" s="302"/>
      <c r="Z330" s="302"/>
      <c r="AA330" s="302"/>
      <c r="AB330" s="302"/>
      <c r="AC330" s="302"/>
      <c r="AD330" s="302"/>
      <c r="AE330" s="302"/>
      <c r="AF330" s="302"/>
      <c r="AG330" s="302"/>
      <c r="AH330" s="302"/>
      <c r="AI330" s="302"/>
      <c r="AJ330" s="302"/>
    </row>
  </sheetData>
  <autoFilter ref="A5:AO162"/>
  <sortState ref="A6:AO152">
    <sortCondition ref="Q6:Q152"/>
  </sortState>
  <conditionalFormatting sqref="E137">
    <cfRule type="duplicateValues" dxfId="0" priority="1"/>
  </conditionalFormatting>
  <pageMargins left="0.7" right="0.7" top="0.75" bottom="0.75" header="0.3" footer="0.3"/>
  <pageSetup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253"/>
  <sheetViews>
    <sheetView workbookViewId="0">
      <selection activeCell="E41" sqref="E41"/>
    </sheetView>
  </sheetViews>
  <sheetFormatPr defaultRowHeight="15" x14ac:dyDescent="0.25"/>
  <cols>
    <col min="1" max="1" width="34" customWidth="1"/>
    <col min="2" max="2" width="4.140625" bestFit="1" customWidth="1"/>
    <col min="3" max="3" width="12.140625" customWidth="1"/>
    <col min="4" max="4" width="15" customWidth="1"/>
    <col min="5" max="5" width="12" bestFit="1" customWidth="1"/>
  </cols>
  <sheetData>
    <row r="1" spans="1:6" ht="18" x14ac:dyDescent="0.25">
      <c r="A1" s="173" t="s">
        <v>18</v>
      </c>
      <c r="B1" s="495" t="s">
        <v>217</v>
      </c>
      <c r="C1" s="495"/>
      <c r="D1" s="495"/>
      <c r="E1" s="495"/>
      <c r="F1" s="495"/>
    </row>
    <row r="2" spans="1:6" ht="15.75" x14ac:dyDescent="0.25">
      <c r="A2" s="178" t="s">
        <v>948</v>
      </c>
      <c r="B2" s="177"/>
      <c r="C2" s="179"/>
    </row>
    <row r="3" spans="1:6" x14ac:dyDescent="0.25">
      <c r="A3" s="200" t="s">
        <v>949</v>
      </c>
    </row>
    <row r="4" spans="1:6" ht="15.75" thickBot="1" x14ac:dyDescent="0.3">
      <c r="A4" s="200"/>
      <c r="B4" s="200"/>
      <c r="C4" s="200"/>
      <c r="D4" s="200"/>
      <c r="E4" s="200"/>
    </row>
    <row r="5" spans="1:6" ht="15.75" thickBot="1" x14ac:dyDescent="0.3">
      <c r="A5" s="285" t="s">
        <v>117</v>
      </c>
      <c r="B5" s="286"/>
      <c r="C5" s="287">
        <v>40724</v>
      </c>
      <c r="D5" s="287">
        <v>40724</v>
      </c>
      <c r="E5" s="288">
        <v>40725</v>
      </c>
    </row>
    <row r="6" spans="1:6" ht="15" customHeight="1" thickBot="1" x14ac:dyDescent="0.3">
      <c r="A6" s="259" t="s">
        <v>950</v>
      </c>
      <c r="B6" s="299"/>
      <c r="C6" s="300" t="s">
        <v>905</v>
      </c>
      <c r="D6" s="301" t="s">
        <v>906</v>
      </c>
      <c r="E6" s="261" t="s">
        <v>907</v>
      </c>
    </row>
    <row r="7" spans="1:6" x14ac:dyDescent="0.25">
      <c r="A7" s="296" t="s">
        <v>908</v>
      </c>
      <c r="B7" s="297"/>
      <c r="C7" s="283">
        <v>799346</v>
      </c>
      <c r="D7" s="284">
        <v>16937024</v>
      </c>
      <c r="E7" s="298">
        <f>D7/SUM(C7:D7)</f>
        <v>0.95493181524742665</v>
      </c>
    </row>
    <row r="8" spans="1:6" x14ac:dyDescent="0.25">
      <c r="A8" s="292" t="s">
        <v>909</v>
      </c>
      <c r="B8" s="293"/>
      <c r="C8" s="281">
        <v>412500</v>
      </c>
      <c r="D8" s="280">
        <v>1205000</v>
      </c>
      <c r="E8" s="290">
        <f t="shared" ref="E8:E44" si="0">D8/SUM(C8:D8)</f>
        <v>0.74497681607418853</v>
      </c>
    </row>
    <row r="9" spans="1:6" x14ac:dyDescent="0.25">
      <c r="A9" s="292" t="s">
        <v>910</v>
      </c>
      <c r="B9" s="293" t="s">
        <v>673</v>
      </c>
      <c r="C9" s="281">
        <v>182200</v>
      </c>
      <c r="D9" s="280">
        <v>0</v>
      </c>
      <c r="E9" s="290">
        <f t="shared" si="0"/>
        <v>0</v>
      </c>
    </row>
    <row r="10" spans="1:6" x14ac:dyDescent="0.25">
      <c r="A10" s="292" t="s">
        <v>911</v>
      </c>
      <c r="B10" s="293" t="s">
        <v>676</v>
      </c>
      <c r="C10" s="281">
        <v>14000</v>
      </c>
      <c r="D10" s="280">
        <v>14000</v>
      </c>
      <c r="E10" s="290">
        <f t="shared" si="0"/>
        <v>0.5</v>
      </c>
    </row>
    <row r="11" spans="1:6" x14ac:dyDescent="0.25">
      <c r="A11" s="292" t="s">
        <v>912</v>
      </c>
      <c r="B11" s="293" t="s">
        <v>771</v>
      </c>
      <c r="C11" s="281">
        <v>150000</v>
      </c>
      <c r="D11" s="280">
        <v>398000</v>
      </c>
      <c r="E11" s="290">
        <f t="shared" si="0"/>
        <v>0.72627737226277367</v>
      </c>
    </row>
    <row r="12" spans="1:6" x14ac:dyDescent="0.25">
      <c r="A12" s="292" t="s">
        <v>913</v>
      </c>
      <c r="B12" s="293" t="s">
        <v>814</v>
      </c>
      <c r="C12" s="281">
        <v>0</v>
      </c>
      <c r="D12" s="280">
        <v>773000</v>
      </c>
      <c r="E12" s="290">
        <f t="shared" si="0"/>
        <v>1</v>
      </c>
    </row>
    <row r="13" spans="1:6" x14ac:dyDescent="0.25">
      <c r="A13" s="292" t="s">
        <v>914</v>
      </c>
      <c r="B13" s="293" t="s">
        <v>877</v>
      </c>
      <c r="C13" s="281">
        <v>66300</v>
      </c>
      <c r="D13" s="280">
        <v>0</v>
      </c>
      <c r="E13" s="290">
        <f t="shared" si="0"/>
        <v>0</v>
      </c>
    </row>
    <row r="14" spans="1:6" x14ac:dyDescent="0.25">
      <c r="A14" s="292" t="s">
        <v>915</v>
      </c>
      <c r="B14" s="293" t="s">
        <v>893</v>
      </c>
      <c r="C14" s="281">
        <v>0</v>
      </c>
      <c r="D14" s="280">
        <v>20000</v>
      </c>
      <c r="E14" s="290">
        <f t="shared" si="0"/>
        <v>1</v>
      </c>
    </row>
    <row r="15" spans="1:6" x14ac:dyDescent="0.25">
      <c r="A15" s="292" t="s">
        <v>916</v>
      </c>
      <c r="B15" s="293"/>
      <c r="C15" s="281">
        <v>73500</v>
      </c>
      <c r="D15" s="280">
        <v>3647700</v>
      </c>
      <c r="E15" s="290">
        <f t="shared" si="0"/>
        <v>0.98024830699774268</v>
      </c>
    </row>
    <row r="16" spans="1:6" x14ac:dyDescent="0.25">
      <c r="A16" s="292" t="s">
        <v>917</v>
      </c>
      <c r="B16" s="293" t="s">
        <v>684</v>
      </c>
      <c r="C16" s="281">
        <v>56000</v>
      </c>
      <c r="D16" s="280">
        <v>917600</v>
      </c>
      <c r="E16" s="290">
        <f t="shared" si="0"/>
        <v>0.94248151191454399</v>
      </c>
    </row>
    <row r="17" spans="1:5" x14ac:dyDescent="0.25">
      <c r="A17" s="292" t="s">
        <v>918</v>
      </c>
      <c r="B17" s="293" t="s">
        <v>693</v>
      </c>
      <c r="C17" s="281">
        <v>0</v>
      </c>
      <c r="D17" s="280">
        <v>431500</v>
      </c>
      <c r="E17" s="290">
        <f t="shared" si="0"/>
        <v>1</v>
      </c>
    </row>
    <row r="18" spans="1:5" x14ac:dyDescent="0.25">
      <c r="A18" s="292" t="s">
        <v>919</v>
      </c>
      <c r="B18" s="293" t="s">
        <v>698</v>
      </c>
      <c r="C18" s="281">
        <v>0</v>
      </c>
      <c r="D18" s="280">
        <v>339200</v>
      </c>
      <c r="E18" s="290">
        <f t="shared" si="0"/>
        <v>1</v>
      </c>
    </row>
    <row r="19" spans="1:5" x14ac:dyDescent="0.25">
      <c r="A19" s="292" t="s">
        <v>920</v>
      </c>
      <c r="B19" s="293" t="s">
        <v>704</v>
      </c>
      <c r="C19" s="281">
        <v>5500</v>
      </c>
      <c r="D19" s="280">
        <v>212000</v>
      </c>
      <c r="E19" s="290">
        <f t="shared" si="0"/>
        <v>0.97471264367816091</v>
      </c>
    </row>
    <row r="20" spans="1:5" x14ac:dyDescent="0.25">
      <c r="A20" s="292" t="s">
        <v>921</v>
      </c>
      <c r="B20" s="293" t="s">
        <v>744</v>
      </c>
      <c r="C20" s="281">
        <v>0</v>
      </c>
      <c r="D20" s="280">
        <v>106000</v>
      </c>
      <c r="E20" s="290">
        <f t="shared" si="0"/>
        <v>1</v>
      </c>
    </row>
    <row r="21" spans="1:5" x14ac:dyDescent="0.25">
      <c r="A21" s="292" t="s">
        <v>922</v>
      </c>
      <c r="B21" s="293" t="s">
        <v>747</v>
      </c>
      <c r="C21" s="281">
        <v>0</v>
      </c>
      <c r="D21" s="280">
        <v>336000</v>
      </c>
      <c r="E21" s="290">
        <f t="shared" si="0"/>
        <v>1</v>
      </c>
    </row>
    <row r="22" spans="1:5" x14ac:dyDescent="0.25">
      <c r="A22" s="292" t="s">
        <v>923</v>
      </c>
      <c r="B22" s="293" t="s">
        <v>768</v>
      </c>
      <c r="C22" s="281">
        <v>0</v>
      </c>
      <c r="D22" s="280">
        <v>58000</v>
      </c>
      <c r="E22" s="290">
        <f t="shared" si="0"/>
        <v>1</v>
      </c>
    </row>
    <row r="23" spans="1:5" x14ac:dyDescent="0.25">
      <c r="A23" s="292" t="s">
        <v>924</v>
      </c>
      <c r="B23" s="293" t="s">
        <v>795</v>
      </c>
      <c r="C23" s="281">
        <v>0</v>
      </c>
      <c r="D23" s="280">
        <v>524400</v>
      </c>
      <c r="E23" s="290">
        <f t="shared" si="0"/>
        <v>1</v>
      </c>
    </row>
    <row r="24" spans="1:5" x14ac:dyDescent="0.25">
      <c r="A24" s="292" t="s">
        <v>925</v>
      </c>
      <c r="B24" s="293" t="s">
        <v>803</v>
      </c>
      <c r="C24" s="281">
        <v>12000</v>
      </c>
      <c r="D24" s="280">
        <v>508700</v>
      </c>
      <c r="E24" s="290">
        <f t="shared" si="0"/>
        <v>0.97695410024966389</v>
      </c>
    </row>
    <row r="25" spans="1:5" x14ac:dyDescent="0.25">
      <c r="A25" s="292" t="s">
        <v>926</v>
      </c>
      <c r="B25" s="293" t="s">
        <v>825</v>
      </c>
      <c r="C25" s="281">
        <v>0</v>
      </c>
      <c r="D25" s="280">
        <v>180000</v>
      </c>
      <c r="E25" s="290">
        <f t="shared" si="0"/>
        <v>1</v>
      </c>
    </row>
    <row r="26" spans="1:5" x14ac:dyDescent="0.25">
      <c r="A26" s="292" t="s">
        <v>927</v>
      </c>
      <c r="B26" s="293" t="s">
        <v>890</v>
      </c>
      <c r="C26" s="281">
        <v>0</v>
      </c>
      <c r="D26" s="280">
        <v>34300</v>
      </c>
      <c r="E26" s="290">
        <f t="shared" si="0"/>
        <v>1</v>
      </c>
    </row>
    <row r="27" spans="1:5" x14ac:dyDescent="0.25">
      <c r="A27" s="292" t="s">
        <v>928</v>
      </c>
      <c r="B27" s="293"/>
      <c r="C27" s="281">
        <v>130300</v>
      </c>
      <c r="D27" s="280">
        <v>8515919</v>
      </c>
      <c r="E27" s="290">
        <f t="shared" si="0"/>
        <v>0.98492982886507963</v>
      </c>
    </row>
    <row r="28" spans="1:5" x14ac:dyDescent="0.25">
      <c r="A28" s="292" t="s">
        <v>929</v>
      </c>
      <c r="B28" s="293" t="s">
        <v>626</v>
      </c>
      <c r="C28" s="281">
        <v>0</v>
      </c>
      <c r="D28" s="280">
        <v>120100</v>
      </c>
      <c r="E28" s="290">
        <f t="shared" si="0"/>
        <v>1</v>
      </c>
    </row>
    <row r="29" spans="1:5" x14ac:dyDescent="0.25">
      <c r="A29" s="292" t="s">
        <v>930</v>
      </c>
      <c r="B29" s="293" t="s">
        <v>631</v>
      </c>
      <c r="C29" s="281">
        <v>0</v>
      </c>
      <c r="D29" s="280">
        <v>82500</v>
      </c>
      <c r="E29" s="290">
        <f t="shared" si="0"/>
        <v>1</v>
      </c>
    </row>
    <row r="30" spans="1:5" x14ac:dyDescent="0.25">
      <c r="A30" s="292" t="s">
        <v>931</v>
      </c>
      <c r="B30" s="293" t="s">
        <v>709</v>
      </c>
      <c r="C30" s="281">
        <v>55000</v>
      </c>
      <c r="D30" s="280">
        <v>3164520</v>
      </c>
      <c r="E30" s="290">
        <f t="shared" si="0"/>
        <v>0.98291670808070764</v>
      </c>
    </row>
    <row r="31" spans="1:5" x14ac:dyDescent="0.25">
      <c r="A31" s="292" t="s">
        <v>932</v>
      </c>
      <c r="B31" s="293" t="s">
        <v>752</v>
      </c>
      <c r="C31" s="281">
        <v>0</v>
      </c>
      <c r="D31" s="280">
        <v>364000</v>
      </c>
      <c r="E31" s="290">
        <f t="shared" si="0"/>
        <v>1</v>
      </c>
    </row>
    <row r="32" spans="1:5" x14ac:dyDescent="0.25">
      <c r="A32" s="292" t="s">
        <v>933</v>
      </c>
      <c r="B32" s="293" t="s">
        <v>783</v>
      </c>
      <c r="C32" s="281">
        <v>16800</v>
      </c>
      <c r="D32" s="280">
        <v>126100</v>
      </c>
      <c r="E32" s="290">
        <f t="shared" si="0"/>
        <v>0.88243526941917427</v>
      </c>
    </row>
    <row r="33" spans="1:5" x14ac:dyDescent="0.25">
      <c r="A33" s="292" t="s">
        <v>934</v>
      </c>
      <c r="B33" s="293" t="s">
        <v>828</v>
      </c>
      <c r="C33" s="281">
        <v>58500</v>
      </c>
      <c r="D33" s="280">
        <v>4658699</v>
      </c>
      <c r="E33" s="290">
        <f t="shared" si="0"/>
        <v>0.9875985727971196</v>
      </c>
    </row>
    <row r="34" spans="1:5" x14ac:dyDescent="0.25">
      <c r="A34" s="292" t="s">
        <v>935</v>
      </c>
      <c r="B34" s="293"/>
      <c r="C34" s="281">
        <v>3600</v>
      </c>
      <c r="D34" s="280">
        <v>620300</v>
      </c>
      <c r="E34" s="290">
        <f t="shared" si="0"/>
        <v>0.99422984452636642</v>
      </c>
    </row>
    <row r="35" spans="1:5" x14ac:dyDescent="0.25">
      <c r="A35" s="292" t="s">
        <v>936</v>
      </c>
      <c r="B35" s="293" t="s">
        <v>669</v>
      </c>
      <c r="C35" s="281">
        <v>0</v>
      </c>
      <c r="D35" s="280">
        <v>103000</v>
      </c>
      <c r="E35" s="290">
        <f t="shared" si="0"/>
        <v>1</v>
      </c>
    </row>
    <row r="36" spans="1:5" x14ac:dyDescent="0.25">
      <c r="A36" s="292" t="s">
        <v>937</v>
      </c>
      <c r="B36" s="293" t="s">
        <v>760</v>
      </c>
      <c r="C36" s="281">
        <v>0</v>
      </c>
      <c r="D36" s="280">
        <v>187600</v>
      </c>
      <c r="E36" s="290">
        <f t="shared" si="0"/>
        <v>1</v>
      </c>
    </row>
    <row r="37" spans="1:5" x14ac:dyDescent="0.25">
      <c r="A37" s="292" t="s">
        <v>938</v>
      </c>
      <c r="B37" s="293" t="s">
        <v>868</v>
      </c>
      <c r="C37" s="281">
        <v>0</v>
      </c>
      <c r="D37" s="280">
        <v>167200</v>
      </c>
      <c r="E37" s="290">
        <f t="shared" si="0"/>
        <v>1</v>
      </c>
    </row>
    <row r="38" spans="1:5" x14ac:dyDescent="0.25">
      <c r="A38" s="292" t="s">
        <v>939</v>
      </c>
      <c r="B38" s="293" t="s">
        <v>896</v>
      </c>
      <c r="C38" s="281">
        <v>3600</v>
      </c>
      <c r="D38" s="280">
        <v>162500</v>
      </c>
      <c r="E38" s="290">
        <f t="shared" si="0"/>
        <v>0.97832630945213728</v>
      </c>
    </row>
    <row r="39" spans="1:5" x14ac:dyDescent="0.25">
      <c r="A39" s="292" t="s">
        <v>940</v>
      </c>
      <c r="B39" s="293"/>
      <c r="C39" s="281">
        <v>179446</v>
      </c>
      <c r="D39" s="280">
        <v>2948105</v>
      </c>
      <c r="E39" s="290">
        <f t="shared" si="0"/>
        <v>0.94262411708074467</v>
      </c>
    </row>
    <row r="40" spans="1:5" x14ac:dyDescent="0.25">
      <c r="A40" s="292" t="s">
        <v>941</v>
      </c>
      <c r="B40" s="293" t="s">
        <v>618</v>
      </c>
      <c r="C40" s="281">
        <v>94946</v>
      </c>
      <c r="D40" s="280">
        <v>295034</v>
      </c>
      <c r="E40" s="290">
        <f t="shared" si="0"/>
        <v>0.75653623262731418</v>
      </c>
    </row>
    <row r="41" spans="1:5" x14ac:dyDescent="0.25">
      <c r="A41" s="292" t="s">
        <v>424</v>
      </c>
      <c r="B41" s="293" t="s">
        <v>634</v>
      </c>
      <c r="C41" s="281">
        <v>84500</v>
      </c>
      <c r="D41" s="280">
        <v>1874771</v>
      </c>
      <c r="E41" s="290">
        <f t="shared" si="0"/>
        <v>0.95687171402016358</v>
      </c>
    </row>
    <row r="42" spans="1:5" x14ac:dyDescent="0.25">
      <c r="A42" s="292" t="s">
        <v>942</v>
      </c>
      <c r="B42" s="293" t="s">
        <v>679</v>
      </c>
      <c r="C42" s="281">
        <v>0</v>
      </c>
      <c r="D42" s="280">
        <v>147500</v>
      </c>
      <c r="E42" s="290">
        <f t="shared" si="0"/>
        <v>1</v>
      </c>
    </row>
    <row r="43" spans="1:5" x14ac:dyDescent="0.25">
      <c r="A43" s="292" t="s">
        <v>943</v>
      </c>
      <c r="B43" s="293" t="s">
        <v>792</v>
      </c>
      <c r="C43" s="281">
        <v>0</v>
      </c>
      <c r="D43" s="280">
        <v>2000</v>
      </c>
      <c r="E43" s="290">
        <f t="shared" si="0"/>
        <v>1</v>
      </c>
    </row>
    <row r="44" spans="1:5" ht="15.75" thickBot="1" x14ac:dyDescent="0.3">
      <c r="A44" s="294" t="s">
        <v>944</v>
      </c>
      <c r="B44" s="295" t="s">
        <v>880</v>
      </c>
      <c r="C44" s="289">
        <v>0</v>
      </c>
      <c r="D44" s="282">
        <v>628800</v>
      </c>
      <c r="E44" s="291">
        <f t="shared" si="0"/>
        <v>1</v>
      </c>
    </row>
    <row r="45" spans="1:5" x14ac:dyDescent="0.25">
      <c r="A45" s="277"/>
      <c r="B45" s="277"/>
    </row>
    <row r="46" spans="1:5" x14ac:dyDescent="0.25">
      <c r="A46" s="278"/>
      <c r="B46" s="278"/>
    </row>
    <row r="47" spans="1:5" x14ac:dyDescent="0.25">
      <c r="A47" s="278"/>
      <c r="B47" s="278"/>
    </row>
    <row r="48" spans="1:5" x14ac:dyDescent="0.25">
      <c r="A48" s="278"/>
      <c r="B48" s="278"/>
    </row>
    <row r="49" spans="1:2" x14ac:dyDescent="0.25">
      <c r="A49" s="278"/>
      <c r="B49" s="278"/>
    </row>
    <row r="50" spans="1:2" x14ac:dyDescent="0.25">
      <c r="A50" s="278"/>
      <c r="B50" s="278"/>
    </row>
    <row r="51" spans="1:2" x14ac:dyDescent="0.25">
      <c r="A51" s="278"/>
      <c r="B51" s="278"/>
    </row>
    <row r="52" spans="1:2" x14ac:dyDescent="0.25">
      <c r="A52" s="278"/>
      <c r="B52" s="278"/>
    </row>
    <row r="53" spans="1:2" x14ac:dyDescent="0.25">
      <c r="A53" s="278"/>
      <c r="B53" s="278"/>
    </row>
    <row r="54" spans="1:2" x14ac:dyDescent="0.25">
      <c r="A54" s="278"/>
      <c r="B54" s="278"/>
    </row>
    <row r="55" spans="1:2" x14ac:dyDescent="0.25">
      <c r="A55" s="278"/>
      <c r="B55" s="278"/>
    </row>
    <row r="56" spans="1:2" x14ac:dyDescent="0.25">
      <c r="A56" s="278"/>
      <c r="B56" s="278"/>
    </row>
    <row r="57" spans="1:2" x14ac:dyDescent="0.25">
      <c r="A57" s="278"/>
      <c r="B57" s="278"/>
    </row>
    <row r="58" spans="1:2" x14ac:dyDescent="0.25">
      <c r="A58" s="278"/>
      <c r="B58" s="278"/>
    </row>
    <row r="59" spans="1:2" x14ac:dyDescent="0.25">
      <c r="A59" s="278"/>
      <c r="B59" s="278"/>
    </row>
    <row r="60" spans="1:2" x14ac:dyDescent="0.25">
      <c r="A60" s="278"/>
      <c r="B60" s="278"/>
    </row>
    <row r="61" spans="1:2" x14ac:dyDescent="0.25">
      <c r="A61" s="278"/>
      <c r="B61" s="278"/>
    </row>
    <row r="62" spans="1:2" x14ac:dyDescent="0.25">
      <c r="A62" s="278"/>
      <c r="B62" s="278"/>
    </row>
    <row r="63" spans="1:2" x14ac:dyDescent="0.25">
      <c r="A63" s="278"/>
      <c r="B63" s="278"/>
    </row>
    <row r="64" spans="1:2" x14ac:dyDescent="0.25">
      <c r="A64" s="278"/>
      <c r="B64" s="278"/>
    </row>
    <row r="65" spans="1:2" x14ac:dyDescent="0.25">
      <c r="A65" s="278"/>
      <c r="B65" s="278"/>
    </row>
    <row r="66" spans="1:2" x14ac:dyDescent="0.25">
      <c r="A66" s="278"/>
      <c r="B66" s="278"/>
    </row>
    <row r="67" spans="1:2" x14ac:dyDescent="0.25">
      <c r="A67" s="278"/>
      <c r="B67" s="278"/>
    </row>
    <row r="68" spans="1:2" x14ac:dyDescent="0.25">
      <c r="A68" s="278"/>
      <c r="B68" s="278"/>
    </row>
    <row r="69" spans="1:2" x14ac:dyDescent="0.25">
      <c r="A69" s="278"/>
      <c r="B69" s="278"/>
    </row>
    <row r="70" spans="1:2" x14ac:dyDescent="0.25">
      <c r="A70" s="278"/>
      <c r="B70" s="278"/>
    </row>
    <row r="71" spans="1:2" x14ac:dyDescent="0.25">
      <c r="A71" s="278"/>
      <c r="B71" s="278"/>
    </row>
    <row r="72" spans="1:2" x14ac:dyDescent="0.25">
      <c r="A72" s="278"/>
      <c r="B72" s="278"/>
    </row>
    <row r="73" spans="1:2" x14ac:dyDescent="0.25">
      <c r="A73" s="278"/>
      <c r="B73" s="278"/>
    </row>
    <row r="74" spans="1:2" x14ac:dyDescent="0.25">
      <c r="A74" s="278"/>
      <c r="B74" s="278"/>
    </row>
    <row r="75" spans="1:2" x14ac:dyDescent="0.25">
      <c r="A75" s="278"/>
      <c r="B75" s="278"/>
    </row>
    <row r="76" spans="1:2" x14ac:dyDescent="0.25">
      <c r="A76" s="278"/>
      <c r="B76" s="278"/>
    </row>
    <row r="77" spans="1:2" x14ac:dyDescent="0.25">
      <c r="A77" s="278"/>
      <c r="B77" s="278"/>
    </row>
    <row r="78" spans="1:2" x14ac:dyDescent="0.25">
      <c r="A78" s="278"/>
      <c r="B78" s="278"/>
    </row>
    <row r="79" spans="1:2" x14ac:dyDescent="0.25">
      <c r="A79" s="278"/>
      <c r="B79" s="278"/>
    </row>
    <row r="80" spans="1:2" x14ac:dyDescent="0.25">
      <c r="A80" s="278"/>
      <c r="B80" s="278"/>
    </row>
    <row r="81" spans="1:2" x14ac:dyDescent="0.25">
      <c r="A81" s="278"/>
      <c r="B81" s="278"/>
    </row>
    <row r="82" spans="1:2" x14ac:dyDescent="0.25">
      <c r="A82" s="278"/>
      <c r="B82" s="278"/>
    </row>
    <row r="83" spans="1:2" x14ac:dyDescent="0.25">
      <c r="A83" s="278"/>
      <c r="B83" s="278"/>
    </row>
    <row r="84" spans="1:2" x14ac:dyDescent="0.25">
      <c r="A84" s="278"/>
      <c r="B84" s="278"/>
    </row>
    <row r="85" spans="1:2" x14ac:dyDescent="0.25">
      <c r="A85" s="278"/>
      <c r="B85" s="278"/>
    </row>
    <row r="86" spans="1:2" x14ac:dyDescent="0.25">
      <c r="A86" s="278"/>
      <c r="B86" s="278"/>
    </row>
    <row r="87" spans="1:2" x14ac:dyDescent="0.25">
      <c r="A87" s="278"/>
      <c r="B87" s="278"/>
    </row>
    <row r="88" spans="1:2" x14ac:dyDescent="0.25">
      <c r="A88" s="278"/>
      <c r="B88" s="278"/>
    </row>
    <row r="89" spans="1:2" x14ac:dyDescent="0.25">
      <c r="A89" s="278"/>
      <c r="B89" s="278"/>
    </row>
    <row r="90" spans="1:2" x14ac:dyDescent="0.25">
      <c r="A90" s="278"/>
      <c r="B90" s="278"/>
    </row>
    <row r="91" spans="1:2" x14ac:dyDescent="0.25">
      <c r="A91" s="278"/>
      <c r="B91" s="278"/>
    </row>
    <row r="92" spans="1:2" x14ac:dyDescent="0.25">
      <c r="A92" s="278"/>
      <c r="B92" s="278"/>
    </row>
    <row r="93" spans="1:2" x14ac:dyDescent="0.25">
      <c r="A93" s="278"/>
      <c r="B93" s="278"/>
    </row>
    <row r="94" spans="1:2" x14ac:dyDescent="0.25">
      <c r="A94" s="278"/>
      <c r="B94" s="278"/>
    </row>
    <row r="95" spans="1:2" x14ac:dyDescent="0.25">
      <c r="A95" s="278"/>
      <c r="B95" s="278"/>
    </row>
    <row r="96" spans="1:2" x14ac:dyDescent="0.25">
      <c r="A96" s="278"/>
      <c r="B96" s="278"/>
    </row>
    <row r="97" spans="1:2" x14ac:dyDescent="0.25">
      <c r="A97" s="278"/>
      <c r="B97" s="278"/>
    </row>
    <row r="98" spans="1:2" x14ac:dyDescent="0.25">
      <c r="A98" s="278"/>
      <c r="B98" s="278"/>
    </row>
    <row r="99" spans="1:2" x14ac:dyDescent="0.25">
      <c r="A99" s="278"/>
      <c r="B99" s="278"/>
    </row>
    <row r="100" spans="1:2" x14ac:dyDescent="0.25">
      <c r="A100" s="278"/>
      <c r="B100" s="278"/>
    </row>
    <row r="101" spans="1:2" x14ac:dyDescent="0.25">
      <c r="A101" s="278"/>
      <c r="B101" s="278"/>
    </row>
    <row r="102" spans="1:2" x14ac:dyDescent="0.25">
      <c r="A102" s="278"/>
      <c r="B102" s="278"/>
    </row>
    <row r="103" spans="1:2" x14ac:dyDescent="0.25">
      <c r="A103" s="278"/>
      <c r="B103" s="278"/>
    </row>
    <row r="104" spans="1:2" x14ac:dyDescent="0.25">
      <c r="A104" s="278"/>
      <c r="B104" s="278"/>
    </row>
    <row r="105" spans="1:2" x14ac:dyDescent="0.25">
      <c r="A105" s="278"/>
      <c r="B105" s="278"/>
    </row>
    <row r="106" spans="1:2" x14ac:dyDescent="0.25">
      <c r="A106" s="278"/>
      <c r="B106" s="278"/>
    </row>
    <row r="107" spans="1:2" x14ac:dyDescent="0.25">
      <c r="A107" s="278"/>
      <c r="B107" s="278"/>
    </row>
    <row r="108" spans="1:2" x14ac:dyDescent="0.25">
      <c r="A108" s="278"/>
      <c r="B108" s="278"/>
    </row>
    <row r="109" spans="1:2" x14ac:dyDescent="0.25">
      <c r="A109" s="278"/>
      <c r="B109" s="278"/>
    </row>
    <row r="110" spans="1:2" x14ac:dyDescent="0.25">
      <c r="A110" s="278"/>
      <c r="B110" s="278"/>
    </row>
    <row r="111" spans="1:2" x14ac:dyDescent="0.25">
      <c r="A111" s="278"/>
      <c r="B111" s="278"/>
    </row>
    <row r="112" spans="1:2" x14ac:dyDescent="0.25">
      <c r="A112" s="278"/>
      <c r="B112" s="278"/>
    </row>
    <row r="113" spans="1:2" x14ac:dyDescent="0.25">
      <c r="A113" s="278"/>
      <c r="B113" s="278"/>
    </row>
    <row r="114" spans="1:2" x14ac:dyDescent="0.25">
      <c r="A114" s="278"/>
      <c r="B114" s="278"/>
    </row>
    <row r="115" spans="1:2" x14ac:dyDescent="0.25">
      <c r="A115" s="278"/>
      <c r="B115" s="278"/>
    </row>
    <row r="116" spans="1:2" x14ac:dyDescent="0.25">
      <c r="A116" s="278"/>
      <c r="B116" s="278"/>
    </row>
    <row r="117" spans="1:2" x14ac:dyDescent="0.25">
      <c r="A117" s="278"/>
      <c r="B117" s="278"/>
    </row>
    <row r="118" spans="1:2" x14ac:dyDescent="0.25">
      <c r="A118" s="278"/>
      <c r="B118" s="278"/>
    </row>
    <row r="119" spans="1:2" x14ac:dyDescent="0.25">
      <c r="A119" s="278"/>
      <c r="B119" s="278"/>
    </row>
    <row r="120" spans="1:2" x14ac:dyDescent="0.25">
      <c r="A120" s="278"/>
      <c r="B120" s="278"/>
    </row>
    <row r="121" spans="1:2" x14ac:dyDescent="0.25">
      <c r="A121" s="278"/>
      <c r="B121" s="278"/>
    </row>
    <row r="122" spans="1:2" x14ac:dyDescent="0.25">
      <c r="A122" s="278"/>
      <c r="B122" s="278"/>
    </row>
    <row r="123" spans="1:2" x14ac:dyDescent="0.25">
      <c r="A123" s="278"/>
      <c r="B123" s="278"/>
    </row>
    <row r="124" spans="1:2" x14ac:dyDescent="0.25">
      <c r="A124" s="278"/>
      <c r="B124" s="278"/>
    </row>
    <row r="125" spans="1:2" x14ac:dyDescent="0.25">
      <c r="A125" s="278"/>
      <c r="B125" s="278"/>
    </row>
    <row r="126" spans="1:2" x14ac:dyDescent="0.25">
      <c r="A126" s="278"/>
      <c r="B126" s="278"/>
    </row>
    <row r="127" spans="1:2" x14ac:dyDescent="0.25">
      <c r="A127" s="278"/>
      <c r="B127" s="278"/>
    </row>
    <row r="128" spans="1:2" x14ac:dyDescent="0.25">
      <c r="A128" s="278"/>
      <c r="B128" s="278"/>
    </row>
    <row r="129" spans="1:2" x14ac:dyDescent="0.25">
      <c r="A129" s="278"/>
      <c r="B129" s="278"/>
    </row>
    <row r="130" spans="1:2" x14ac:dyDescent="0.25">
      <c r="A130" s="278"/>
      <c r="B130" s="278"/>
    </row>
    <row r="131" spans="1:2" x14ac:dyDescent="0.25">
      <c r="A131" s="278"/>
      <c r="B131" s="278"/>
    </row>
    <row r="132" spans="1:2" x14ac:dyDescent="0.25">
      <c r="A132" s="278"/>
      <c r="B132" s="278"/>
    </row>
    <row r="133" spans="1:2" x14ac:dyDescent="0.25">
      <c r="A133" s="278"/>
      <c r="B133" s="278"/>
    </row>
    <row r="134" spans="1:2" x14ac:dyDescent="0.25">
      <c r="A134" s="278"/>
      <c r="B134" s="278"/>
    </row>
    <row r="135" spans="1:2" x14ac:dyDescent="0.25">
      <c r="A135" s="278"/>
      <c r="B135" s="278"/>
    </row>
    <row r="136" spans="1:2" x14ac:dyDescent="0.25">
      <c r="A136" s="278"/>
      <c r="B136" s="278"/>
    </row>
    <row r="137" spans="1:2" x14ac:dyDescent="0.25">
      <c r="A137" s="278"/>
      <c r="B137" s="278"/>
    </row>
    <row r="138" spans="1:2" x14ac:dyDescent="0.25">
      <c r="A138" s="278"/>
      <c r="B138" s="278"/>
    </row>
    <row r="139" spans="1:2" x14ac:dyDescent="0.25">
      <c r="A139" s="278"/>
      <c r="B139" s="278"/>
    </row>
    <row r="140" spans="1:2" x14ac:dyDescent="0.25">
      <c r="A140" s="278"/>
      <c r="B140" s="278"/>
    </row>
    <row r="141" spans="1:2" x14ac:dyDescent="0.25">
      <c r="A141" s="278"/>
      <c r="B141" s="278"/>
    </row>
    <row r="142" spans="1:2" x14ac:dyDescent="0.25">
      <c r="A142" s="278"/>
      <c r="B142" s="278"/>
    </row>
    <row r="143" spans="1:2" x14ac:dyDescent="0.25">
      <c r="A143" s="278"/>
      <c r="B143" s="278"/>
    </row>
    <row r="144" spans="1:2" x14ac:dyDescent="0.25">
      <c r="A144" s="278"/>
      <c r="B144" s="278"/>
    </row>
    <row r="145" spans="1:2" x14ac:dyDescent="0.25">
      <c r="A145" s="278"/>
      <c r="B145" s="278"/>
    </row>
    <row r="146" spans="1:2" x14ac:dyDescent="0.25">
      <c r="A146" s="278"/>
      <c r="B146" s="278"/>
    </row>
    <row r="147" spans="1:2" x14ac:dyDescent="0.25">
      <c r="A147" s="278"/>
      <c r="B147" s="278"/>
    </row>
    <row r="148" spans="1:2" x14ac:dyDescent="0.25">
      <c r="A148" s="278"/>
      <c r="B148" s="278"/>
    </row>
    <row r="149" spans="1:2" x14ac:dyDescent="0.25">
      <c r="A149" s="278"/>
      <c r="B149" s="278"/>
    </row>
    <row r="150" spans="1:2" x14ac:dyDescent="0.25">
      <c r="A150" s="278"/>
      <c r="B150" s="278"/>
    </row>
    <row r="151" spans="1:2" x14ac:dyDescent="0.25">
      <c r="A151" s="278"/>
      <c r="B151" s="278"/>
    </row>
    <row r="152" spans="1:2" x14ac:dyDescent="0.25">
      <c r="A152" s="278"/>
      <c r="B152" s="278"/>
    </row>
    <row r="153" spans="1:2" x14ac:dyDescent="0.25">
      <c r="A153" s="278"/>
      <c r="B153" s="278"/>
    </row>
    <row r="154" spans="1:2" x14ac:dyDescent="0.25">
      <c r="A154" s="278"/>
      <c r="B154" s="278"/>
    </row>
    <row r="155" spans="1:2" x14ac:dyDescent="0.25">
      <c r="A155" s="278"/>
      <c r="B155" s="278"/>
    </row>
    <row r="156" spans="1:2" x14ac:dyDescent="0.25">
      <c r="A156" s="278"/>
      <c r="B156" s="278"/>
    </row>
    <row r="157" spans="1:2" x14ac:dyDescent="0.25">
      <c r="A157" s="278"/>
      <c r="B157" s="278"/>
    </row>
    <row r="158" spans="1:2" x14ac:dyDescent="0.25">
      <c r="A158" s="278"/>
      <c r="B158" s="278"/>
    </row>
    <row r="159" spans="1:2" x14ac:dyDescent="0.25">
      <c r="A159" s="278"/>
      <c r="B159" s="278"/>
    </row>
    <row r="160" spans="1:2" x14ac:dyDescent="0.25">
      <c r="A160" s="278"/>
      <c r="B160" s="278"/>
    </row>
    <row r="161" spans="1:2" x14ac:dyDescent="0.25">
      <c r="A161" s="278"/>
      <c r="B161" s="278"/>
    </row>
    <row r="162" spans="1:2" x14ac:dyDescent="0.25">
      <c r="A162" s="278"/>
      <c r="B162" s="278"/>
    </row>
    <row r="163" spans="1:2" x14ac:dyDescent="0.25">
      <c r="A163" s="278"/>
      <c r="B163" s="278"/>
    </row>
    <row r="164" spans="1:2" x14ac:dyDescent="0.25">
      <c r="A164" s="278"/>
      <c r="B164" s="278"/>
    </row>
    <row r="165" spans="1:2" x14ac:dyDescent="0.25">
      <c r="A165" s="278"/>
      <c r="B165" s="278"/>
    </row>
    <row r="166" spans="1:2" x14ac:dyDescent="0.25">
      <c r="A166" s="278"/>
      <c r="B166" s="278"/>
    </row>
    <row r="167" spans="1:2" x14ac:dyDescent="0.25">
      <c r="A167" s="278"/>
      <c r="B167" s="278"/>
    </row>
    <row r="168" spans="1:2" x14ac:dyDescent="0.25">
      <c r="A168" s="278"/>
      <c r="B168" s="278"/>
    </row>
    <row r="169" spans="1:2" x14ac:dyDescent="0.25">
      <c r="A169" s="278"/>
      <c r="B169" s="278"/>
    </row>
    <row r="170" spans="1:2" x14ac:dyDescent="0.25">
      <c r="A170" s="278"/>
      <c r="B170" s="278"/>
    </row>
    <row r="171" spans="1:2" x14ac:dyDescent="0.25">
      <c r="A171" s="278"/>
      <c r="B171" s="278"/>
    </row>
    <row r="172" spans="1:2" x14ac:dyDescent="0.25">
      <c r="A172" s="278"/>
      <c r="B172" s="278"/>
    </row>
    <row r="173" spans="1:2" x14ac:dyDescent="0.25">
      <c r="A173" s="278"/>
      <c r="B173" s="278"/>
    </row>
    <row r="174" spans="1:2" x14ac:dyDescent="0.25">
      <c r="A174" s="278"/>
      <c r="B174" s="278"/>
    </row>
    <row r="175" spans="1:2" x14ac:dyDescent="0.25">
      <c r="A175" s="278"/>
      <c r="B175" s="278"/>
    </row>
    <row r="176" spans="1:2" x14ac:dyDescent="0.25">
      <c r="A176" s="278"/>
      <c r="B176" s="278"/>
    </row>
    <row r="177" spans="1:2" x14ac:dyDescent="0.25">
      <c r="A177" s="278"/>
      <c r="B177" s="278"/>
    </row>
    <row r="178" spans="1:2" x14ac:dyDescent="0.25">
      <c r="A178" s="278"/>
      <c r="B178" s="278"/>
    </row>
    <row r="179" spans="1:2" x14ac:dyDescent="0.25">
      <c r="A179" s="278"/>
      <c r="B179" s="278"/>
    </row>
    <row r="180" spans="1:2" x14ac:dyDescent="0.25">
      <c r="A180" s="278"/>
      <c r="B180" s="278"/>
    </row>
    <row r="181" spans="1:2" x14ac:dyDescent="0.25">
      <c r="A181" s="278"/>
      <c r="B181" s="278"/>
    </row>
    <row r="182" spans="1:2" x14ac:dyDescent="0.25">
      <c r="A182" s="278"/>
      <c r="B182" s="278"/>
    </row>
    <row r="183" spans="1:2" x14ac:dyDescent="0.25">
      <c r="A183" s="278"/>
      <c r="B183" s="278"/>
    </row>
    <row r="184" spans="1:2" x14ac:dyDescent="0.25">
      <c r="A184" s="278"/>
      <c r="B184" s="278"/>
    </row>
    <row r="185" spans="1:2" x14ac:dyDescent="0.25">
      <c r="A185" s="278"/>
      <c r="B185" s="278"/>
    </row>
    <row r="186" spans="1:2" x14ac:dyDescent="0.25">
      <c r="A186" s="278"/>
      <c r="B186" s="278"/>
    </row>
    <row r="187" spans="1:2" x14ac:dyDescent="0.25">
      <c r="A187" s="278"/>
      <c r="B187" s="278"/>
    </row>
    <row r="188" spans="1:2" x14ac:dyDescent="0.25">
      <c r="A188" s="278"/>
      <c r="B188" s="278"/>
    </row>
    <row r="189" spans="1:2" x14ac:dyDescent="0.25">
      <c r="A189" s="278"/>
      <c r="B189" s="278"/>
    </row>
    <row r="190" spans="1:2" x14ac:dyDescent="0.25">
      <c r="A190" s="278"/>
      <c r="B190" s="278"/>
    </row>
    <row r="191" spans="1:2" x14ac:dyDescent="0.25">
      <c r="A191" s="278"/>
      <c r="B191" s="278"/>
    </row>
    <row r="192" spans="1:2" x14ac:dyDescent="0.25">
      <c r="A192" s="278"/>
      <c r="B192" s="278"/>
    </row>
    <row r="193" spans="1:2" x14ac:dyDescent="0.25">
      <c r="A193" s="278"/>
      <c r="B193" s="278"/>
    </row>
    <row r="194" spans="1:2" x14ac:dyDescent="0.25">
      <c r="A194" s="278"/>
      <c r="B194" s="278"/>
    </row>
    <row r="195" spans="1:2" x14ac:dyDescent="0.25">
      <c r="A195" s="278"/>
      <c r="B195" s="278"/>
    </row>
    <row r="196" spans="1:2" x14ac:dyDescent="0.25">
      <c r="A196" s="278"/>
      <c r="B196" s="278"/>
    </row>
    <row r="197" spans="1:2" x14ac:dyDescent="0.25">
      <c r="A197" s="278"/>
      <c r="B197" s="278"/>
    </row>
    <row r="198" spans="1:2" x14ac:dyDescent="0.25">
      <c r="A198" s="278"/>
      <c r="B198" s="278"/>
    </row>
    <row r="199" spans="1:2" x14ac:dyDescent="0.25">
      <c r="A199" s="278"/>
      <c r="B199" s="278"/>
    </row>
    <row r="200" spans="1:2" x14ac:dyDescent="0.25">
      <c r="A200" s="278"/>
      <c r="B200" s="278"/>
    </row>
    <row r="201" spans="1:2" x14ac:dyDescent="0.25">
      <c r="A201" s="278"/>
      <c r="B201" s="278"/>
    </row>
    <row r="202" spans="1:2" x14ac:dyDescent="0.25">
      <c r="A202" s="278"/>
      <c r="B202" s="278"/>
    </row>
    <row r="203" spans="1:2" x14ac:dyDescent="0.25">
      <c r="A203" s="278"/>
      <c r="B203" s="278"/>
    </row>
    <row r="204" spans="1:2" x14ac:dyDescent="0.25">
      <c r="A204" s="278"/>
      <c r="B204" s="278"/>
    </row>
    <row r="205" spans="1:2" x14ac:dyDescent="0.25">
      <c r="A205" s="278"/>
      <c r="B205" s="278"/>
    </row>
    <row r="206" spans="1:2" x14ac:dyDescent="0.25">
      <c r="A206" s="278"/>
      <c r="B206" s="278"/>
    </row>
    <row r="207" spans="1:2" x14ac:dyDescent="0.25">
      <c r="A207" s="278"/>
      <c r="B207" s="278"/>
    </row>
    <row r="208" spans="1:2" x14ac:dyDescent="0.25">
      <c r="A208" s="278"/>
      <c r="B208" s="278"/>
    </row>
    <row r="209" spans="1:2" x14ac:dyDescent="0.25">
      <c r="A209" s="278"/>
      <c r="B209" s="278"/>
    </row>
    <row r="210" spans="1:2" x14ac:dyDescent="0.25">
      <c r="A210" s="278"/>
      <c r="B210" s="278"/>
    </row>
    <row r="211" spans="1:2" x14ac:dyDescent="0.25">
      <c r="A211" s="278"/>
      <c r="B211" s="278"/>
    </row>
    <row r="212" spans="1:2" x14ac:dyDescent="0.25">
      <c r="A212" s="278"/>
      <c r="B212" s="278"/>
    </row>
    <row r="213" spans="1:2" x14ac:dyDescent="0.25">
      <c r="A213" s="278"/>
      <c r="B213" s="278"/>
    </row>
    <row r="214" spans="1:2" x14ac:dyDescent="0.25">
      <c r="A214" s="278"/>
      <c r="B214" s="278"/>
    </row>
    <row r="215" spans="1:2" x14ac:dyDescent="0.25">
      <c r="A215" s="278"/>
      <c r="B215" s="278"/>
    </row>
    <row r="216" spans="1:2" x14ac:dyDescent="0.25">
      <c r="A216" s="278"/>
      <c r="B216" s="278"/>
    </row>
    <row r="217" spans="1:2" x14ac:dyDescent="0.25">
      <c r="A217" s="278"/>
      <c r="B217" s="278"/>
    </row>
    <row r="218" spans="1:2" x14ac:dyDescent="0.25">
      <c r="A218" s="278"/>
      <c r="B218" s="278"/>
    </row>
    <row r="219" spans="1:2" x14ac:dyDescent="0.25">
      <c r="A219" s="278"/>
      <c r="B219" s="278"/>
    </row>
    <row r="220" spans="1:2" x14ac:dyDescent="0.25">
      <c r="A220" s="278"/>
      <c r="B220" s="278"/>
    </row>
    <row r="221" spans="1:2" x14ac:dyDescent="0.25">
      <c r="A221" s="278"/>
      <c r="B221" s="278"/>
    </row>
    <row r="222" spans="1:2" x14ac:dyDescent="0.25">
      <c r="A222" s="278"/>
      <c r="B222" s="278"/>
    </row>
    <row r="223" spans="1:2" x14ac:dyDescent="0.25">
      <c r="A223" s="278"/>
      <c r="B223" s="278"/>
    </row>
    <row r="224" spans="1:2" x14ac:dyDescent="0.25">
      <c r="A224" s="278"/>
      <c r="B224" s="278"/>
    </row>
    <row r="225" spans="1:2" x14ac:dyDescent="0.25">
      <c r="A225" s="278"/>
      <c r="B225" s="278"/>
    </row>
    <row r="226" spans="1:2" x14ac:dyDescent="0.25">
      <c r="A226" s="278"/>
      <c r="B226" s="278"/>
    </row>
    <row r="227" spans="1:2" x14ac:dyDescent="0.25">
      <c r="A227" s="278"/>
      <c r="B227" s="278"/>
    </row>
    <row r="228" spans="1:2" x14ac:dyDescent="0.25">
      <c r="A228" s="278"/>
      <c r="B228" s="278"/>
    </row>
    <row r="229" spans="1:2" x14ac:dyDescent="0.25">
      <c r="A229" s="278"/>
      <c r="B229" s="278"/>
    </row>
    <row r="230" spans="1:2" x14ac:dyDescent="0.25">
      <c r="A230" s="278"/>
      <c r="B230" s="278"/>
    </row>
    <row r="231" spans="1:2" x14ac:dyDescent="0.25">
      <c r="A231" s="278"/>
      <c r="B231" s="278"/>
    </row>
    <row r="232" spans="1:2" x14ac:dyDescent="0.25">
      <c r="A232" s="278"/>
      <c r="B232" s="278"/>
    </row>
    <row r="233" spans="1:2" x14ac:dyDescent="0.25">
      <c r="A233" s="278"/>
      <c r="B233" s="278"/>
    </row>
    <row r="234" spans="1:2" x14ac:dyDescent="0.25">
      <c r="A234" s="278"/>
      <c r="B234" s="278"/>
    </row>
    <row r="235" spans="1:2" x14ac:dyDescent="0.25">
      <c r="A235" s="278"/>
      <c r="B235" s="278"/>
    </row>
    <row r="236" spans="1:2" x14ac:dyDescent="0.25">
      <c r="A236" s="278"/>
      <c r="B236" s="278"/>
    </row>
    <row r="237" spans="1:2" x14ac:dyDescent="0.25">
      <c r="A237" s="278"/>
      <c r="B237" s="278"/>
    </row>
    <row r="238" spans="1:2" x14ac:dyDescent="0.25">
      <c r="A238" s="278"/>
      <c r="B238" s="278"/>
    </row>
    <row r="239" spans="1:2" x14ac:dyDescent="0.25">
      <c r="A239" s="278"/>
      <c r="B239" s="278"/>
    </row>
    <row r="240" spans="1:2" x14ac:dyDescent="0.25">
      <c r="A240" s="278"/>
      <c r="B240" s="278"/>
    </row>
    <row r="241" spans="1:2" x14ac:dyDescent="0.25">
      <c r="A241" s="278"/>
      <c r="B241" s="278"/>
    </row>
    <row r="242" spans="1:2" x14ac:dyDescent="0.25">
      <c r="A242" s="278"/>
      <c r="B242" s="278"/>
    </row>
    <row r="243" spans="1:2" x14ac:dyDescent="0.25">
      <c r="A243" s="278"/>
      <c r="B243" s="278"/>
    </row>
    <row r="244" spans="1:2" x14ac:dyDescent="0.25">
      <c r="A244" s="278"/>
      <c r="B244" s="278"/>
    </row>
    <row r="245" spans="1:2" x14ac:dyDescent="0.25">
      <c r="A245" s="278"/>
      <c r="B245" s="278"/>
    </row>
    <row r="246" spans="1:2" x14ac:dyDescent="0.25">
      <c r="A246" s="278"/>
      <c r="B246" s="278"/>
    </row>
    <row r="247" spans="1:2" x14ac:dyDescent="0.25">
      <c r="A247" s="278"/>
      <c r="B247" s="278"/>
    </row>
    <row r="248" spans="1:2" x14ac:dyDescent="0.25">
      <c r="A248" s="278"/>
      <c r="B248" s="278"/>
    </row>
    <row r="249" spans="1:2" x14ac:dyDescent="0.25">
      <c r="A249" s="278"/>
      <c r="B249" s="278"/>
    </row>
    <row r="250" spans="1:2" x14ac:dyDescent="0.25">
      <c r="A250" s="278"/>
      <c r="B250" s="278"/>
    </row>
    <row r="251" spans="1:2" x14ac:dyDescent="0.25">
      <c r="A251" s="278"/>
      <c r="B251" s="278"/>
    </row>
    <row r="252" spans="1:2" x14ac:dyDescent="0.25">
      <c r="A252" s="278"/>
      <c r="B252" s="278"/>
    </row>
    <row r="253" spans="1:2" x14ac:dyDescent="0.25">
      <c r="A253" s="278"/>
      <c r="B253" s="278"/>
    </row>
  </sheetData>
  <mergeCells count="1">
    <mergeCell ref="B1:F1"/>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3:QI561"/>
  <sheetViews>
    <sheetView workbookViewId="0">
      <selection activeCell="BV16" sqref="BV16"/>
    </sheetView>
  </sheetViews>
  <sheetFormatPr defaultRowHeight="15" x14ac:dyDescent="0.25"/>
  <cols>
    <col min="1" max="1" width="13.140625" customWidth="1"/>
    <col min="2" max="2" width="24.140625" customWidth="1"/>
    <col min="3" max="3" width="15.5703125" customWidth="1"/>
    <col min="4" max="4" width="15.85546875" customWidth="1"/>
    <col min="5" max="5" width="20.7109375" customWidth="1"/>
    <col min="6" max="6" width="15.5703125" customWidth="1"/>
    <col min="7" max="7" width="15.85546875" customWidth="1"/>
    <col min="8" max="8" width="19.42578125" customWidth="1"/>
    <col min="9" max="9" width="15.5703125" customWidth="1"/>
    <col min="10" max="10" width="15.85546875" customWidth="1"/>
    <col min="11" max="11" width="19.42578125" customWidth="1"/>
    <col min="12" max="12" width="15.5703125" customWidth="1"/>
    <col min="13" max="13" width="15.85546875" customWidth="1"/>
    <col min="14" max="14" width="19.42578125" customWidth="1"/>
    <col min="15" max="15" width="15.5703125" customWidth="1"/>
    <col min="16" max="16" width="15.85546875" customWidth="1"/>
    <col min="17" max="17" width="20.7109375" customWidth="1"/>
    <col min="18" max="18" width="15.5703125" customWidth="1"/>
    <col min="19" max="19" width="15.85546875" customWidth="1"/>
    <col min="20" max="20" width="23.28515625" bestFit="1" customWidth="1"/>
    <col min="21" max="21" width="15.5703125" customWidth="1"/>
    <col min="22" max="22" width="15.85546875" customWidth="1"/>
    <col min="23" max="23" width="19.42578125" customWidth="1"/>
    <col min="24" max="24" width="15.5703125" customWidth="1"/>
    <col min="25" max="25" width="15.85546875" customWidth="1"/>
    <col min="26" max="26" width="19.42578125" bestFit="1" customWidth="1"/>
    <col min="27" max="27" width="15.5703125" customWidth="1"/>
    <col min="28" max="28" width="15.85546875" customWidth="1"/>
    <col min="29" max="29" width="19.42578125" customWidth="1"/>
    <col min="30" max="30" width="15.5703125" customWidth="1"/>
    <col min="31" max="31" width="15.85546875" customWidth="1"/>
    <col min="32" max="32" width="19.42578125" bestFit="1" customWidth="1"/>
    <col min="33" max="33" width="15.5703125" customWidth="1"/>
    <col min="34" max="34" width="15.85546875" customWidth="1"/>
    <col min="35" max="35" width="19.42578125" customWidth="1"/>
    <col min="36" max="36" width="15.5703125" customWidth="1"/>
    <col min="37" max="37" width="15.85546875" customWidth="1"/>
    <col min="38" max="38" width="20.5703125" customWidth="1"/>
    <col min="39" max="39" width="15.5703125" customWidth="1"/>
    <col min="40" max="40" width="15.85546875" customWidth="1"/>
    <col min="41" max="41" width="19.42578125" customWidth="1"/>
    <col min="42" max="42" width="15.5703125" customWidth="1"/>
    <col min="43" max="43" width="15.85546875" customWidth="1"/>
    <col min="44" max="44" width="19.42578125" customWidth="1"/>
    <col min="45" max="45" width="15.5703125" customWidth="1"/>
    <col min="46" max="46" width="15.85546875" customWidth="1"/>
    <col min="47" max="47" width="19.42578125" customWidth="1"/>
    <col min="48" max="48" width="15.5703125" customWidth="1"/>
    <col min="49" max="49" width="15.85546875" customWidth="1"/>
    <col min="50" max="50" width="19.42578125" bestFit="1" customWidth="1"/>
    <col min="51" max="51" width="15.5703125" customWidth="1"/>
    <col min="52" max="52" width="15.85546875" customWidth="1"/>
    <col min="53" max="53" width="19.42578125" customWidth="1"/>
    <col min="54" max="54" width="15.5703125" customWidth="1"/>
    <col min="55" max="55" width="15.85546875" customWidth="1"/>
    <col min="56" max="56" width="19.42578125" bestFit="1" customWidth="1"/>
    <col min="57" max="57" width="15.5703125" customWidth="1"/>
    <col min="58" max="58" width="15.85546875" customWidth="1"/>
    <col min="59" max="59" width="19.42578125" customWidth="1"/>
    <col min="60" max="60" width="15.5703125" customWidth="1"/>
    <col min="61" max="61" width="15.85546875" customWidth="1"/>
    <col min="62" max="62" width="24.42578125" bestFit="1" customWidth="1"/>
    <col min="63" max="63" width="15.5703125" customWidth="1"/>
    <col min="64" max="64" width="15.85546875" customWidth="1"/>
    <col min="65" max="65" width="20" customWidth="1"/>
    <col min="66" max="66" width="15.5703125" customWidth="1"/>
    <col min="67" max="67" width="15.85546875" customWidth="1"/>
    <col min="68" max="68" width="19.42578125" customWidth="1"/>
    <col min="69" max="69" width="15.5703125" customWidth="1"/>
    <col min="70" max="70" width="15.85546875" customWidth="1"/>
    <col min="71" max="71" width="19.42578125" customWidth="1"/>
    <col min="72" max="72" width="15.5703125" customWidth="1"/>
    <col min="73" max="73" width="15.85546875" customWidth="1"/>
    <col min="74" max="74" width="19.42578125" customWidth="1"/>
    <col min="75" max="75" width="15.5703125" customWidth="1"/>
    <col min="76" max="76" width="15.85546875" customWidth="1"/>
    <col min="77" max="77" width="20.7109375" customWidth="1"/>
    <col min="78" max="78" width="15.5703125" customWidth="1"/>
    <col min="79" max="79" width="15.85546875" customWidth="1"/>
    <col min="80" max="80" width="19.42578125" customWidth="1"/>
    <col min="81" max="81" width="15.5703125" customWidth="1"/>
    <col min="82" max="82" width="15.85546875" customWidth="1"/>
    <col min="83" max="83" width="19.42578125" customWidth="1"/>
    <col min="84" max="84" width="15.5703125" customWidth="1"/>
    <col min="85" max="85" width="15.85546875" customWidth="1"/>
    <col min="86" max="86" width="19.42578125" bestFit="1" customWidth="1"/>
    <col min="87" max="87" width="15.5703125" customWidth="1"/>
    <col min="88" max="88" width="15.85546875" customWidth="1"/>
    <col min="89" max="89" width="19.42578125" customWidth="1"/>
    <col min="90" max="90" width="15.5703125" customWidth="1"/>
    <col min="91" max="91" width="15.85546875" customWidth="1"/>
    <col min="92" max="92" width="21.42578125" bestFit="1" customWidth="1"/>
    <col min="93" max="93" width="15.5703125" customWidth="1"/>
    <col min="94" max="94" width="15.85546875" customWidth="1"/>
    <col min="95" max="95" width="19.85546875" customWidth="1"/>
    <col min="96" max="96" width="15.5703125" customWidth="1"/>
    <col min="97" max="97" width="15.85546875" customWidth="1"/>
    <col min="98" max="98" width="19.42578125" customWidth="1"/>
    <col min="99" max="99" width="15.5703125" customWidth="1"/>
    <col min="100" max="100" width="15.85546875" customWidth="1"/>
    <col min="101" max="101" width="19.42578125" customWidth="1"/>
    <col min="102" max="102" width="15.5703125" customWidth="1"/>
    <col min="103" max="103" width="15.85546875" customWidth="1"/>
    <col min="104" max="104" width="25" bestFit="1" customWidth="1"/>
    <col min="105" max="105" width="15.5703125" customWidth="1"/>
    <col min="106" max="106" width="15.85546875" customWidth="1"/>
    <col min="107" max="107" width="22.140625" customWidth="1"/>
    <col min="108" max="108" width="15.5703125" customWidth="1"/>
    <col min="109" max="109" width="15.85546875" customWidth="1"/>
    <col min="110" max="110" width="19.42578125" customWidth="1"/>
    <col min="111" max="111" width="15.5703125" customWidth="1"/>
    <col min="112" max="112" width="15.85546875" customWidth="1"/>
    <col min="113" max="113" width="19.42578125" customWidth="1"/>
    <col min="114" max="114" width="15.5703125" customWidth="1"/>
    <col min="115" max="115" width="15.85546875" customWidth="1"/>
    <col min="116" max="116" width="26.7109375" customWidth="1"/>
    <col min="117" max="117" width="15.5703125" customWidth="1"/>
    <col min="118" max="118" width="15.85546875" customWidth="1"/>
    <col min="119" max="119" width="19.42578125" customWidth="1"/>
    <col min="120" max="120" width="15.5703125" customWidth="1"/>
    <col min="121" max="121" width="15.85546875" customWidth="1"/>
    <col min="122" max="122" width="19.42578125" bestFit="1" customWidth="1"/>
    <col min="123" max="123" width="15.5703125" bestFit="1" customWidth="1"/>
    <col min="124" max="124" width="15.85546875" customWidth="1"/>
    <col min="125" max="125" width="19.42578125" bestFit="1" customWidth="1"/>
    <col min="126" max="126" width="15.5703125" bestFit="1" customWidth="1"/>
    <col min="127" max="127" width="15.85546875" customWidth="1"/>
    <col min="128" max="128" width="19.42578125" bestFit="1" customWidth="1"/>
    <col min="129" max="129" width="15.5703125" bestFit="1" customWidth="1"/>
    <col min="130" max="130" width="15.85546875" customWidth="1"/>
    <col min="131" max="131" width="23.28515625" bestFit="1" customWidth="1"/>
    <col min="132" max="132" width="15.5703125" bestFit="1" customWidth="1"/>
    <col min="133" max="133" width="15.85546875" customWidth="1"/>
    <col min="134" max="134" width="19.42578125" customWidth="1"/>
    <col min="135" max="135" width="15.5703125" bestFit="1" customWidth="1"/>
    <col min="136" max="136" width="15.85546875" customWidth="1"/>
    <col min="137" max="137" width="20.5703125" bestFit="1" customWidth="1"/>
    <col min="138" max="138" width="15.5703125" bestFit="1" customWidth="1"/>
    <col min="139" max="139" width="15.85546875" customWidth="1"/>
    <col min="140" max="140" width="19.42578125" customWidth="1"/>
    <col min="141" max="141" width="15.5703125" bestFit="1" customWidth="1"/>
    <col min="142" max="142" width="15.85546875" customWidth="1"/>
    <col min="143" max="143" width="19.42578125" bestFit="1" customWidth="1"/>
    <col min="144" max="144" width="15.5703125" bestFit="1" customWidth="1"/>
    <col min="145" max="145" width="15.85546875" customWidth="1"/>
    <col min="146" max="146" width="19.42578125" bestFit="1" customWidth="1"/>
    <col min="147" max="147" width="15.5703125" bestFit="1" customWidth="1"/>
    <col min="148" max="148" width="15.85546875" customWidth="1"/>
    <col min="149" max="149" width="19.42578125" bestFit="1" customWidth="1"/>
    <col min="150" max="150" width="15.5703125" bestFit="1" customWidth="1"/>
    <col min="151" max="151" width="15.85546875" customWidth="1"/>
    <col min="152" max="152" width="19.42578125" bestFit="1" customWidth="1"/>
    <col min="153" max="153" width="15.5703125" bestFit="1" customWidth="1"/>
    <col min="154" max="154" width="15.85546875" customWidth="1"/>
    <col min="155" max="155" width="19.42578125" bestFit="1" customWidth="1"/>
    <col min="156" max="156" width="15.5703125" bestFit="1" customWidth="1"/>
    <col min="157" max="157" width="15.85546875" customWidth="1"/>
    <col min="158" max="158" width="19.42578125" bestFit="1" customWidth="1"/>
    <col min="159" max="159" width="15.5703125" bestFit="1" customWidth="1"/>
    <col min="160" max="160" width="15.85546875" customWidth="1"/>
    <col min="161" max="161" width="19.42578125" bestFit="1" customWidth="1"/>
    <col min="162" max="162" width="15.5703125" bestFit="1" customWidth="1"/>
    <col min="163" max="163" width="15.85546875" customWidth="1"/>
    <col min="164" max="164" width="20.42578125" bestFit="1" customWidth="1"/>
    <col min="165" max="165" width="15.5703125" bestFit="1" customWidth="1"/>
    <col min="166" max="166" width="15.85546875" customWidth="1"/>
    <col min="167" max="167" width="19.42578125" customWidth="1"/>
    <col min="168" max="168" width="15.5703125" bestFit="1" customWidth="1"/>
    <col min="169" max="169" width="15.85546875" customWidth="1"/>
    <col min="170" max="170" width="20" bestFit="1" customWidth="1"/>
    <col min="171" max="171" width="15.5703125" bestFit="1" customWidth="1"/>
    <col min="172" max="172" width="15.85546875" customWidth="1"/>
    <col min="173" max="173" width="19.42578125" customWidth="1"/>
    <col min="174" max="174" width="15.5703125" bestFit="1" customWidth="1"/>
    <col min="175" max="175" width="15.85546875" customWidth="1"/>
    <col min="176" max="176" width="19.85546875" bestFit="1" customWidth="1"/>
    <col min="177" max="177" width="15.5703125" bestFit="1" customWidth="1"/>
    <col min="178" max="178" width="15.85546875" customWidth="1"/>
    <col min="179" max="179" width="23.5703125" customWidth="1"/>
    <col min="180" max="180" width="15.5703125" customWidth="1"/>
    <col min="181" max="181" width="15.85546875" customWidth="1"/>
    <col min="182" max="182" width="27.7109375" bestFit="1" customWidth="1"/>
    <col min="183" max="183" width="15.5703125" bestFit="1" customWidth="1"/>
    <col min="184" max="184" width="15.85546875" bestFit="1" customWidth="1"/>
    <col min="185" max="185" width="21.85546875" bestFit="1" customWidth="1"/>
    <col min="186" max="186" width="15.5703125" bestFit="1" customWidth="1"/>
    <col min="187" max="187" width="15.85546875" bestFit="1" customWidth="1"/>
    <col min="188" max="188" width="21.85546875" bestFit="1" customWidth="1"/>
    <col min="189" max="189" width="15.5703125" bestFit="1" customWidth="1"/>
    <col min="190" max="190" width="15.85546875" bestFit="1" customWidth="1"/>
    <col min="191" max="191" width="27.85546875" bestFit="1" customWidth="1"/>
    <col min="192" max="192" width="15.5703125" bestFit="1" customWidth="1"/>
    <col min="193" max="193" width="15.85546875" bestFit="1" customWidth="1"/>
    <col min="194" max="194" width="37" bestFit="1" customWidth="1"/>
    <col min="195" max="195" width="15.5703125" bestFit="1" customWidth="1"/>
    <col min="196" max="196" width="15.85546875" bestFit="1" customWidth="1"/>
    <col min="197" max="197" width="19.42578125" bestFit="1" customWidth="1"/>
    <col min="198" max="198" width="15.5703125" bestFit="1" customWidth="1"/>
    <col min="199" max="199" width="15.85546875" bestFit="1" customWidth="1"/>
    <col min="200" max="200" width="26.28515625" customWidth="1"/>
    <col min="201" max="201" width="15.5703125" bestFit="1" customWidth="1"/>
    <col min="202" max="202" width="15.85546875" bestFit="1" customWidth="1"/>
    <col min="203" max="203" width="35.140625" bestFit="1" customWidth="1"/>
    <col min="204" max="204" width="15.5703125" bestFit="1" customWidth="1"/>
    <col min="205" max="205" width="15.85546875" bestFit="1" customWidth="1"/>
    <col min="206" max="206" width="22" customWidth="1"/>
    <col min="207" max="207" width="15.5703125" bestFit="1" customWidth="1"/>
    <col min="208" max="208" width="15.85546875" bestFit="1" customWidth="1"/>
    <col min="209" max="209" width="19.42578125" customWidth="1"/>
    <col min="210" max="210" width="15.5703125" bestFit="1" customWidth="1"/>
    <col min="211" max="211" width="15.85546875" bestFit="1" customWidth="1"/>
    <col min="212" max="212" width="19.42578125" bestFit="1" customWidth="1"/>
    <col min="213" max="213" width="15.5703125" bestFit="1" customWidth="1"/>
    <col min="214" max="214" width="15.85546875" bestFit="1" customWidth="1"/>
    <col min="215" max="215" width="19.42578125" bestFit="1" customWidth="1"/>
    <col min="216" max="216" width="15.5703125" bestFit="1" customWidth="1"/>
    <col min="217" max="217" width="15.85546875" bestFit="1" customWidth="1"/>
    <col min="218" max="218" width="27.28515625" bestFit="1" customWidth="1"/>
    <col min="219" max="219" width="15.5703125" bestFit="1" customWidth="1"/>
    <col min="220" max="220" width="15.85546875" bestFit="1" customWidth="1"/>
    <col min="221" max="221" width="22" customWidth="1"/>
    <col min="222" max="222" width="15.5703125" bestFit="1" customWidth="1"/>
    <col min="223" max="223" width="15.85546875" bestFit="1" customWidth="1"/>
    <col min="224" max="224" width="29.85546875" bestFit="1" customWidth="1"/>
    <col min="225" max="225" width="15.5703125" bestFit="1" customWidth="1"/>
    <col min="226" max="226" width="15.85546875" bestFit="1" customWidth="1"/>
    <col min="227" max="227" width="19.42578125" customWidth="1"/>
    <col min="228" max="228" width="15.5703125" bestFit="1" customWidth="1"/>
    <col min="229" max="229" width="15.85546875" bestFit="1" customWidth="1"/>
    <col min="230" max="230" width="36.42578125" bestFit="1" customWidth="1"/>
    <col min="231" max="231" width="15.5703125" bestFit="1" customWidth="1"/>
    <col min="232" max="232" width="15.85546875" bestFit="1" customWidth="1"/>
    <col min="233" max="233" width="19.7109375" customWidth="1"/>
    <col min="234" max="234" width="15.5703125" bestFit="1" customWidth="1"/>
    <col min="235" max="235" width="15.85546875" bestFit="1" customWidth="1"/>
    <col min="236" max="236" width="23.42578125" bestFit="1" customWidth="1"/>
    <col min="237" max="237" width="15.5703125" bestFit="1" customWidth="1"/>
    <col min="238" max="238" width="15.85546875" bestFit="1" customWidth="1"/>
    <col min="239" max="239" width="31.42578125" bestFit="1" customWidth="1"/>
    <col min="240" max="240" width="15.5703125" bestFit="1" customWidth="1"/>
    <col min="241" max="241" width="15.85546875" bestFit="1" customWidth="1"/>
    <col min="242" max="242" width="25" customWidth="1"/>
    <col min="243" max="243" width="15.5703125" bestFit="1" customWidth="1"/>
    <col min="244" max="244" width="15.85546875" bestFit="1" customWidth="1"/>
    <col min="245" max="245" width="19.42578125" customWidth="1"/>
    <col min="246" max="246" width="15.5703125" bestFit="1" customWidth="1"/>
    <col min="247" max="247" width="15.85546875" bestFit="1" customWidth="1"/>
    <col min="248" max="248" width="19.42578125" customWidth="1"/>
    <col min="249" max="249" width="15.5703125" bestFit="1" customWidth="1"/>
    <col min="250" max="250" width="15.85546875" bestFit="1" customWidth="1"/>
    <col min="251" max="251" width="21.140625" customWidth="1"/>
    <col min="252" max="252" width="15.5703125" bestFit="1" customWidth="1"/>
    <col min="253" max="253" width="15.85546875" bestFit="1" customWidth="1"/>
    <col min="254" max="254" width="19.42578125" customWidth="1"/>
    <col min="255" max="255" width="15.5703125" bestFit="1" customWidth="1"/>
    <col min="256" max="256" width="15.85546875" bestFit="1" customWidth="1"/>
    <col min="257" max="257" width="40.85546875" customWidth="1"/>
    <col min="258" max="258" width="15.5703125" bestFit="1" customWidth="1"/>
    <col min="259" max="259" width="15.85546875" bestFit="1" customWidth="1"/>
    <col min="260" max="260" width="33.140625" customWidth="1"/>
    <col min="261" max="261" width="15.5703125" bestFit="1" customWidth="1"/>
    <col min="262" max="262" width="15.85546875" bestFit="1" customWidth="1"/>
    <col min="263" max="263" width="43" customWidth="1"/>
    <col min="264" max="264" width="15.5703125" bestFit="1" customWidth="1"/>
    <col min="265" max="265" width="15.85546875" bestFit="1" customWidth="1"/>
    <col min="266" max="266" width="30.5703125" customWidth="1"/>
    <col min="267" max="267" width="15.5703125" bestFit="1" customWidth="1"/>
    <col min="268" max="268" width="15.85546875" bestFit="1" customWidth="1"/>
    <col min="269" max="269" width="36.85546875" customWidth="1"/>
    <col min="270" max="270" width="15.5703125" bestFit="1" customWidth="1"/>
    <col min="271" max="271" width="15.85546875" bestFit="1" customWidth="1"/>
    <col min="272" max="272" width="33.28515625" customWidth="1"/>
    <col min="273" max="273" width="15.5703125" bestFit="1" customWidth="1"/>
    <col min="274" max="274" width="15.85546875" bestFit="1" customWidth="1"/>
    <col min="275" max="275" width="26.7109375" customWidth="1"/>
    <col min="276" max="276" width="15.5703125" bestFit="1" customWidth="1"/>
    <col min="277" max="277" width="15.85546875" bestFit="1" customWidth="1"/>
    <col min="278" max="278" width="19.42578125" customWidth="1"/>
    <col min="279" max="279" width="15.5703125" bestFit="1" customWidth="1"/>
    <col min="280" max="280" width="15.85546875" bestFit="1" customWidth="1"/>
    <col min="281" max="281" width="20.28515625" customWidth="1"/>
    <col min="282" max="282" width="15.5703125" bestFit="1" customWidth="1"/>
    <col min="283" max="283" width="15.85546875" bestFit="1" customWidth="1"/>
    <col min="284" max="284" width="19.42578125" customWidth="1"/>
    <col min="285" max="285" width="15.5703125" bestFit="1" customWidth="1"/>
    <col min="286" max="286" width="15.85546875" bestFit="1" customWidth="1"/>
    <col min="287" max="287" width="24.5703125" customWidth="1"/>
    <col min="288" max="288" width="15.5703125" bestFit="1" customWidth="1"/>
    <col min="289" max="289" width="15.85546875" bestFit="1" customWidth="1"/>
    <col min="290" max="290" width="22.140625" customWidth="1"/>
    <col min="291" max="291" width="15.5703125" bestFit="1" customWidth="1"/>
    <col min="292" max="292" width="15.85546875" bestFit="1" customWidth="1"/>
    <col min="293" max="293" width="19.42578125" customWidth="1"/>
    <col min="294" max="294" width="15.5703125" bestFit="1" customWidth="1"/>
    <col min="295" max="295" width="15.85546875" bestFit="1" customWidth="1"/>
    <col min="296" max="296" width="19.42578125" customWidth="1"/>
    <col min="297" max="297" width="15.5703125" bestFit="1" customWidth="1"/>
    <col min="298" max="298" width="15.85546875" bestFit="1" customWidth="1"/>
    <col min="299" max="299" width="32.85546875" bestFit="1" customWidth="1"/>
    <col min="300" max="300" width="15.5703125" bestFit="1" customWidth="1"/>
    <col min="301" max="301" width="15.85546875" bestFit="1" customWidth="1"/>
    <col min="302" max="302" width="40.28515625" customWidth="1"/>
    <col min="303" max="303" width="15.5703125" bestFit="1" customWidth="1"/>
    <col min="304" max="304" width="15.85546875" bestFit="1" customWidth="1"/>
    <col min="305" max="305" width="30.85546875" customWidth="1"/>
    <col min="306" max="306" width="15.5703125" bestFit="1" customWidth="1"/>
    <col min="307" max="307" width="15.85546875" bestFit="1" customWidth="1"/>
    <col min="308" max="308" width="19.42578125" customWidth="1"/>
    <col min="309" max="309" width="15.5703125" bestFit="1" customWidth="1"/>
    <col min="310" max="310" width="15.85546875" bestFit="1" customWidth="1"/>
    <col min="311" max="311" width="19.42578125" customWidth="1"/>
    <col min="312" max="312" width="15.5703125" bestFit="1" customWidth="1"/>
    <col min="313" max="313" width="15.85546875" bestFit="1" customWidth="1"/>
    <col min="314" max="314" width="20.28515625" bestFit="1" customWidth="1"/>
    <col min="315" max="315" width="15.5703125" bestFit="1" customWidth="1"/>
    <col min="316" max="316" width="15.85546875" bestFit="1" customWidth="1"/>
    <col min="317" max="317" width="21.85546875" customWidth="1"/>
    <col min="318" max="318" width="15.5703125" bestFit="1" customWidth="1"/>
    <col min="319" max="319" width="15.85546875" bestFit="1" customWidth="1"/>
    <col min="320" max="320" width="39.7109375" bestFit="1" customWidth="1"/>
    <col min="321" max="321" width="15.5703125" bestFit="1" customWidth="1"/>
    <col min="322" max="322" width="15.85546875" bestFit="1" customWidth="1"/>
    <col min="323" max="323" width="34.5703125" customWidth="1"/>
    <col min="324" max="324" width="15.5703125" bestFit="1" customWidth="1"/>
    <col min="325" max="325" width="15.85546875" bestFit="1" customWidth="1"/>
    <col min="326" max="326" width="19.42578125" customWidth="1"/>
    <col min="327" max="327" width="15.5703125" bestFit="1" customWidth="1"/>
    <col min="328" max="328" width="15.85546875" bestFit="1" customWidth="1"/>
    <col min="329" max="329" width="37.5703125" customWidth="1"/>
    <col min="330" max="330" width="15.5703125" bestFit="1" customWidth="1"/>
    <col min="331" max="331" width="15.85546875" bestFit="1" customWidth="1"/>
    <col min="332" max="332" width="20.5703125" customWidth="1"/>
    <col min="333" max="333" width="15.5703125" bestFit="1" customWidth="1"/>
    <col min="334" max="334" width="15.85546875" bestFit="1" customWidth="1"/>
    <col min="335" max="335" width="19.42578125" customWidth="1"/>
    <col min="336" max="336" width="15.5703125" bestFit="1" customWidth="1"/>
    <col min="337" max="337" width="15.85546875" bestFit="1" customWidth="1"/>
    <col min="338" max="338" width="19.42578125" customWidth="1"/>
    <col min="339" max="339" width="15.5703125" bestFit="1" customWidth="1"/>
    <col min="340" max="340" width="15.85546875" bestFit="1" customWidth="1"/>
    <col min="341" max="341" width="20.28515625" customWidth="1"/>
    <col min="342" max="342" width="15.5703125" bestFit="1" customWidth="1"/>
    <col min="343" max="343" width="15.85546875" bestFit="1" customWidth="1"/>
    <col min="344" max="344" width="19.42578125" customWidth="1"/>
    <col min="345" max="345" width="15.5703125" bestFit="1" customWidth="1"/>
    <col min="346" max="346" width="15.85546875" bestFit="1" customWidth="1"/>
    <col min="347" max="347" width="19.42578125" customWidth="1"/>
    <col min="348" max="348" width="15.5703125" bestFit="1" customWidth="1"/>
    <col min="349" max="349" width="15.85546875" bestFit="1" customWidth="1"/>
    <col min="350" max="350" width="34.140625" customWidth="1"/>
    <col min="351" max="351" width="15.5703125" bestFit="1" customWidth="1"/>
    <col min="352" max="352" width="15.85546875" bestFit="1" customWidth="1"/>
    <col min="353" max="353" width="19.42578125" customWidth="1"/>
    <col min="354" max="354" width="15.5703125" bestFit="1" customWidth="1"/>
    <col min="355" max="355" width="15.85546875" bestFit="1" customWidth="1"/>
    <col min="356" max="356" width="24.140625" customWidth="1"/>
    <col min="357" max="357" width="15.5703125" bestFit="1" customWidth="1"/>
    <col min="358" max="358" width="15.85546875" bestFit="1" customWidth="1"/>
    <col min="359" max="359" width="23.140625" customWidth="1"/>
    <col min="360" max="360" width="15.5703125" bestFit="1" customWidth="1"/>
    <col min="361" max="361" width="15.85546875" bestFit="1" customWidth="1"/>
    <col min="362" max="362" width="28.42578125" customWidth="1"/>
    <col min="363" max="363" width="15.5703125" bestFit="1" customWidth="1"/>
    <col min="364" max="364" width="15.85546875" bestFit="1" customWidth="1"/>
    <col min="365" max="365" width="22.5703125" customWidth="1"/>
    <col min="366" max="366" width="15.5703125" bestFit="1" customWidth="1"/>
    <col min="367" max="367" width="15.85546875" bestFit="1" customWidth="1"/>
    <col min="368" max="368" width="20.5703125" customWidth="1"/>
    <col min="369" max="369" width="15.5703125" bestFit="1" customWidth="1"/>
    <col min="370" max="370" width="15.85546875" bestFit="1" customWidth="1"/>
    <col min="371" max="371" width="21.42578125" customWidth="1"/>
    <col min="372" max="372" width="15.5703125" bestFit="1" customWidth="1"/>
    <col min="373" max="373" width="15.85546875" bestFit="1" customWidth="1"/>
    <col min="374" max="374" width="22.28515625" customWidth="1"/>
    <col min="375" max="375" width="15.5703125" bestFit="1" customWidth="1"/>
    <col min="376" max="376" width="15.85546875" bestFit="1" customWidth="1"/>
    <col min="377" max="377" width="34.28515625" customWidth="1"/>
    <col min="378" max="378" width="15.5703125" bestFit="1" customWidth="1"/>
    <col min="379" max="379" width="15.85546875" bestFit="1" customWidth="1"/>
    <col min="380" max="380" width="21.140625" customWidth="1"/>
    <col min="381" max="381" width="15.5703125" bestFit="1" customWidth="1"/>
    <col min="382" max="382" width="15.85546875" bestFit="1" customWidth="1"/>
    <col min="383" max="383" width="33.5703125" customWidth="1"/>
    <col min="384" max="384" width="15.5703125" bestFit="1" customWidth="1"/>
    <col min="385" max="385" width="15.85546875" bestFit="1" customWidth="1"/>
    <col min="386" max="386" width="49.85546875" customWidth="1"/>
    <col min="387" max="387" width="15.5703125" bestFit="1" customWidth="1"/>
    <col min="388" max="388" width="15.85546875" bestFit="1" customWidth="1"/>
    <col min="389" max="389" width="32.140625" customWidth="1"/>
    <col min="390" max="390" width="15.5703125" bestFit="1" customWidth="1"/>
    <col min="391" max="391" width="15.85546875" bestFit="1" customWidth="1"/>
    <col min="392" max="392" width="29.85546875" customWidth="1"/>
    <col min="393" max="393" width="15.5703125" bestFit="1" customWidth="1"/>
    <col min="394" max="394" width="15.85546875" bestFit="1" customWidth="1"/>
    <col min="395" max="395" width="21.7109375" customWidth="1"/>
    <col min="396" max="396" width="15.5703125" bestFit="1" customWidth="1"/>
    <col min="397" max="397" width="15.85546875" bestFit="1" customWidth="1"/>
    <col min="398" max="398" width="19.42578125" customWidth="1"/>
    <col min="399" max="399" width="15.5703125" bestFit="1" customWidth="1"/>
    <col min="400" max="400" width="15.85546875" bestFit="1" customWidth="1"/>
    <col min="401" max="401" width="24" customWidth="1"/>
    <col min="402" max="402" width="15.5703125" bestFit="1" customWidth="1"/>
    <col min="403" max="403" width="15.85546875" bestFit="1" customWidth="1"/>
    <col min="404" max="404" width="33.42578125" customWidth="1"/>
    <col min="405" max="405" width="15.5703125" bestFit="1" customWidth="1"/>
    <col min="406" max="406" width="15.85546875" bestFit="1" customWidth="1"/>
    <col min="407" max="407" width="26" customWidth="1"/>
    <col min="408" max="408" width="15.5703125" bestFit="1" customWidth="1"/>
    <col min="409" max="409" width="15.85546875" bestFit="1" customWidth="1"/>
    <col min="410" max="410" width="20.7109375" customWidth="1"/>
    <col min="411" max="411" width="15.5703125" bestFit="1" customWidth="1"/>
    <col min="412" max="412" width="15.85546875" bestFit="1" customWidth="1"/>
    <col min="413" max="413" width="30.85546875" customWidth="1"/>
    <col min="414" max="414" width="15.5703125" bestFit="1" customWidth="1"/>
    <col min="415" max="415" width="15.85546875" bestFit="1" customWidth="1"/>
    <col min="416" max="416" width="27.5703125" customWidth="1"/>
    <col min="417" max="417" width="15.5703125" bestFit="1" customWidth="1"/>
    <col min="418" max="418" width="15.85546875" bestFit="1" customWidth="1"/>
    <col min="419" max="419" width="24" customWidth="1"/>
    <col min="420" max="420" width="15.5703125" bestFit="1" customWidth="1"/>
    <col min="421" max="421" width="15.85546875" bestFit="1" customWidth="1"/>
    <col min="422" max="422" width="30.42578125" customWidth="1"/>
    <col min="423" max="423" width="15.5703125" bestFit="1" customWidth="1"/>
    <col min="424" max="424" width="15.85546875" bestFit="1" customWidth="1"/>
    <col min="425" max="425" width="25.7109375" customWidth="1"/>
    <col min="426" max="426" width="15.5703125" bestFit="1" customWidth="1"/>
    <col min="427" max="427" width="15.85546875" bestFit="1" customWidth="1"/>
    <col min="428" max="428" width="26.140625" customWidth="1"/>
    <col min="429" max="429" width="15.5703125" bestFit="1" customWidth="1"/>
    <col min="430" max="430" width="15.85546875" bestFit="1" customWidth="1"/>
    <col min="431" max="431" width="24.5703125" customWidth="1"/>
    <col min="432" max="432" width="15.5703125" bestFit="1" customWidth="1"/>
    <col min="433" max="433" width="15.85546875" bestFit="1" customWidth="1"/>
    <col min="434" max="434" width="22" customWidth="1"/>
    <col min="435" max="435" width="15.5703125" bestFit="1" customWidth="1"/>
    <col min="436" max="436" width="15.85546875" bestFit="1" customWidth="1"/>
    <col min="437" max="437" width="34.7109375" customWidth="1"/>
    <col min="438" max="438" width="15.5703125" bestFit="1" customWidth="1"/>
    <col min="439" max="439" width="15.85546875" bestFit="1" customWidth="1"/>
    <col min="440" max="440" width="36.7109375" customWidth="1"/>
    <col min="441" max="441" width="15.5703125" bestFit="1" customWidth="1"/>
    <col min="442" max="442" width="15.85546875" bestFit="1" customWidth="1"/>
    <col min="443" max="443" width="22.28515625" customWidth="1"/>
    <col min="444" max="444" width="15.5703125" bestFit="1" customWidth="1"/>
    <col min="445" max="445" width="15.85546875" bestFit="1" customWidth="1"/>
    <col min="446" max="446" width="19.42578125" customWidth="1"/>
    <col min="447" max="447" width="15.5703125" bestFit="1" customWidth="1"/>
    <col min="448" max="448" width="15.85546875" bestFit="1" customWidth="1"/>
    <col min="449" max="449" width="24.42578125" customWidth="1"/>
    <col min="450" max="450" width="20.5703125" bestFit="1" customWidth="1"/>
    <col min="451" max="451" width="20.85546875" bestFit="1" customWidth="1"/>
    <col min="452" max="452" width="24.42578125" customWidth="1"/>
    <col min="453" max="453" width="20.5703125" bestFit="1" customWidth="1"/>
    <col min="454" max="454" width="20.85546875" bestFit="1" customWidth="1"/>
    <col min="455" max="455" width="22.28515625" customWidth="1"/>
    <col min="456" max="456" width="15.5703125" bestFit="1" customWidth="1"/>
    <col min="457" max="457" width="15.85546875" bestFit="1" customWidth="1"/>
    <col min="458" max="458" width="19.42578125" customWidth="1"/>
    <col min="459" max="459" width="15.5703125" bestFit="1" customWidth="1"/>
    <col min="460" max="460" width="15.85546875" bestFit="1" customWidth="1"/>
    <col min="461" max="461" width="24.42578125" customWidth="1"/>
    <col min="462" max="462" width="20.5703125" bestFit="1" customWidth="1"/>
    <col min="463" max="463" width="20.85546875" bestFit="1" customWidth="1"/>
    <col min="464" max="464" width="24.42578125" customWidth="1"/>
    <col min="465" max="465" width="20.5703125" bestFit="1" customWidth="1"/>
    <col min="466" max="466" width="20.85546875" bestFit="1" customWidth="1"/>
    <col min="467" max="467" width="24.42578125" customWidth="1"/>
    <col min="468" max="468" width="20.5703125" bestFit="1" customWidth="1"/>
    <col min="469" max="469" width="20.85546875" bestFit="1" customWidth="1"/>
    <col min="470" max="470" width="25.7109375" bestFit="1" customWidth="1"/>
    <col min="471" max="471" width="15.5703125" bestFit="1" customWidth="1"/>
    <col min="472" max="472" width="15.85546875" bestFit="1" customWidth="1"/>
    <col min="473" max="473" width="26.140625" bestFit="1" customWidth="1"/>
    <col min="474" max="474" width="15.5703125" bestFit="1" customWidth="1"/>
    <col min="475" max="475" width="15.85546875" bestFit="1" customWidth="1"/>
    <col min="476" max="476" width="24.5703125" bestFit="1" customWidth="1"/>
    <col min="477" max="477" width="15.5703125" bestFit="1" customWidth="1"/>
    <col min="478" max="478" width="15.85546875" bestFit="1" customWidth="1"/>
    <col min="479" max="479" width="22" bestFit="1" customWidth="1"/>
    <col min="480" max="480" width="15.5703125" bestFit="1" customWidth="1"/>
    <col min="481" max="481" width="15.85546875" bestFit="1" customWidth="1"/>
    <col min="482" max="482" width="34.7109375" bestFit="1" customWidth="1"/>
    <col min="483" max="483" width="15.5703125" bestFit="1" customWidth="1"/>
    <col min="484" max="484" width="15.85546875" bestFit="1" customWidth="1"/>
    <col min="485" max="485" width="36.7109375" bestFit="1" customWidth="1"/>
    <col min="486" max="486" width="15.5703125" bestFit="1" customWidth="1"/>
    <col min="487" max="487" width="15.85546875" bestFit="1" customWidth="1"/>
    <col min="488" max="488" width="22.28515625" bestFit="1" customWidth="1"/>
    <col min="489" max="489" width="15.5703125" bestFit="1" customWidth="1"/>
    <col min="490" max="490" width="15.85546875" bestFit="1" customWidth="1"/>
    <col min="491" max="491" width="24.42578125" bestFit="1" customWidth="1"/>
    <col min="492" max="492" width="20.5703125" bestFit="1" customWidth="1"/>
    <col min="493" max="493" width="20.85546875" bestFit="1" customWidth="1"/>
  </cols>
  <sheetData>
    <row r="3" spans="1:451" x14ac:dyDescent="0.25">
      <c r="B3" s="362" t="s">
        <v>2020</v>
      </c>
    </row>
    <row r="4" spans="1:451" x14ac:dyDescent="0.25">
      <c r="B4" t="s">
        <v>1268</v>
      </c>
      <c r="E4" t="s">
        <v>1655</v>
      </c>
      <c r="H4" t="s">
        <v>1347</v>
      </c>
      <c r="K4" t="s">
        <v>1631</v>
      </c>
      <c r="N4" t="s">
        <v>1802</v>
      </c>
      <c r="Q4" t="s">
        <v>1515</v>
      </c>
      <c r="T4" t="s">
        <v>1658</v>
      </c>
      <c r="W4" t="s">
        <v>1737</v>
      </c>
      <c r="Z4" t="s">
        <v>1699</v>
      </c>
      <c r="AC4" t="s">
        <v>1313</v>
      </c>
      <c r="AF4" t="s">
        <v>1509</v>
      </c>
      <c r="AI4" t="s">
        <v>1349</v>
      </c>
      <c r="AL4" t="s">
        <v>1663</v>
      </c>
      <c r="AO4" t="s">
        <v>1273</v>
      </c>
      <c r="AR4" t="s">
        <v>1666</v>
      </c>
      <c r="AU4" t="s">
        <v>1414</v>
      </c>
      <c r="AX4" t="s">
        <v>1355</v>
      </c>
      <c r="BA4" t="s">
        <v>1418</v>
      </c>
      <c r="BD4" t="s">
        <v>1445</v>
      </c>
      <c r="BG4" t="s">
        <v>1291</v>
      </c>
      <c r="BJ4" t="s">
        <v>1675</v>
      </c>
      <c r="BM4" t="s">
        <v>1360</v>
      </c>
      <c r="BP4" t="s">
        <v>1293</v>
      </c>
      <c r="BS4" t="s">
        <v>1028</v>
      </c>
      <c r="BV4" t="s">
        <v>1295</v>
      </c>
      <c r="BY4" t="s">
        <v>1555</v>
      </c>
      <c r="CB4" t="s">
        <v>1367</v>
      </c>
      <c r="CE4" t="s">
        <v>1678</v>
      </c>
      <c r="CH4" t="s">
        <v>1369</v>
      </c>
      <c r="CK4" t="s">
        <v>1643</v>
      </c>
      <c r="CN4" t="s">
        <v>1729</v>
      </c>
      <c r="CQ4" t="s">
        <v>1490</v>
      </c>
      <c r="CT4" t="s">
        <v>1287</v>
      </c>
      <c r="CW4" t="s">
        <v>1375</v>
      </c>
      <c r="CZ4" t="s">
        <v>1378</v>
      </c>
      <c r="DC4" t="s">
        <v>1747</v>
      </c>
      <c r="DF4" t="s">
        <v>1835</v>
      </c>
      <c r="DI4" t="s">
        <v>1565</v>
      </c>
      <c r="DL4" t="s">
        <v>1750</v>
      </c>
      <c r="DO4" t="s">
        <v>1303</v>
      </c>
      <c r="DR4" t="s">
        <v>1305</v>
      </c>
      <c r="DU4" t="s">
        <v>1310</v>
      </c>
      <c r="DX4" t="s">
        <v>1506</v>
      </c>
      <c r="EA4" t="s">
        <v>1340</v>
      </c>
      <c r="ED4" t="s">
        <v>1568</v>
      </c>
      <c r="EG4" t="s">
        <v>1398</v>
      </c>
      <c r="EJ4" t="s">
        <v>1388</v>
      </c>
      <c r="EM4" t="s">
        <v>1315</v>
      </c>
      <c r="EP4" t="s">
        <v>1463</v>
      </c>
      <c r="ES4" t="s">
        <v>1425</v>
      </c>
      <c r="EV4" t="s">
        <v>1572</v>
      </c>
      <c r="EY4" t="s">
        <v>1686</v>
      </c>
      <c r="FB4" t="s">
        <v>1574</v>
      </c>
      <c r="FE4" t="s">
        <v>1392</v>
      </c>
      <c r="FH4" t="s">
        <v>1394</v>
      </c>
      <c r="FK4" t="s">
        <v>1325</v>
      </c>
      <c r="FN4" t="s">
        <v>1400</v>
      </c>
      <c r="FQ4" t="s">
        <v>1329</v>
      </c>
      <c r="FT4" t="s">
        <v>1276</v>
      </c>
      <c r="FW4" t="s">
        <v>1278</v>
      </c>
      <c r="FZ4" t="s">
        <v>1280</v>
      </c>
      <c r="GC4" t="s">
        <v>1282</v>
      </c>
      <c r="GF4" t="s">
        <v>1288</v>
      </c>
      <c r="GI4" t="s">
        <v>1297</v>
      </c>
      <c r="GL4" t="s">
        <v>1300</v>
      </c>
      <c r="GO4" t="s">
        <v>1314</v>
      </c>
      <c r="GR4" t="s">
        <v>1318</v>
      </c>
      <c r="GU4" t="s">
        <v>1319</v>
      </c>
      <c r="GX4" t="s">
        <v>1322</v>
      </c>
      <c r="HA4" t="s">
        <v>1323</v>
      </c>
      <c r="HD4" t="s">
        <v>1331</v>
      </c>
      <c r="HG4" t="s">
        <v>1341</v>
      </c>
      <c r="HJ4" t="s">
        <v>1342</v>
      </c>
      <c r="HM4" t="s">
        <v>1352</v>
      </c>
      <c r="HP4" t="s">
        <v>1354</v>
      </c>
      <c r="HS4" t="s">
        <v>1357</v>
      </c>
      <c r="HV4" t="s">
        <v>1362</v>
      </c>
      <c r="HY4" t="s">
        <v>1371</v>
      </c>
      <c r="IB4" t="s">
        <v>1381</v>
      </c>
      <c r="IE4" t="s">
        <v>1384</v>
      </c>
      <c r="IH4" t="s">
        <v>1391</v>
      </c>
      <c r="IK4" t="s">
        <v>1429</v>
      </c>
      <c r="IN4" t="s">
        <v>1431</v>
      </c>
      <c r="IQ4" t="s">
        <v>1432</v>
      </c>
      <c r="IT4" t="s">
        <v>1433</v>
      </c>
      <c r="IW4" t="s">
        <v>1437</v>
      </c>
      <c r="IZ4" t="s">
        <v>1440</v>
      </c>
      <c r="JC4" t="s">
        <v>1447</v>
      </c>
      <c r="JF4" t="s">
        <v>1457</v>
      </c>
      <c r="JI4" t="s">
        <v>1458</v>
      </c>
      <c r="JL4" t="s">
        <v>1460</v>
      </c>
      <c r="JO4" t="s">
        <v>1464</v>
      </c>
      <c r="JR4" t="s">
        <v>1467</v>
      </c>
      <c r="JU4" t="s">
        <v>1468</v>
      </c>
      <c r="JX4" t="s">
        <v>1476</v>
      </c>
      <c r="KA4" t="s">
        <v>1478</v>
      </c>
      <c r="KD4" t="s">
        <v>1480</v>
      </c>
      <c r="KG4" t="s">
        <v>1482</v>
      </c>
      <c r="KJ4" t="s">
        <v>1484</v>
      </c>
      <c r="KM4" t="s">
        <v>1485</v>
      </c>
      <c r="KP4" t="s">
        <v>1495</v>
      </c>
      <c r="KS4" t="s">
        <v>1533</v>
      </c>
      <c r="KV4" t="s">
        <v>1535</v>
      </c>
      <c r="KY4" t="s">
        <v>1536</v>
      </c>
      <c r="LB4" t="s">
        <v>1543</v>
      </c>
      <c r="LE4" t="s">
        <v>1584</v>
      </c>
      <c r="LH4" t="s">
        <v>1586</v>
      </c>
      <c r="LK4" t="s">
        <v>1593</v>
      </c>
      <c r="LN4" t="s">
        <v>1596</v>
      </c>
      <c r="LQ4" t="s">
        <v>1603</v>
      </c>
      <c r="LT4" t="s">
        <v>1605</v>
      </c>
      <c r="LW4" t="s">
        <v>1606</v>
      </c>
      <c r="LZ4" t="s">
        <v>1611</v>
      </c>
      <c r="MC4" t="s">
        <v>1616</v>
      </c>
      <c r="MF4" t="s">
        <v>1633</v>
      </c>
      <c r="MI4" t="s">
        <v>1670</v>
      </c>
      <c r="ML4" t="s">
        <v>1702</v>
      </c>
      <c r="MO4" t="s">
        <v>1715</v>
      </c>
      <c r="MR4" t="s">
        <v>1719</v>
      </c>
      <c r="MU4" t="s">
        <v>1740</v>
      </c>
      <c r="MX4" t="s">
        <v>1776</v>
      </c>
      <c r="NA4" t="s">
        <v>1777</v>
      </c>
      <c r="ND4" t="s">
        <v>1778</v>
      </c>
      <c r="NG4" t="s">
        <v>1786</v>
      </c>
      <c r="NJ4" t="s">
        <v>1789</v>
      </c>
      <c r="NM4" t="s">
        <v>1793</v>
      </c>
      <c r="NP4" t="s">
        <v>1803</v>
      </c>
      <c r="NS4" t="s">
        <v>1823</v>
      </c>
      <c r="NV4" t="s">
        <v>1826</v>
      </c>
      <c r="NY4" t="s">
        <v>1848</v>
      </c>
      <c r="OB4" t="s">
        <v>1850</v>
      </c>
      <c r="OE4" t="s">
        <v>1851</v>
      </c>
      <c r="OH4" t="s">
        <v>1852</v>
      </c>
      <c r="OK4" t="s">
        <v>1853</v>
      </c>
      <c r="ON4" t="s">
        <v>1859</v>
      </c>
      <c r="OQ4" t="s">
        <v>1874</v>
      </c>
      <c r="OT4" t="s">
        <v>1911</v>
      </c>
      <c r="OW4" t="s">
        <v>1931</v>
      </c>
      <c r="OZ4" t="s">
        <v>1934</v>
      </c>
      <c r="PC4" t="s">
        <v>1936</v>
      </c>
      <c r="PF4" t="s">
        <v>1937</v>
      </c>
      <c r="PI4" t="s">
        <v>1941</v>
      </c>
      <c r="PL4" t="s">
        <v>1942</v>
      </c>
      <c r="PO4" t="s">
        <v>1943</v>
      </c>
      <c r="PR4" t="s">
        <v>1948</v>
      </c>
      <c r="PU4" t="s">
        <v>1974</v>
      </c>
      <c r="PX4" t="s">
        <v>1975</v>
      </c>
      <c r="QA4" t="s">
        <v>2011</v>
      </c>
      <c r="QD4" t="s">
        <v>2035</v>
      </c>
      <c r="QG4" t="s">
        <v>2021</v>
      </c>
      <c r="QH4" t="s">
        <v>2022</v>
      </c>
      <c r="QI4" t="s">
        <v>2024</v>
      </c>
    </row>
    <row r="5" spans="1:451" x14ac:dyDescent="0.25">
      <c r="A5" s="362" t="s">
        <v>2017</v>
      </c>
      <c r="B5" t="s">
        <v>2019</v>
      </c>
      <c r="C5" t="s">
        <v>2023</v>
      </c>
      <c r="D5" t="s">
        <v>2025</v>
      </c>
      <c r="E5" t="s">
        <v>2019</v>
      </c>
      <c r="F5" t="s">
        <v>2023</v>
      </c>
      <c r="G5" t="s">
        <v>2025</v>
      </c>
      <c r="H5" t="s">
        <v>2019</v>
      </c>
      <c r="I5" t="s">
        <v>2023</v>
      </c>
      <c r="J5" t="s">
        <v>2025</v>
      </c>
      <c r="K5" t="s">
        <v>2019</v>
      </c>
      <c r="L5" t="s">
        <v>2023</v>
      </c>
      <c r="M5" t="s">
        <v>2025</v>
      </c>
      <c r="N5" t="s">
        <v>2019</v>
      </c>
      <c r="O5" t="s">
        <v>2023</v>
      </c>
      <c r="P5" t="s">
        <v>2025</v>
      </c>
      <c r="Q5" t="s">
        <v>2019</v>
      </c>
      <c r="R5" t="s">
        <v>2023</v>
      </c>
      <c r="S5" t="s">
        <v>2025</v>
      </c>
      <c r="T5" t="s">
        <v>2019</v>
      </c>
      <c r="U5" t="s">
        <v>2023</v>
      </c>
      <c r="V5" t="s">
        <v>2025</v>
      </c>
      <c r="W5" t="s">
        <v>2019</v>
      </c>
      <c r="X5" t="s">
        <v>2023</v>
      </c>
      <c r="Y5" t="s">
        <v>2025</v>
      </c>
      <c r="Z5" t="s">
        <v>2019</v>
      </c>
      <c r="AA5" t="s">
        <v>2023</v>
      </c>
      <c r="AB5" t="s">
        <v>2025</v>
      </c>
      <c r="AC5" t="s">
        <v>2019</v>
      </c>
      <c r="AD5" t="s">
        <v>2023</v>
      </c>
      <c r="AE5" t="s">
        <v>2025</v>
      </c>
      <c r="AF5" t="s">
        <v>2019</v>
      </c>
      <c r="AG5" t="s">
        <v>2023</v>
      </c>
      <c r="AH5" t="s">
        <v>2025</v>
      </c>
      <c r="AI5" t="s">
        <v>2019</v>
      </c>
      <c r="AJ5" t="s">
        <v>2023</v>
      </c>
      <c r="AK5" t="s">
        <v>2025</v>
      </c>
      <c r="AL5" t="s">
        <v>2019</v>
      </c>
      <c r="AM5" t="s">
        <v>2023</v>
      </c>
      <c r="AN5" t="s">
        <v>2025</v>
      </c>
      <c r="AO5" t="s">
        <v>2019</v>
      </c>
      <c r="AP5" t="s">
        <v>2023</v>
      </c>
      <c r="AQ5" t="s">
        <v>2025</v>
      </c>
      <c r="AR5" t="s">
        <v>2019</v>
      </c>
      <c r="AS5" t="s">
        <v>2023</v>
      </c>
      <c r="AT5" t="s">
        <v>2025</v>
      </c>
      <c r="AU5" t="s">
        <v>2019</v>
      </c>
      <c r="AV5" t="s">
        <v>2023</v>
      </c>
      <c r="AW5" t="s">
        <v>2025</v>
      </c>
      <c r="AX5" t="s">
        <v>2019</v>
      </c>
      <c r="AY5" t="s">
        <v>2023</v>
      </c>
      <c r="AZ5" t="s">
        <v>2025</v>
      </c>
      <c r="BA5" t="s">
        <v>2019</v>
      </c>
      <c r="BB5" t="s">
        <v>2023</v>
      </c>
      <c r="BC5" t="s">
        <v>2025</v>
      </c>
      <c r="BD5" t="s">
        <v>2019</v>
      </c>
      <c r="BE5" t="s">
        <v>2023</v>
      </c>
      <c r="BF5" t="s">
        <v>2025</v>
      </c>
      <c r="BG5" t="s">
        <v>2019</v>
      </c>
      <c r="BH5" t="s">
        <v>2023</v>
      </c>
      <c r="BI5" t="s">
        <v>2025</v>
      </c>
      <c r="BJ5" t="s">
        <v>2019</v>
      </c>
      <c r="BK5" t="s">
        <v>2023</v>
      </c>
      <c r="BL5" t="s">
        <v>2025</v>
      </c>
      <c r="BM5" t="s">
        <v>2019</v>
      </c>
      <c r="BN5" t="s">
        <v>2023</v>
      </c>
      <c r="BO5" t="s">
        <v>2025</v>
      </c>
      <c r="BP5" t="s">
        <v>2019</v>
      </c>
      <c r="BQ5" t="s">
        <v>2023</v>
      </c>
      <c r="BR5" t="s">
        <v>2025</v>
      </c>
      <c r="BS5" t="s">
        <v>2019</v>
      </c>
      <c r="BT5" t="s">
        <v>2023</v>
      </c>
      <c r="BU5" t="s">
        <v>2025</v>
      </c>
      <c r="BV5" t="s">
        <v>2019</v>
      </c>
      <c r="BW5" t="s">
        <v>2023</v>
      </c>
      <c r="BX5" t="s">
        <v>2025</v>
      </c>
      <c r="BY5" t="s">
        <v>2019</v>
      </c>
      <c r="BZ5" t="s">
        <v>2023</v>
      </c>
      <c r="CA5" t="s">
        <v>2025</v>
      </c>
      <c r="CB5" t="s">
        <v>2019</v>
      </c>
      <c r="CC5" t="s">
        <v>2023</v>
      </c>
      <c r="CD5" t="s">
        <v>2025</v>
      </c>
      <c r="CE5" t="s">
        <v>2019</v>
      </c>
      <c r="CF5" t="s">
        <v>2023</v>
      </c>
      <c r="CG5" t="s">
        <v>2025</v>
      </c>
      <c r="CH5" t="s">
        <v>2019</v>
      </c>
      <c r="CI5" t="s">
        <v>2023</v>
      </c>
      <c r="CJ5" t="s">
        <v>2025</v>
      </c>
      <c r="CK5" t="s">
        <v>2019</v>
      </c>
      <c r="CL5" t="s">
        <v>2023</v>
      </c>
      <c r="CM5" t="s">
        <v>2025</v>
      </c>
      <c r="CN5" t="s">
        <v>2019</v>
      </c>
      <c r="CO5" t="s">
        <v>2023</v>
      </c>
      <c r="CP5" t="s">
        <v>2025</v>
      </c>
      <c r="CQ5" t="s">
        <v>2019</v>
      </c>
      <c r="CR5" t="s">
        <v>2023</v>
      </c>
      <c r="CS5" t="s">
        <v>2025</v>
      </c>
      <c r="CT5" t="s">
        <v>2019</v>
      </c>
      <c r="CU5" t="s">
        <v>2023</v>
      </c>
      <c r="CV5" t="s">
        <v>2025</v>
      </c>
      <c r="CW5" t="s">
        <v>2019</v>
      </c>
      <c r="CX5" t="s">
        <v>2023</v>
      </c>
      <c r="CY5" t="s">
        <v>2025</v>
      </c>
      <c r="CZ5" t="s">
        <v>2019</v>
      </c>
      <c r="DA5" t="s">
        <v>2023</v>
      </c>
      <c r="DB5" t="s">
        <v>2025</v>
      </c>
      <c r="DC5" t="s">
        <v>2019</v>
      </c>
      <c r="DD5" t="s">
        <v>2023</v>
      </c>
      <c r="DE5" t="s">
        <v>2025</v>
      </c>
      <c r="DF5" t="s">
        <v>2019</v>
      </c>
      <c r="DG5" t="s">
        <v>2023</v>
      </c>
      <c r="DH5" t="s">
        <v>2025</v>
      </c>
      <c r="DI5" t="s">
        <v>2019</v>
      </c>
      <c r="DJ5" t="s">
        <v>2023</v>
      </c>
      <c r="DK5" t="s">
        <v>2025</v>
      </c>
      <c r="DL5" t="s">
        <v>2019</v>
      </c>
      <c r="DM5" t="s">
        <v>2023</v>
      </c>
      <c r="DN5" t="s">
        <v>2025</v>
      </c>
      <c r="DO5" t="s">
        <v>2019</v>
      </c>
      <c r="DP5" t="s">
        <v>2023</v>
      </c>
      <c r="DQ5" t="s">
        <v>2025</v>
      </c>
      <c r="DR5" t="s">
        <v>2019</v>
      </c>
      <c r="DS5" t="s">
        <v>2023</v>
      </c>
      <c r="DT5" t="s">
        <v>2025</v>
      </c>
      <c r="DU5" t="s">
        <v>2019</v>
      </c>
      <c r="DV5" t="s">
        <v>2023</v>
      </c>
      <c r="DW5" t="s">
        <v>2025</v>
      </c>
      <c r="DX5" t="s">
        <v>2019</v>
      </c>
      <c r="DY5" t="s">
        <v>2023</v>
      </c>
      <c r="DZ5" t="s">
        <v>2025</v>
      </c>
      <c r="EA5" t="s">
        <v>2019</v>
      </c>
      <c r="EB5" t="s">
        <v>2023</v>
      </c>
      <c r="EC5" t="s">
        <v>2025</v>
      </c>
      <c r="ED5" t="s">
        <v>2019</v>
      </c>
      <c r="EE5" t="s">
        <v>2023</v>
      </c>
      <c r="EF5" t="s">
        <v>2025</v>
      </c>
      <c r="EG5" t="s">
        <v>2019</v>
      </c>
      <c r="EH5" t="s">
        <v>2023</v>
      </c>
      <c r="EI5" t="s">
        <v>2025</v>
      </c>
      <c r="EJ5" t="s">
        <v>2019</v>
      </c>
      <c r="EK5" t="s">
        <v>2023</v>
      </c>
      <c r="EL5" t="s">
        <v>2025</v>
      </c>
      <c r="EM5" t="s">
        <v>2019</v>
      </c>
      <c r="EN5" t="s">
        <v>2023</v>
      </c>
      <c r="EO5" t="s">
        <v>2025</v>
      </c>
      <c r="EP5" t="s">
        <v>2019</v>
      </c>
      <c r="EQ5" t="s">
        <v>2023</v>
      </c>
      <c r="ER5" t="s">
        <v>2025</v>
      </c>
      <c r="ES5" t="s">
        <v>2019</v>
      </c>
      <c r="ET5" t="s">
        <v>2023</v>
      </c>
      <c r="EU5" t="s">
        <v>2025</v>
      </c>
      <c r="EV5" t="s">
        <v>2019</v>
      </c>
      <c r="EW5" t="s">
        <v>2023</v>
      </c>
      <c r="EX5" t="s">
        <v>2025</v>
      </c>
      <c r="EY5" t="s">
        <v>2019</v>
      </c>
      <c r="EZ5" t="s">
        <v>2023</v>
      </c>
      <c r="FA5" t="s">
        <v>2025</v>
      </c>
      <c r="FB5" t="s">
        <v>2019</v>
      </c>
      <c r="FC5" t="s">
        <v>2023</v>
      </c>
      <c r="FD5" t="s">
        <v>2025</v>
      </c>
      <c r="FE5" t="s">
        <v>2019</v>
      </c>
      <c r="FF5" t="s">
        <v>2023</v>
      </c>
      <c r="FG5" t="s">
        <v>2025</v>
      </c>
      <c r="FH5" t="s">
        <v>2019</v>
      </c>
      <c r="FI5" t="s">
        <v>2023</v>
      </c>
      <c r="FJ5" t="s">
        <v>2025</v>
      </c>
      <c r="FK5" t="s">
        <v>2019</v>
      </c>
      <c r="FL5" t="s">
        <v>2023</v>
      </c>
      <c r="FM5" t="s">
        <v>2025</v>
      </c>
      <c r="FN5" t="s">
        <v>2019</v>
      </c>
      <c r="FO5" t="s">
        <v>2023</v>
      </c>
      <c r="FP5" t="s">
        <v>2025</v>
      </c>
      <c r="FQ5" t="s">
        <v>2019</v>
      </c>
      <c r="FR5" t="s">
        <v>2023</v>
      </c>
      <c r="FS5" t="s">
        <v>2025</v>
      </c>
      <c r="FT5" t="s">
        <v>2019</v>
      </c>
      <c r="FU5" t="s">
        <v>2023</v>
      </c>
      <c r="FV5" t="s">
        <v>2025</v>
      </c>
      <c r="FW5" t="s">
        <v>2019</v>
      </c>
      <c r="FX5" t="s">
        <v>2023</v>
      </c>
      <c r="FY5" t="s">
        <v>2025</v>
      </c>
      <c r="FZ5" t="s">
        <v>2019</v>
      </c>
      <c r="GA5" t="s">
        <v>2023</v>
      </c>
      <c r="GB5" t="s">
        <v>2025</v>
      </c>
      <c r="GC5" t="s">
        <v>2019</v>
      </c>
      <c r="GD5" t="s">
        <v>2023</v>
      </c>
      <c r="GE5" t="s">
        <v>2025</v>
      </c>
      <c r="GF5" t="s">
        <v>2019</v>
      </c>
      <c r="GG5" t="s">
        <v>2023</v>
      </c>
      <c r="GH5" t="s">
        <v>2025</v>
      </c>
      <c r="GI5" t="s">
        <v>2019</v>
      </c>
      <c r="GJ5" t="s">
        <v>2023</v>
      </c>
      <c r="GK5" t="s">
        <v>2025</v>
      </c>
      <c r="GL5" t="s">
        <v>2019</v>
      </c>
      <c r="GM5" t="s">
        <v>2023</v>
      </c>
      <c r="GN5" t="s">
        <v>2025</v>
      </c>
      <c r="GO5" t="s">
        <v>2019</v>
      </c>
      <c r="GP5" t="s">
        <v>2023</v>
      </c>
      <c r="GQ5" t="s">
        <v>2025</v>
      </c>
      <c r="GR5" t="s">
        <v>2019</v>
      </c>
      <c r="GS5" t="s">
        <v>2023</v>
      </c>
      <c r="GT5" t="s">
        <v>2025</v>
      </c>
      <c r="GU5" t="s">
        <v>2019</v>
      </c>
      <c r="GV5" t="s">
        <v>2023</v>
      </c>
      <c r="GW5" t="s">
        <v>2025</v>
      </c>
      <c r="GX5" t="s">
        <v>2019</v>
      </c>
      <c r="GY5" t="s">
        <v>2023</v>
      </c>
      <c r="GZ5" t="s">
        <v>2025</v>
      </c>
      <c r="HA5" t="s">
        <v>2019</v>
      </c>
      <c r="HB5" t="s">
        <v>2023</v>
      </c>
      <c r="HC5" t="s">
        <v>2025</v>
      </c>
      <c r="HD5" t="s">
        <v>2019</v>
      </c>
      <c r="HE5" t="s">
        <v>2023</v>
      </c>
      <c r="HF5" t="s">
        <v>2025</v>
      </c>
      <c r="HG5" t="s">
        <v>2019</v>
      </c>
      <c r="HH5" t="s">
        <v>2023</v>
      </c>
      <c r="HI5" t="s">
        <v>2025</v>
      </c>
      <c r="HJ5" t="s">
        <v>2019</v>
      </c>
      <c r="HK5" t="s">
        <v>2023</v>
      </c>
      <c r="HL5" t="s">
        <v>2025</v>
      </c>
      <c r="HM5" t="s">
        <v>2019</v>
      </c>
      <c r="HN5" t="s">
        <v>2023</v>
      </c>
      <c r="HO5" t="s">
        <v>2025</v>
      </c>
      <c r="HP5" t="s">
        <v>2019</v>
      </c>
      <c r="HQ5" t="s">
        <v>2023</v>
      </c>
      <c r="HR5" t="s">
        <v>2025</v>
      </c>
      <c r="HS5" t="s">
        <v>2019</v>
      </c>
      <c r="HT5" t="s">
        <v>2023</v>
      </c>
      <c r="HU5" t="s">
        <v>2025</v>
      </c>
      <c r="HV5" t="s">
        <v>2019</v>
      </c>
      <c r="HW5" t="s">
        <v>2023</v>
      </c>
      <c r="HX5" t="s">
        <v>2025</v>
      </c>
      <c r="HY5" t="s">
        <v>2019</v>
      </c>
      <c r="HZ5" t="s">
        <v>2023</v>
      </c>
      <c r="IA5" t="s">
        <v>2025</v>
      </c>
      <c r="IB5" t="s">
        <v>2019</v>
      </c>
      <c r="IC5" t="s">
        <v>2023</v>
      </c>
      <c r="ID5" t="s">
        <v>2025</v>
      </c>
      <c r="IE5" t="s">
        <v>2019</v>
      </c>
      <c r="IF5" t="s">
        <v>2023</v>
      </c>
      <c r="IG5" t="s">
        <v>2025</v>
      </c>
      <c r="IH5" t="s">
        <v>2019</v>
      </c>
      <c r="II5" t="s">
        <v>2023</v>
      </c>
      <c r="IJ5" t="s">
        <v>2025</v>
      </c>
      <c r="IK5" t="s">
        <v>2019</v>
      </c>
      <c r="IL5" t="s">
        <v>2023</v>
      </c>
      <c r="IM5" t="s">
        <v>2025</v>
      </c>
      <c r="IN5" t="s">
        <v>2019</v>
      </c>
      <c r="IO5" t="s">
        <v>2023</v>
      </c>
      <c r="IP5" t="s">
        <v>2025</v>
      </c>
      <c r="IQ5" t="s">
        <v>2019</v>
      </c>
      <c r="IR5" t="s">
        <v>2023</v>
      </c>
      <c r="IS5" t="s">
        <v>2025</v>
      </c>
      <c r="IT5" t="s">
        <v>2019</v>
      </c>
      <c r="IU5" t="s">
        <v>2023</v>
      </c>
      <c r="IV5" t="s">
        <v>2025</v>
      </c>
      <c r="IW5" t="s">
        <v>2019</v>
      </c>
      <c r="IX5" t="s">
        <v>2023</v>
      </c>
      <c r="IY5" t="s">
        <v>2025</v>
      </c>
      <c r="IZ5" t="s">
        <v>2019</v>
      </c>
      <c r="JA5" t="s">
        <v>2023</v>
      </c>
      <c r="JB5" t="s">
        <v>2025</v>
      </c>
      <c r="JC5" t="s">
        <v>2019</v>
      </c>
      <c r="JD5" t="s">
        <v>2023</v>
      </c>
      <c r="JE5" t="s">
        <v>2025</v>
      </c>
      <c r="JF5" t="s">
        <v>2019</v>
      </c>
      <c r="JG5" t="s">
        <v>2023</v>
      </c>
      <c r="JH5" t="s">
        <v>2025</v>
      </c>
      <c r="JI5" t="s">
        <v>2019</v>
      </c>
      <c r="JJ5" t="s">
        <v>2023</v>
      </c>
      <c r="JK5" t="s">
        <v>2025</v>
      </c>
      <c r="JL5" t="s">
        <v>2019</v>
      </c>
      <c r="JM5" t="s">
        <v>2023</v>
      </c>
      <c r="JN5" t="s">
        <v>2025</v>
      </c>
      <c r="JO5" t="s">
        <v>2019</v>
      </c>
      <c r="JP5" t="s">
        <v>2023</v>
      </c>
      <c r="JQ5" t="s">
        <v>2025</v>
      </c>
      <c r="JR5" t="s">
        <v>2019</v>
      </c>
      <c r="JS5" t="s">
        <v>2023</v>
      </c>
      <c r="JT5" t="s">
        <v>2025</v>
      </c>
      <c r="JU5" t="s">
        <v>2019</v>
      </c>
      <c r="JV5" t="s">
        <v>2023</v>
      </c>
      <c r="JW5" t="s">
        <v>2025</v>
      </c>
      <c r="JX5" t="s">
        <v>2019</v>
      </c>
      <c r="JY5" t="s">
        <v>2023</v>
      </c>
      <c r="JZ5" t="s">
        <v>2025</v>
      </c>
      <c r="KA5" t="s">
        <v>2019</v>
      </c>
      <c r="KB5" t="s">
        <v>2023</v>
      </c>
      <c r="KC5" t="s">
        <v>2025</v>
      </c>
      <c r="KD5" t="s">
        <v>2019</v>
      </c>
      <c r="KE5" t="s">
        <v>2023</v>
      </c>
      <c r="KF5" t="s">
        <v>2025</v>
      </c>
      <c r="KG5" t="s">
        <v>2019</v>
      </c>
      <c r="KH5" t="s">
        <v>2023</v>
      </c>
      <c r="KI5" t="s">
        <v>2025</v>
      </c>
      <c r="KJ5" t="s">
        <v>2019</v>
      </c>
      <c r="KK5" t="s">
        <v>2023</v>
      </c>
      <c r="KL5" t="s">
        <v>2025</v>
      </c>
      <c r="KM5" t="s">
        <v>2019</v>
      </c>
      <c r="KN5" t="s">
        <v>2023</v>
      </c>
      <c r="KO5" t="s">
        <v>2025</v>
      </c>
      <c r="KP5" t="s">
        <v>2019</v>
      </c>
      <c r="KQ5" t="s">
        <v>2023</v>
      </c>
      <c r="KR5" t="s">
        <v>2025</v>
      </c>
      <c r="KS5" t="s">
        <v>2019</v>
      </c>
      <c r="KT5" t="s">
        <v>2023</v>
      </c>
      <c r="KU5" t="s">
        <v>2025</v>
      </c>
      <c r="KV5" t="s">
        <v>2019</v>
      </c>
      <c r="KW5" t="s">
        <v>2023</v>
      </c>
      <c r="KX5" t="s">
        <v>2025</v>
      </c>
      <c r="KY5" t="s">
        <v>2019</v>
      </c>
      <c r="KZ5" t="s">
        <v>2023</v>
      </c>
      <c r="LA5" t="s">
        <v>2025</v>
      </c>
      <c r="LB5" t="s">
        <v>2019</v>
      </c>
      <c r="LC5" t="s">
        <v>2023</v>
      </c>
      <c r="LD5" t="s">
        <v>2025</v>
      </c>
      <c r="LE5" t="s">
        <v>2019</v>
      </c>
      <c r="LF5" t="s">
        <v>2023</v>
      </c>
      <c r="LG5" t="s">
        <v>2025</v>
      </c>
      <c r="LH5" t="s">
        <v>2019</v>
      </c>
      <c r="LI5" t="s">
        <v>2023</v>
      </c>
      <c r="LJ5" t="s">
        <v>2025</v>
      </c>
      <c r="LK5" t="s">
        <v>2019</v>
      </c>
      <c r="LL5" t="s">
        <v>2023</v>
      </c>
      <c r="LM5" t="s">
        <v>2025</v>
      </c>
      <c r="LN5" t="s">
        <v>2019</v>
      </c>
      <c r="LO5" t="s">
        <v>2023</v>
      </c>
      <c r="LP5" t="s">
        <v>2025</v>
      </c>
      <c r="LQ5" t="s">
        <v>2019</v>
      </c>
      <c r="LR5" t="s">
        <v>2023</v>
      </c>
      <c r="LS5" t="s">
        <v>2025</v>
      </c>
      <c r="LT5" t="s">
        <v>2019</v>
      </c>
      <c r="LU5" t="s">
        <v>2023</v>
      </c>
      <c r="LV5" t="s">
        <v>2025</v>
      </c>
      <c r="LW5" t="s">
        <v>2019</v>
      </c>
      <c r="LX5" t="s">
        <v>2023</v>
      </c>
      <c r="LY5" t="s">
        <v>2025</v>
      </c>
      <c r="LZ5" t="s">
        <v>2019</v>
      </c>
      <c r="MA5" t="s">
        <v>2023</v>
      </c>
      <c r="MB5" t="s">
        <v>2025</v>
      </c>
      <c r="MC5" t="s">
        <v>2019</v>
      </c>
      <c r="MD5" t="s">
        <v>2023</v>
      </c>
      <c r="ME5" t="s">
        <v>2025</v>
      </c>
      <c r="MF5" t="s">
        <v>2019</v>
      </c>
      <c r="MG5" t="s">
        <v>2023</v>
      </c>
      <c r="MH5" t="s">
        <v>2025</v>
      </c>
      <c r="MI5" t="s">
        <v>2019</v>
      </c>
      <c r="MJ5" t="s">
        <v>2023</v>
      </c>
      <c r="MK5" t="s">
        <v>2025</v>
      </c>
      <c r="ML5" t="s">
        <v>2019</v>
      </c>
      <c r="MM5" t="s">
        <v>2023</v>
      </c>
      <c r="MN5" t="s">
        <v>2025</v>
      </c>
      <c r="MO5" t="s">
        <v>2019</v>
      </c>
      <c r="MP5" t="s">
        <v>2023</v>
      </c>
      <c r="MQ5" t="s">
        <v>2025</v>
      </c>
      <c r="MR5" t="s">
        <v>2019</v>
      </c>
      <c r="MS5" t="s">
        <v>2023</v>
      </c>
      <c r="MT5" t="s">
        <v>2025</v>
      </c>
      <c r="MU5" t="s">
        <v>2019</v>
      </c>
      <c r="MV5" t="s">
        <v>2023</v>
      </c>
      <c r="MW5" t="s">
        <v>2025</v>
      </c>
      <c r="MX5" t="s">
        <v>2019</v>
      </c>
      <c r="MY5" t="s">
        <v>2023</v>
      </c>
      <c r="MZ5" t="s">
        <v>2025</v>
      </c>
      <c r="NA5" t="s">
        <v>2019</v>
      </c>
      <c r="NB5" t="s">
        <v>2023</v>
      </c>
      <c r="NC5" t="s">
        <v>2025</v>
      </c>
      <c r="ND5" t="s">
        <v>2019</v>
      </c>
      <c r="NE5" t="s">
        <v>2023</v>
      </c>
      <c r="NF5" t="s">
        <v>2025</v>
      </c>
      <c r="NG5" t="s">
        <v>2019</v>
      </c>
      <c r="NH5" t="s">
        <v>2023</v>
      </c>
      <c r="NI5" t="s">
        <v>2025</v>
      </c>
      <c r="NJ5" t="s">
        <v>2019</v>
      </c>
      <c r="NK5" t="s">
        <v>2023</v>
      </c>
      <c r="NL5" t="s">
        <v>2025</v>
      </c>
      <c r="NM5" t="s">
        <v>2019</v>
      </c>
      <c r="NN5" t="s">
        <v>2023</v>
      </c>
      <c r="NO5" t="s">
        <v>2025</v>
      </c>
      <c r="NP5" t="s">
        <v>2019</v>
      </c>
      <c r="NQ5" t="s">
        <v>2023</v>
      </c>
      <c r="NR5" t="s">
        <v>2025</v>
      </c>
      <c r="NS5" t="s">
        <v>2019</v>
      </c>
      <c r="NT5" t="s">
        <v>2023</v>
      </c>
      <c r="NU5" t="s">
        <v>2025</v>
      </c>
      <c r="NV5" t="s">
        <v>2019</v>
      </c>
      <c r="NW5" t="s">
        <v>2023</v>
      </c>
      <c r="NX5" t="s">
        <v>2025</v>
      </c>
      <c r="NY5" t="s">
        <v>2019</v>
      </c>
      <c r="NZ5" t="s">
        <v>2023</v>
      </c>
      <c r="OA5" t="s">
        <v>2025</v>
      </c>
      <c r="OB5" t="s">
        <v>2019</v>
      </c>
      <c r="OC5" t="s">
        <v>2023</v>
      </c>
      <c r="OD5" t="s">
        <v>2025</v>
      </c>
      <c r="OE5" t="s">
        <v>2019</v>
      </c>
      <c r="OF5" t="s">
        <v>2023</v>
      </c>
      <c r="OG5" t="s">
        <v>2025</v>
      </c>
      <c r="OH5" t="s">
        <v>2019</v>
      </c>
      <c r="OI5" t="s">
        <v>2023</v>
      </c>
      <c r="OJ5" t="s">
        <v>2025</v>
      </c>
      <c r="OK5" t="s">
        <v>2019</v>
      </c>
      <c r="OL5" t="s">
        <v>2023</v>
      </c>
      <c r="OM5" t="s">
        <v>2025</v>
      </c>
      <c r="ON5" t="s">
        <v>2019</v>
      </c>
      <c r="OO5" t="s">
        <v>2023</v>
      </c>
      <c r="OP5" t="s">
        <v>2025</v>
      </c>
      <c r="OQ5" t="s">
        <v>2019</v>
      </c>
      <c r="OR5" t="s">
        <v>2023</v>
      </c>
      <c r="OS5" t="s">
        <v>2025</v>
      </c>
      <c r="OT5" t="s">
        <v>2019</v>
      </c>
      <c r="OU5" t="s">
        <v>2023</v>
      </c>
      <c r="OV5" t="s">
        <v>2025</v>
      </c>
      <c r="OW5" t="s">
        <v>2019</v>
      </c>
      <c r="OX5" t="s">
        <v>2023</v>
      </c>
      <c r="OY5" t="s">
        <v>2025</v>
      </c>
      <c r="OZ5" t="s">
        <v>2019</v>
      </c>
      <c r="PA5" t="s">
        <v>2023</v>
      </c>
      <c r="PB5" t="s">
        <v>2025</v>
      </c>
      <c r="PC5" t="s">
        <v>2019</v>
      </c>
      <c r="PD5" t="s">
        <v>2023</v>
      </c>
      <c r="PE5" t="s">
        <v>2025</v>
      </c>
      <c r="PF5" t="s">
        <v>2019</v>
      </c>
      <c r="PG5" t="s">
        <v>2023</v>
      </c>
      <c r="PH5" t="s">
        <v>2025</v>
      </c>
      <c r="PI5" t="s">
        <v>2019</v>
      </c>
      <c r="PJ5" t="s">
        <v>2023</v>
      </c>
      <c r="PK5" t="s">
        <v>2025</v>
      </c>
      <c r="PL5" t="s">
        <v>2019</v>
      </c>
      <c r="PM5" t="s">
        <v>2023</v>
      </c>
      <c r="PN5" t="s">
        <v>2025</v>
      </c>
      <c r="PO5" t="s">
        <v>2019</v>
      </c>
      <c r="PP5" t="s">
        <v>2023</v>
      </c>
      <c r="PQ5" t="s">
        <v>2025</v>
      </c>
      <c r="PR5" t="s">
        <v>2019</v>
      </c>
      <c r="PS5" t="s">
        <v>2023</v>
      </c>
      <c r="PT5" t="s">
        <v>2025</v>
      </c>
      <c r="PU5" t="s">
        <v>2019</v>
      </c>
      <c r="PV5" t="s">
        <v>2023</v>
      </c>
      <c r="PW5" t="s">
        <v>2025</v>
      </c>
      <c r="PX5" t="s">
        <v>2019</v>
      </c>
      <c r="PY5" t="s">
        <v>2023</v>
      </c>
      <c r="PZ5" t="s">
        <v>2025</v>
      </c>
      <c r="QA5" t="s">
        <v>2019</v>
      </c>
      <c r="QB5" t="s">
        <v>2023</v>
      </c>
      <c r="QC5" t="s">
        <v>2025</v>
      </c>
      <c r="QD5" t="s">
        <v>2019</v>
      </c>
      <c r="QE5" t="s">
        <v>2023</v>
      </c>
      <c r="QF5" t="s">
        <v>2025</v>
      </c>
    </row>
    <row r="6" spans="1:451" x14ac:dyDescent="0.25">
      <c r="A6" s="363" t="s">
        <v>1333</v>
      </c>
      <c r="B6" s="339">
        <v>8.0939447096267695E-9</v>
      </c>
      <c r="C6" s="339">
        <v>0</v>
      </c>
      <c r="D6" s="339">
        <v>4.8563668257760613E-8</v>
      </c>
      <c r="E6" s="339"/>
      <c r="F6" s="339"/>
      <c r="G6" s="339"/>
      <c r="H6" s="339">
        <v>0</v>
      </c>
      <c r="I6" s="339">
        <v>0</v>
      </c>
      <c r="J6" s="339">
        <v>0</v>
      </c>
      <c r="K6" s="339"/>
      <c r="L6" s="339"/>
      <c r="M6" s="339"/>
      <c r="N6" s="339"/>
      <c r="O6" s="339"/>
      <c r="P6" s="339"/>
      <c r="Q6" s="339"/>
      <c r="R6" s="339"/>
      <c r="S6" s="339"/>
      <c r="T6" s="339"/>
      <c r="U6" s="339"/>
      <c r="V6" s="339"/>
      <c r="W6" s="339"/>
      <c r="X6" s="339"/>
      <c r="Y6" s="339"/>
      <c r="Z6" s="339"/>
      <c r="AA6" s="339"/>
      <c r="AB6" s="339"/>
      <c r="AC6" s="339">
        <v>1.6987943491133053E-4</v>
      </c>
      <c r="AD6" s="339">
        <v>0</v>
      </c>
      <c r="AE6" s="339">
        <v>6.6163240455890406E-4</v>
      </c>
      <c r="AF6" s="339"/>
      <c r="AG6" s="339"/>
      <c r="AH6" s="339"/>
      <c r="AI6" s="339">
        <v>2.8490685377886225E-7</v>
      </c>
      <c r="AJ6" s="339">
        <v>0</v>
      </c>
      <c r="AK6" s="339">
        <v>8.5472056133658674E-7</v>
      </c>
      <c r="AL6" s="339"/>
      <c r="AM6" s="339"/>
      <c r="AN6" s="339"/>
      <c r="AO6" s="339">
        <v>4.4141655100064653E-3</v>
      </c>
      <c r="AP6" s="339">
        <v>0</v>
      </c>
      <c r="AQ6" s="339">
        <v>1.8211920529801327E-2</v>
      </c>
      <c r="AR6" s="339"/>
      <c r="AS6" s="339"/>
      <c r="AT6" s="339"/>
      <c r="AU6" s="339">
        <v>0</v>
      </c>
      <c r="AV6" s="339">
        <v>0</v>
      </c>
      <c r="AW6" s="339">
        <v>0</v>
      </c>
      <c r="AX6" s="339">
        <v>2.8545329984014617E-3</v>
      </c>
      <c r="AY6" s="339">
        <v>0</v>
      </c>
      <c r="AZ6" s="339">
        <v>8.5635989952043846E-3</v>
      </c>
      <c r="BA6" s="339"/>
      <c r="BB6" s="339"/>
      <c r="BC6" s="339"/>
      <c r="BD6" s="339">
        <v>1.2311088470028866E-2</v>
      </c>
      <c r="BE6" s="339">
        <v>0</v>
      </c>
      <c r="BF6" s="339">
        <v>2.4622176940057732E-2</v>
      </c>
      <c r="BG6" s="339">
        <v>2.641794712954512E-4</v>
      </c>
      <c r="BH6" s="339">
        <v>0</v>
      </c>
      <c r="BI6" s="339">
        <v>1.8492562990681583E-3</v>
      </c>
      <c r="BJ6" s="339"/>
      <c r="BK6" s="339"/>
      <c r="BL6" s="339"/>
      <c r="BM6" s="339"/>
      <c r="BN6" s="339"/>
      <c r="BO6" s="339"/>
      <c r="BP6" s="339"/>
      <c r="BQ6" s="339"/>
      <c r="BR6" s="339"/>
      <c r="BS6" s="339">
        <v>0</v>
      </c>
      <c r="BT6" s="339">
        <v>0</v>
      </c>
      <c r="BU6" s="339">
        <v>0</v>
      </c>
      <c r="BV6" s="339">
        <v>6.8345514623490257E-3</v>
      </c>
      <c r="BW6" s="339">
        <v>0</v>
      </c>
      <c r="BX6" s="339">
        <v>2.5817320655205287E-2</v>
      </c>
      <c r="BY6" s="339"/>
      <c r="BZ6" s="339"/>
      <c r="CA6" s="339"/>
      <c r="CB6" s="339">
        <v>0</v>
      </c>
      <c r="CC6" s="339">
        <v>0</v>
      </c>
      <c r="CD6" s="339">
        <v>0</v>
      </c>
      <c r="CE6" s="339"/>
      <c r="CF6" s="339"/>
      <c r="CG6" s="339"/>
      <c r="CH6" s="339"/>
      <c r="CI6" s="339"/>
      <c r="CJ6" s="339"/>
      <c r="CK6" s="339"/>
      <c r="CL6" s="339"/>
      <c r="CM6" s="339"/>
      <c r="CN6" s="339"/>
      <c r="CO6" s="339"/>
      <c r="CP6" s="339"/>
      <c r="CQ6" s="339">
        <v>0</v>
      </c>
      <c r="CR6" s="339">
        <v>0</v>
      </c>
      <c r="CS6" s="339">
        <v>0</v>
      </c>
      <c r="CT6" s="339">
        <v>0</v>
      </c>
      <c r="CU6" s="339">
        <v>0</v>
      </c>
      <c r="CV6" s="339">
        <v>0</v>
      </c>
      <c r="CW6" s="339">
        <v>0</v>
      </c>
      <c r="CX6" s="339">
        <v>0</v>
      </c>
      <c r="CY6" s="339">
        <v>0</v>
      </c>
      <c r="CZ6" s="339"/>
      <c r="DA6" s="339"/>
      <c r="DB6" s="339"/>
      <c r="DC6" s="339"/>
      <c r="DD6" s="339"/>
      <c r="DE6" s="339"/>
      <c r="DF6" s="339"/>
      <c r="DG6" s="339"/>
      <c r="DH6" s="339"/>
      <c r="DI6" s="339"/>
      <c r="DJ6" s="339"/>
      <c r="DK6" s="339"/>
      <c r="DL6" s="339"/>
      <c r="DM6" s="339"/>
      <c r="DN6" s="339"/>
      <c r="DO6" s="339">
        <v>1.0343645241747903E-2</v>
      </c>
      <c r="DP6" s="339">
        <v>0</v>
      </c>
      <c r="DQ6" s="339">
        <v>5.1634641310410574E-2</v>
      </c>
      <c r="DR6" s="339">
        <v>2.641794712954512E-4</v>
      </c>
      <c r="DS6" s="339">
        <v>0</v>
      </c>
      <c r="DT6" s="339">
        <v>1.8492562990681583E-3</v>
      </c>
      <c r="DU6" s="339">
        <v>51.453263350432913</v>
      </c>
      <c r="DV6" s="339">
        <v>1.0878261689738378E-3</v>
      </c>
      <c r="DW6" s="339">
        <v>91.558976260297612</v>
      </c>
      <c r="DX6" s="339">
        <v>1.0926106924045399E-6</v>
      </c>
      <c r="DY6" s="339">
        <v>1.0926106924045399E-6</v>
      </c>
      <c r="DZ6" s="339">
        <v>1.0926106924045399E-6</v>
      </c>
      <c r="EA6" s="339">
        <v>7.4668874172185429E-2</v>
      </c>
      <c r="EB6" s="339">
        <v>7.4668874172185429E-2</v>
      </c>
      <c r="EC6" s="339">
        <v>7.4668874172185429E-2</v>
      </c>
      <c r="ED6" s="339"/>
      <c r="EE6" s="339"/>
      <c r="EF6" s="339"/>
      <c r="EG6" s="339">
        <v>0</v>
      </c>
      <c r="EH6" s="339">
        <v>0</v>
      </c>
      <c r="EI6" s="339">
        <v>0</v>
      </c>
      <c r="EJ6" s="339">
        <v>2.8548179052552401E-3</v>
      </c>
      <c r="EK6" s="339">
        <v>0</v>
      </c>
      <c r="EL6" s="339">
        <v>8.5635989952043846E-3</v>
      </c>
      <c r="EM6" s="339">
        <v>2.3430312345170345E-2</v>
      </c>
      <c r="EN6" s="339">
        <v>3.8908904338435684E-8</v>
      </c>
      <c r="EO6" s="339">
        <v>6.5654258963233611E-2</v>
      </c>
      <c r="EP6" s="339"/>
      <c r="EQ6" s="339"/>
      <c r="ER6" s="339"/>
      <c r="ES6" s="339">
        <v>0</v>
      </c>
      <c r="ET6" s="339">
        <v>0</v>
      </c>
      <c r="EU6" s="339">
        <v>0</v>
      </c>
      <c r="EV6" s="339"/>
      <c r="EW6" s="339"/>
      <c r="EX6" s="339"/>
      <c r="EY6" s="339"/>
      <c r="EZ6" s="339"/>
      <c r="FA6" s="339"/>
      <c r="FB6" s="339"/>
      <c r="FC6" s="339"/>
      <c r="FD6" s="339"/>
      <c r="FE6" s="339">
        <v>0</v>
      </c>
      <c r="FF6" s="339">
        <v>0</v>
      </c>
      <c r="FG6" s="339">
        <v>0</v>
      </c>
      <c r="FH6" s="339"/>
      <c r="FI6" s="339"/>
      <c r="FJ6" s="339"/>
      <c r="FK6" s="339">
        <v>4.520349003059039E-3</v>
      </c>
      <c r="FL6" s="339">
        <v>0</v>
      </c>
      <c r="FM6" s="339">
        <v>1.8211920529801327E-2</v>
      </c>
      <c r="FN6" s="339"/>
      <c r="FO6" s="339"/>
      <c r="FP6" s="339"/>
      <c r="FQ6" s="339">
        <v>1.2993402983077332E-2</v>
      </c>
      <c r="FR6" s="339">
        <v>0</v>
      </c>
      <c r="FS6" s="339">
        <v>7.7451961965615851E-2</v>
      </c>
      <c r="FT6" s="339">
        <v>1.62678373837848E-3</v>
      </c>
      <c r="FU6" s="339">
        <v>1.8430533634003519E-6</v>
      </c>
      <c r="FV6" s="339">
        <v>9.3064952008219178E-3</v>
      </c>
      <c r="FW6" s="339">
        <v>9.9685613933066242E-4</v>
      </c>
      <c r="FX6" s="339">
        <v>5.5454135743863129E-6</v>
      </c>
      <c r="FY6" s="339">
        <v>3.3259026050420277E-3</v>
      </c>
      <c r="FZ6" s="339">
        <v>9.2522184936938059E-7</v>
      </c>
      <c r="GA6" s="339">
        <v>1.7367157294131241E-8</v>
      </c>
      <c r="GB6" s="339">
        <v>2.7309969440314915E-6</v>
      </c>
      <c r="GC6" s="339">
        <v>1.1296218114274111E-8</v>
      </c>
      <c r="GD6" s="339">
        <v>0</v>
      </c>
      <c r="GE6" s="339">
        <v>2.7301446782519114E-8</v>
      </c>
      <c r="GF6" s="339"/>
      <c r="GG6" s="339"/>
      <c r="GH6" s="339"/>
      <c r="GI6" s="339">
        <v>1.6182697296970923E-2</v>
      </c>
      <c r="GJ6" s="339">
        <v>0</v>
      </c>
      <c r="GK6" s="339">
        <v>3.7108928979218997E-2</v>
      </c>
      <c r="GL6" s="339">
        <v>4.7931698897984504E-4</v>
      </c>
      <c r="GM6" s="339">
        <v>0</v>
      </c>
      <c r="GN6" s="339">
        <v>1.1589403973509935E-3</v>
      </c>
      <c r="GO6" s="339">
        <v>1.1921245609086446E-5</v>
      </c>
      <c r="GP6" s="339">
        <v>9.5868488711238271E-6</v>
      </c>
      <c r="GQ6" s="339">
        <v>1.5071666195403007E-5</v>
      </c>
      <c r="GR6" s="339">
        <v>1.7699304621298279E-6</v>
      </c>
      <c r="GS6" s="339">
        <v>5.6517509480989151E-8</v>
      </c>
      <c r="GT6" s="339">
        <v>4.7529347279465281E-6</v>
      </c>
      <c r="GU6" s="339">
        <v>1.2908660327602642E-2</v>
      </c>
      <c r="GV6" s="339">
        <v>0</v>
      </c>
      <c r="GW6" s="339">
        <v>7.7451961965615851E-2</v>
      </c>
      <c r="GX6" s="339">
        <v>4.1832337472806303E-3</v>
      </c>
      <c r="GY6" s="339">
        <v>0</v>
      </c>
      <c r="GZ6" s="339">
        <v>2.1386809212545203E-2</v>
      </c>
      <c r="HA6" s="339">
        <v>3.0963948060717752E-6</v>
      </c>
      <c r="HB6" s="339">
        <v>9.8598933763353984E-8</v>
      </c>
      <c r="HC6" s="339">
        <v>8.0750473705479459E-6</v>
      </c>
      <c r="HD6" s="339">
        <v>2.026472835709589E-5</v>
      </c>
      <c r="HE6" s="339">
        <v>2.026472835709589E-5</v>
      </c>
      <c r="HF6" s="339">
        <v>2.026472835709589E-5</v>
      </c>
      <c r="HG6" s="339">
        <v>1.3035085077916623E-3</v>
      </c>
      <c r="HH6" s="339">
        <v>0</v>
      </c>
      <c r="HI6" s="339">
        <v>3.6612762310641099E-3</v>
      </c>
      <c r="HJ6" s="339">
        <v>0.18956683353797305</v>
      </c>
      <c r="HK6" s="339">
        <v>0</v>
      </c>
      <c r="HL6" s="339">
        <v>0.67251655629139073</v>
      </c>
      <c r="HM6" s="339">
        <v>2.1368014033414669E-7</v>
      </c>
      <c r="HN6" s="339">
        <v>0</v>
      </c>
      <c r="HO6" s="339">
        <v>8.5472056133658674E-7</v>
      </c>
      <c r="HP6" s="339">
        <v>5.1032392741087089E-4</v>
      </c>
      <c r="HQ6" s="339">
        <v>5.1032392741087089E-4</v>
      </c>
      <c r="HR6" s="339">
        <v>5.1032392741087089E-4</v>
      </c>
      <c r="HS6" s="339">
        <v>0</v>
      </c>
      <c r="HT6" s="339">
        <v>0</v>
      </c>
      <c r="HU6" s="339">
        <v>0</v>
      </c>
      <c r="HV6" s="339">
        <v>5.4531631547042991E-7</v>
      </c>
      <c r="HW6" s="339">
        <v>0</v>
      </c>
      <c r="HX6" s="339">
        <v>1.6359489464112897E-6</v>
      </c>
      <c r="HY6" s="339"/>
      <c r="HZ6" s="339"/>
      <c r="IA6" s="339"/>
      <c r="IB6" s="339"/>
      <c r="IC6" s="339"/>
      <c r="ID6" s="339"/>
      <c r="IE6" s="339">
        <v>3.4259945023144701E-2</v>
      </c>
      <c r="IF6" s="339">
        <v>0</v>
      </c>
      <c r="IG6" s="339">
        <v>0.10277971851663029</v>
      </c>
      <c r="IH6" s="339"/>
      <c r="II6" s="339"/>
      <c r="IJ6" s="339"/>
      <c r="IK6" s="339"/>
      <c r="IL6" s="339"/>
      <c r="IM6" s="339"/>
      <c r="IN6" s="339">
        <v>4.7538515152792409E-7</v>
      </c>
      <c r="IO6" s="339">
        <v>4.7538515152792409E-7</v>
      </c>
      <c r="IP6" s="339">
        <v>4.7538515152792409E-7</v>
      </c>
      <c r="IQ6" s="339"/>
      <c r="IR6" s="339"/>
      <c r="IS6" s="339"/>
      <c r="IT6" s="339"/>
      <c r="IU6" s="339"/>
      <c r="IV6" s="339"/>
      <c r="IW6" s="339"/>
      <c r="IX6" s="339"/>
      <c r="IY6" s="339"/>
      <c r="IZ6" s="339">
        <v>0</v>
      </c>
      <c r="JA6" s="339">
        <v>0</v>
      </c>
      <c r="JB6" s="339">
        <v>0</v>
      </c>
      <c r="JC6" s="339">
        <v>0</v>
      </c>
      <c r="JD6" s="339">
        <v>0</v>
      </c>
      <c r="JE6" s="339">
        <v>0</v>
      </c>
      <c r="JF6" s="339">
        <v>4.7422227548623713E-3</v>
      </c>
      <c r="JG6" s="339">
        <v>5.7839286375485025E-5</v>
      </c>
      <c r="JH6" s="339">
        <v>1.9800577765342466E-2</v>
      </c>
      <c r="JI6" s="339"/>
      <c r="JJ6" s="339"/>
      <c r="JK6" s="339"/>
      <c r="JL6" s="339">
        <v>6.3595764330252988E-4</v>
      </c>
      <c r="JM6" s="339">
        <v>8.9658371988663208E-5</v>
      </c>
      <c r="JN6" s="339">
        <v>1.1822569146163965E-3</v>
      </c>
      <c r="JO6" s="339"/>
      <c r="JP6" s="339"/>
      <c r="JQ6" s="339"/>
      <c r="JR6" s="339">
        <v>3.2563590731762235E-7</v>
      </c>
      <c r="JS6" s="339">
        <v>3.6117926893762606E-8</v>
      </c>
      <c r="JT6" s="339">
        <v>6.1515388774148212E-7</v>
      </c>
      <c r="JU6" s="339">
        <v>1.9484781335743697E-10</v>
      </c>
      <c r="JV6" s="339">
        <v>1.9484781335743697E-10</v>
      </c>
      <c r="JW6" s="339">
        <v>1.9484781335743697E-10</v>
      </c>
      <c r="JX6" s="339">
        <v>1.1556314526181988E-3</v>
      </c>
      <c r="JY6" s="339">
        <v>1.1556314526181988E-3</v>
      </c>
      <c r="JZ6" s="339">
        <v>1.1556314526181988E-3</v>
      </c>
      <c r="KA6" s="339"/>
      <c r="KB6" s="339"/>
      <c r="KC6" s="339"/>
      <c r="KD6" s="339">
        <v>3.9551652440721562E-4</v>
      </c>
      <c r="KE6" s="339">
        <v>3.9551652440721562E-4</v>
      </c>
      <c r="KF6" s="339">
        <v>3.9551652440721562E-4</v>
      </c>
      <c r="KG6" s="339">
        <v>3.194023426171505E-6</v>
      </c>
      <c r="KH6" s="339">
        <v>3.6393858517737967E-7</v>
      </c>
      <c r="KI6" s="339">
        <v>6.0241082671656306E-6</v>
      </c>
      <c r="KJ6" s="339">
        <v>0</v>
      </c>
      <c r="KK6" s="339">
        <v>0</v>
      </c>
      <c r="KL6" s="339">
        <v>0</v>
      </c>
      <c r="KM6" s="339">
        <v>0</v>
      </c>
      <c r="KN6" s="339">
        <v>0</v>
      </c>
      <c r="KO6" s="339">
        <v>0</v>
      </c>
      <c r="KP6" s="339">
        <v>0</v>
      </c>
      <c r="KQ6" s="339">
        <v>0</v>
      </c>
      <c r="KR6" s="339">
        <v>0</v>
      </c>
      <c r="KS6" s="339"/>
      <c r="KT6" s="339"/>
      <c r="KU6" s="339"/>
      <c r="KV6" s="339"/>
      <c r="KW6" s="339"/>
      <c r="KX6" s="339"/>
      <c r="KY6" s="339"/>
      <c r="KZ6" s="339"/>
      <c r="LA6" s="339"/>
      <c r="LB6" s="339"/>
      <c r="LC6" s="339"/>
      <c r="LD6" s="339"/>
      <c r="LE6" s="339"/>
      <c r="LF6" s="339"/>
      <c r="LG6" s="339"/>
      <c r="LH6" s="339">
        <v>0.90360622293218495</v>
      </c>
      <c r="LI6" s="339">
        <v>0</v>
      </c>
      <c r="LJ6" s="339">
        <v>1.8072124458643699</v>
      </c>
      <c r="LK6" s="339"/>
      <c r="LL6" s="339"/>
      <c r="LM6" s="339"/>
      <c r="LN6" s="339"/>
      <c r="LO6" s="339"/>
      <c r="LP6" s="339"/>
      <c r="LQ6" s="339"/>
      <c r="LR6" s="339"/>
      <c r="LS6" s="339"/>
      <c r="LT6" s="339"/>
      <c r="LU6" s="339"/>
      <c r="LV6" s="339"/>
      <c r="LW6" s="339"/>
      <c r="LX6" s="339"/>
      <c r="LY6" s="339"/>
      <c r="LZ6" s="339">
        <v>3.238210077639621E-5</v>
      </c>
      <c r="MA6" s="339">
        <v>3.238210077639621E-5</v>
      </c>
      <c r="MB6" s="339">
        <v>3.238210077639621E-5</v>
      </c>
      <c r="MC6" s="339"/>
      <c r="MD6" s="339"/>
      <c r="ME6" s="339"/>
      <c r="MF6" s="339"/>
      <c r="MG6" s="339"/>
      <c r="MH6" s="339"/>
      <c r="MI6" s="339"/>
      <c r="MJ6" s="339"/>
      <c r="MK6" s="339"/>
      <c r="ML6" s="339"/>
      <c r="MM6" s="339"/>
      <c r="MN6" s="339"/>
      <c r="MO6" s="339"/>
      <c r="MP6" s="339"/>
      <c r="MQ6" s="339"/>
      <c r="MR6" s="339"/>
      <c r="MS6" s="339"/>
      <c r="MT6" s="339"/>
      <c r="MU6" s="339">
        <v>0</v>
      </c>
      <c r="MV6" s="339">
        <v>0</v>
      </c>
      <c r="MW6" s="339">
        <v>0</v>
      </c>
      <c r="MX6" s="339"/>
      <c r="MY6" s="339"/>
      <c r="MZ6" s="339"/>
      <c r="NA6" s="339"/>
      <c r="NB6" s="339"/>
      <c r="NC6" s="339"/>
      <c r="ND6" s="339"/>
      <c r="NE6" s="339"/>
      <c r="NF6" s="339"/>
      <c r="NG6" s="339"/>
      <c r="NH6" s="339"/>
      <c r="NI6" s="339"/>
      <c r="NJ6" s="339"/>
      <c r="NK6" s="339"/>
      <c r="NL6" s="339"/>
      <c r="NM6" s="339"/>
      <c r="NN6" s="339"/>
      <c r="NO6" s="339"/>
      <c r="NP6" s="339"/>
      <c r="NQ6" s="339"/>
      <c r="NR6" s="339"/>
      <c r="NS6" s="339">
        <v>6.953708313651394E-7</v>
      </c>
      <c r="NT6" s="339">
        <v>6.953708313651394E-7</v>
      </c>
      <c r="NU6" s="339">
        <v>6.953708313651394E-7</v>
      </c>
      <c r="NV6" s="339"/>
      <c r="NW6" s="339"/>
      <c r="NX6" s="339"/>
      <c r="NY6" s="339"/>
      <c r="NZ6" s="339"/>
      <c r="OA6" s="339"/>
      <c r="OB6" s="339"/>
      <c r="OC6" s="339"/>
      <c r="OD6" s="339"/>
      <c r="OE6" s="339"/>
      <c r="OF6" s="339"/>
      <c r="OG6" s="339"/>
      <c r="OH6" s="339">
        <v>2.7833929995574067E-5</v>
      </c>
      <c r="OI6" s="339">
        <v>2.7833929995574067E-5</v>
      </c>
      <c r="OJ6" s="339">
        <v>2.7833929995574067E-5</v>
      </c>
      <c r="OK6" s="339"/>
      <c r="OL6" s="339"/>
      <c r="OM6" s="339"/>
      <c r="ON6" s="339"/>
      <c r="OO6" s="339"/>
      <c r="OP6" s="339"/>
      <c r="OQ6" s="339"/>
      <c r="OR6" s="339"/>
      <c r="OS6" s="339"/>
      <c r="OT6" s="339"/>
      <c r="OU6" s="339"/>
      <c r="OV6" s="339"/>
      <c r="OW6" s="339"/>
      <c r="OX6" s="339"/>
      <c r="OY6" s="339"/>
      <c r="OZ6" s="339"/>
      <c r="PA6" s="339"/>
      <c r="PB6" s="339"/>
      <c r="PC6" s="339"/>
      <c r="PD6" s="339"/>
      <c r="PE6" s="339"/>
      <c r="PF6" s="339"/>
      <c r="PG6" s="339"/>
      <c r="PH6" s="339"/>
      <c r="PI6" s="339"/>
      <c r="PJ6" s="339"/>
      <c r="PK6" s="339"/>
      <c r="PL6" s="339"/>
      <c r="PM6" s="339"/>
      <c r="PN6" s="339"/>
      <c r="PO6" s="339"/>
      <c r="PP6" s="339"/>
      <c r="PQ6" s="339"/>
      <c r="PR6" s="339"/>
      <c r="PS6" s="339"/>
      <c r="PT6" s="339"/>
      <c r="PU6" s="339">
        <v>2.1280521692452995E-6</v>
      </c>
      <c r="PV6" s="339">
        <v>2.1280521692452995E-6</v>
      </c>
      <c r="PW6" s="339">
        <v>2.1280521692452995E-6</v>
      </c>
      <c r="PX6" s="339">
        <v>7.7383715245283619E-7</v>
      </c>
      <c r="PY6" s="339">
        <v>7.7383715245283619E-7</v>
      </c>
      <c r="PZ6" s="339">
        <v>7.7383715245283619E-7</v>
      </c>
      <c r="QA6" s="339"/>
      <c r="QB6" s="339"/>
      <c r="QC6" s="339"/>
      <c r="QD6" s="339"/>
      <c r="QE6" s="339"/>
      <c r="QF6" s="339"/>
      <c r="QG6" s="339">
        <v>0.71073431646738516</v>
      </c>
      <c r="QH6" s="339">
        <v>0</v>
      </c>
      <c r="QI6" s="339">
        <v>91.558976260297612</v>
      </c>
    </row>
    <row r="7" spans="1:451" x14ac:dyDescent="0.25">
      <c r="A7" s="363" t="s">
        <v>1270</v>
      </c>
      <c r="B7" s="339">
        <v>9.4960803526266888E-3</v>
      </c>
      <c r="C7" s="339">
        <v>0</v>
      </c>
      <c r="D7" s="339">
        <v>5.8253617856266864E-2</v>
      </c>
      <c r="E7" s="339"/>
      <c r="F7" s="339"/>
      <c r="G7" s="339"/>
      <c r="H7" s="339">
        <v>8.9493466976910683E-4</v>
      </c>
      <c r="I7" s="339">
        <v>0</v>
      </c>
      <c r="J7" s="339">
        <v>4.4746733488455342E-3</v>
      </c>
      <c r="K7" s="339"/>
      <c r="L7" s="339"/>
      <c r="M7" s="339"/>
      <c r="N7" s="339"/>
      <c r="O7" s="339"/>
      <c r="P7" s="339"/>
      <c r="Q7" s="339"/>
      <c r="R7" s="339"/>
      <c r="S7" s="339"/>
      <c r="T7" s="339"/>
      <c r="U7" s="339"/>
      <c r="V7" s="339"/>
      <c r="W7" s="339"/>
      <c r="X7" s="339"/>
      <c r="Y7" s="339"/>
      <c r="Z7" s="339"/>
      <c r="AA7" s="339"/>
      <c r="AB7" s="339"/>
      <c r="AC7" s="339">
        <v>3.1832201137450289</v>
      </c>
      <c r="AD7" s="339">
        <v>2.7534313625945723E-7</v>
      </c>
      <c r="AE7" s="339">
        <v>55.2281399141186</v>
      </c>
      <c r="AF7" s="339">
        <v>3.1935214809741244E-4</v>
      </c>
      <c r="AG7" s="339">
        <v>3.1935214809741244E-4</v>
      </c>
      <c r="AH7" s="339">
        <v>3.1935214809741244E-4</v>
      </c>
      <c r="AI7" s="339">
        <v>6.8984547461368659E-4</v>
      </c>
      <c r="AJ7" s="339">
        <v>0</v>
      </c>
      <c r="AK7" s="339">
        <v>1.3796909492273732E-3</v>
      </c>
      <c r="AL7" s="339"/>
      <c r="AM7" s="339"/>
      <c r="AN7" s="339"/>
      <c r="AO7" s="339">
        <v>2.8815147862631913E-2</v>
      </c>
      <c r="AP7" s="339">
        <v>0</v>
      </c>
      <c r="AQ7" s="339">
        <v>0.17246136865342163</v>
      </c>
      <c r="AR7" s="339"/>
      <c r="AS7" s="339"/>
      <c r="AT7" s="339"/>
      <c r="AU7" s="339">
        <v>1.7522164820376268E-3</v>
      </c>
      <c r="AV7" s="339">
        <v>0</v>
      </c>
      <c r="AW7" s="339">
        <v>6.247657128576784E-3</v>
      </c>
      <c r="AX7" s="339"/>
      <c r="AY7" s="339"/>
      <c r="AZ7" s="339"/>
      <c r="BA7" s="339">
        <v>0</v>
      </c>
      <c r="BB7" s="339">
        <v>0</v>
      </c>
      <c r="BC7" s="339">
        <v>0</v>
      </c>
      <c r="BD7" s="339">
        <v>8.2781456953642373E-3</v>
      </c>
      <c r="BE7" s="339">
        <v>0</v>
      </c>
      <c r="BF7" s="339">
        <v>3.3112582781456949E-2</v>
      </c>
      <c r="BG7" s="339">
        <v>2.6583445810165258E-2</v>
      </c>
      <c r="BH7" s="339">
        <v>0</v>
      </c>
      <c r="BI7" s="339">
        <v>0.27304228680361803</v>
      </c>
      <c r="BJ7" s="339"/>
      <c r="BK7" s="339"/>
      <c r="BL7" s="339"/>
      <c r="BM7" s="339"/>
      <c r="BN7" s="339"/>
      <c r="BO7" s="339"/>
      <c r="BP7" s="339">
        <v>0.11186683372113834</v>
      </c>
      <c r="BQ7" s="339">
        <v>0</v>
      </c>
      <c r="BR7" s="339">
        <v>0.22373366744227668</v>
      </c>
      <c r="BS7" s="339">
        <v>0.23986571033253726</v>
      </c>
      <c r="BT7" s="339">
        <v>0</v>
      </c>
      <c r="BU7" s="339">
        <v>1.6723479623044926</v>
      </c>
      <c r="BV7" s="339">
        <v>1.5520162858322421E-2</v>
      </c>
      <c r="BW7" s="339">
        <v>0</v>
      </c>
      <c r="BX7" s="339">
        <v>0.1010458807199585</v>
      </c>
      <c r="BY7" s="339"/>
      <c r="BZ7" s="339"/>
      <c r="CA7" s="339"/>
      <c r="CB7" s="339">
        <v>0</v>
      </c>
      <c r="CC7" s="339">
        <v>0</v>
      </c>
      <c r="CD7" s="339">
        <v>0</v>
      </c>
      <c r="CE7" s="339"/>
      <c r="CF7" s="339"/>
      <c r="CG7" s="339"/>
      <c r="CH7" s="339"/>
      <c r="CI7" s="339"/>
      <c r="CJ7" s="339"/>
      <c r="CK7" s="339"/>
      <c r="CL7" s="339"/>
      <c r="CM7" s="339"/>
      <c r="CN7" s="339"/>
      <c r="CO7" s="339"/>
      <c r="CP7" s="339"/>
      <c r="CQ7" s="339">
        <v>0.18291305837705388</v>
      </c>
      <c r="CR7" s="339">
        <v>0</v>
      </c>
      <c r="CS7" s="339">
        <v>0.54873917513116166</v>
      </c>
      <c r="CT7" s="339">
        <v>1.2836381229148497E-3</v>
      </c>
      <c r="CU7" s="339">
        <v>0</v>
      </c>
      <c r="CV7" s="339">
        <v>1.1825922421948911E-2</v>
      </c>
      <c r="CW7" s="339">
        <v>0</v>
      </c>
      <c r="CX7" s="339">
        <v>0</v>
      </c>
      <c r="CY7" s="339">
        <v>0</v>
      </c>
      <c r="CZ7" s="339"/>
      <c r="DA7" s="339"/>
      <c r="DB7" s="339"/>
      <c r="DC7" s="339">
        <v>4.7606814552953302E-7</v>
      </c>
      <c r="DD7" s="339">
        <v>4.7606814552953302E-7</v>
      </c>
      <c r="DE7" s="339">
        <v>4.7606814552953302E-7</v>
      </c>
      <c r="DF7" s="339"/>
      <c r="DG7" s="339"/>
      <c r="DH7" s="339"/>
      <c r="DI7" s="339"/>
      <c r="DJ7" s="339"/>
      <c r="DK7" s="339"/>
      <c r="DL7" s="339">
        <v>0</v>
      </c>
      <c r="DM7" s="339">
        <v>0</v>
      </c>
      <c r="DN7" s="339">
        <v>0</v>
      </c>
      <c r="DO7" s="339">
        <v>3.1756239028124758E-2</v>
      </c>
      <c r="DP7" s="339">
        <v>0</v>
      </c>
      <c r="DQ7" s="339">
        <v>0.15156882107993774</v>
      </c>
      <c r="DR7" s="339">
        <v>0.12886804676627353</v>
      </c>
      <c r="DS7" s="339">
        <v>0</v>
      </c>
      <c r="DT7" s="339">
        <v>1.6723479623044926</v>
      </c>
      <c r="DU7" s="339">
        <v>238.59947182539281</v>
      </c>
      <c r="DV7" s="339">
        <v>9.6372615696460642</v>
      </c>
      <c r="DW7" s="339">
        <v>1313.5964493594604</v>
      </c>
      <c r="DX7" s="339">
        <v>2.0000725980053083E-3</v>
      </c>
      <c r="DY7" s="339">
        <v>8.0043094044393698E-5</v>
      </c>
      <c r="DZ7" s="339">
        <v>6.6022128471490442E-3</v>
      </c>
      <c r="EA7" s="339"/>
      <c r="EB7" s="339"/>
      <c r="EC7" s="339"/>
      <c r="ED7" s="339"/>
      <c r="EE7" s="339"/>
      <c r="EF7" s="339"/>
      <c r="EG7" s="339">
        <v>1.1706468660111044E-3</v>
      </c>
      <c r="EH7" s="339">
        <v>0</v>
      </c>
      <c r="EI7" s="339">
        <v>3.5119405980333133E-3</v>
      </c>
      <c r="EJ7" s="339">
        <v>4.4018711237254282E-3</v>
      </c>
      <c r="EK7" s="339">
        <v>0</v>
      </c>
      <c r="EL7" s="339">
        <v>1.1825922421948911E-2</v>
      </c>
      <c r="EM7" s="339">
        <v>9.7022000539797232E-2</v>
      </c>
      <c r="EN7" s="339">
        <v>0</v>
      </c>
      <c r="EO7" s="339">
        <v>0.45583095500313425</v>
      </c>
      <c r="EP7" s="339">
        <v>1.5208684107655089E-5</v>
      </c>
      <c r="EQ7" s="339">
        <v>5.7455881547234903E-6</v>
      </c>
      <c r="ER7" s="339">
        <v>3.0446071954831544E-5</v>
      </c>
      <c r="ES7" s="339">
        <v>0.24341171405725959</v>
      </c>
      <c r="ET7" s="339">
        <v>0</v>
      </c>
      <c r="EU7" s="339">
        <v>1.6723479623044926</v>
      </c>
      <c r="EV7" s="339"/>
      <c r="EW7" s="339"/>
      <c r="EX7" s="339"/>
      <c r="EY7" s="339"/>
      <c r="EZ7" s="339"/>
      <c r="FA7" s="339"/>
      <c r="FB7" s="339"/>
      <c r="FC7" s="339"/>
      <c r="FD7" s="339"/>
      <c r="FE7" s="339">
        <v>0.8365545855520331</v>
      </c>
      <c r="FF7" s="339">
        <v>7.6120879957372308E-4</v>
      </c>
      <c r="FG7" s="339">
        <v>1.6723479623044926</v>
      </c>
      <c r="FH7" s="339">
        <v>0</v>
      </c>
      <c r="FI7" s="339">
        <v>0</v>
      </c>
      <c r="FJ7" s="339">
        <v>0</v>
      </c>
      <c r="FK7" s="339">
        <v>3.9803188179813938E-2</v>
      </c>
      <c r="FL7" s="339">
        <v>0</v>
      </c>
      <c r="FM7" s="339">
        <v>0.30313764215987549</v>
      </c>
      <c r="FN7" s="339"/>
      <c r="FO7" s="339"/>
      <c r="FP7" s="339"/>
      <c r="FQ7" s="339">
        <v>0.23905281713018481</v>
      </c>
      <c r="FR7" s="339">
        <v>0</v>
      </c>
      <c r="FS7" s="339">
        <v>3.3417925427299844</v>
      </c>
      <c r="FT7" s="339">
        <v>6.4769039080433098E-4</v>
      </c>
      <c r="FU7" s="339">
        <v>0</v>
      </c>
      <c r="FV7" s="339">
        <v>2.3281062851286684E-3</v>
      </c>
      <c r="FW7" s="339">
        <v>7.685759127471832E-3</v>
      </c>
      <c r="FX7" s="339">
        <v>1.0724686925754506E-5</v>
      </c>
      <c r="FY7" s="339">
        <v>5.7279362484018256E-2</v>
      </c>
      <c r="FZ7" s="339">
        <v>1.9142719374985292E-8</v>
      </c>
      <c r="GA7" s="339">
        <v>0</v>
      </c>
      <c r="GB7" s="339">
        <v>6.0090954070482641E-8</v>
      </c>
      <c r="GC7" s="339">
        <v>5.3337439278577351E-8</v>
      </c>
      <c r="GD7" s="339">
        <v>0</v>
      </c>
      <c r="GE7" s="339">
        <v>9.6194023345117101E-8</v>
      </c>
      <c r="GF7" s="339">
        <v>4.3134460180674149E-2</v>
      </c>
      <c r="GG7" s="339">
        <v>4.3134460180674149E-2</v>
      </c>
      <c r="GH7" s="339">
        <v>4.3134460180674149E-2</v>
      </c>
      <c r="GI7" s="339">
        <v>2.5708456111340691E-2</v>
      </c>
      <c r="GJ7" s="339">
        <v>0</v>
      </c>
      <c r="GK7" s="339">
        <v>0.15610217596972562</v>
      </c>
      <c r="GL7" s="339">
        <v>3.5623464051098837E-3</v>
      </c>
      <c r="GM7" s="339">
        <v>0</v>
      </c>
      <c r="GN7" s="339">
        <v>1.5023301447142506E-2</v>
      </c>
      <c r="GO7" s="339">
        <v>3.070312896589253E-4</v>
      </c>
      <c r="GP7" s="339">
        <v>0</v>
      </c>
      <c r="GQ7" s="339">
        <v>1.3763131210369713E-3</v>
      </c>
      <c r="GR7" s="339">
        <v>1.428537011080489E-6</v>
      </c>
      <c r="GS7" s="339">
        <v>0</v>
      </c>
      <c r="GT7" s="339">
        <v>4.5589688667496888E-6</v>
      </c>
      <c r="GU7" s="339">
        <v>0.15759025886021125</v>
      </c>
      <c r="GV7" s="339">
        <v>0</v>
      </c>
      <c r="GW7" s="339">
        <v>1.4167893058621537</v>
      </c>
      <c r="GX7" s="339">
        <v>1.3495954123606063E-3</v>
      </c>
      <c r="GY7" s="339">
        <v>2.2719460821457389E-5</v>
      </c>
      <c r="GZ7" s="339">
        <v>5.7929123329880216E-3</v>
      </c>
      <c r="HA7" s="339">
        <v>1.9846960700474196E-6</v>
      </c>
      <c r="HB7" s="339">
        <v>0</v>
      </c>
      <c r="HC7" s="339">
        <v>9.1278561632334514E-6</v>
      </c>
      <c r="HD7" s="339">
        <v>5.6912519356942943E-7</v>
      </c>
      <c r="HE7" s="339">
        <v>5.9908180039138945E-8</v>
      </c>
      <c r="HF7" s="339">
        <v>1.0783422070997199E-6</v>
      </c>
      <c r="HG7" s="339">
        <v>3.2377380996357035E-4</v>
      </c>
      <c r="HH7" s="339">
        <v>1.0520027738250559E-5</v>
      </c>
      <c r="HI7" s="339">
        <v>5.8494521796477494E-4</v>
      </c>
      <c r="HJ7" s="339">
        <v>0.58958702610221225</v>
      </c>
      <c r="HK7" s="339">
        <v>0.47350993377483441</v>
      </c>
      <c r="HL7" s="339">
        <v>0.70868539240313622</v>
      </c>
      <c r="HM7" s="339">
        <v>1.3139913802165455E-4</v>
      </c>
      <c r="HN7" s="339">
        <v>0</v>
      </c>
      <c r="HO7" s="339">
        <v>9.1979396615158194E-4</v>
      </c>
      <c r="HP7" s="339">
        <v>1.1181281118521057E-5</v>
      </c>
      <c r="HQ7" s="339">
        <v>1.0815454070819335E-5</v>
      </c>
      <c r="HR7" s="339">
        <v>1.1547108166222781E-5</v>
      </c>
      <c r="HS7" s="339"/>
      <c r="HT7" s="339"/>
      <c r="HU7" s="339"/>
      <c r="HV7" s="339">
        <v>6.4653159696761489E-7</v>
      </c>
      <c r="HW7" s="339">
        <v>0</v>
      </c>
      <c r="HX7" s="339">
        <v>1.6666368355110075E-6</v>
      </c>
      <c r="HY7" s="339"/>
      <c r="HZ7" s="339"/>
      <c r="IA7" s="339"/>
      <c r="IB7" s="339">
        <v>0</v>
      </c>
      <c r="IC7" s="339">
        <v>0</v>
      </c>
      <c r="ID7" s="339">
        <v>0</v>
      </c>
      <c r="IE7" s="339">
        <v>8.0885555409731053E-2</v>
      </c>
      <c r="IF7" s="339">
        <v>1.7420291274005132E-2</v>
      </c>
      <c r="IG7" s="339">
        <v>0.2526147017998962</v>
      </c>
      <c r="IH7" s="339"/>
      <c r="II7" s="339"/>
      <c r="IJ7" s="339"/>
      <c r="IK7" s="339">
        <v>1.4771577246750967E-5</v>
      </c>
      <c r="IL7" s="339">
        <v>1.4771577246750967E-5</v>
      </c>
      <c r="IM7" s="339">
        <v>1.4771577246750967E-5</v>
      </c>
      <c r="IN7" s="339">
        <v>0</v>
      </c>
      <c r="IO7" s="339">
        <v>0</v>
      </c>
      <c r="IP7" s="339">
        <v>0</v>
      </c>
      <c r="IQ7" s="339">
        <v>8.0321084267812509E-7</v>
      </c>
      <c r="IR7" s="339">
        <v>6.6236265691224976E-8</v>
      </c>
      <c r="IS7" s="339">
        <v>1.5519126180189676E-6</v>
      </c>
      <c r="IT7" s="339">
        <v>8.3872690631031165E-9</v>
      </c>
      <c r="IU7" s="339">
        <v>8.3872690631031165E-9</v>
      </c>
      <c r="IV7" s="339">
        <v>8.3872690631031165E-9</v>
      </c>
      <c r="IW7" s="339"/>
      <c r="IX7" s="339"/>
      <c r="IY7" s="339"/>
      <c r="IZ7" s="339">
        <v>0</v>
      </c>
      <c r="JA7" s="339">
        <v>0</v>
      </c>
      <c r="JB7" s="339">
        <v>0</v>
      </c>
      <c r="JC7" s="339"/>
      <c r="JD7" s="339"/>
      <c r="JE7" s="339"/>
      <c r="JF7" s="339">
        <v>2.8641922174886415E-3</v>
      </c>
      <c r="JG7" s="339">
        <v>4.0812958422976279E-5</v>
      </c>
      <c r="JH7" s="339">
        <v>8.6760104446457036E-3</v>
      </c>
      <c r="JI7" s="339"/>
      <c r="JJ7" s="339"/>
      <c r="JK7" s="339"/>
      <c r="JL7" s="339">
        <v>2.9700862076609046E-5</v>
      </c>
      <c r="JM7" s="339">
        <v>5.1647537948907813E-6</v>
      </c>
      <c r="JN7" s="339">
        <v>7.0310360305703997E-5</v>
      </c>
      <c r="JO7" s="339"/>
      <c r="JP7" s="339"/>
      <c r="JQ7" s="339"/>
      <c r="JR7" s="339">
        <v>7.824607730885721E-8</v>
      </c>
      <c r="JS7" s="339">
        <v>1.2612248429292409E-9</v>
      </c>
      <c r="JT7" s="339">
        <v>1.5523092977478517E-7</v>
      </c>
      <c r="JU7" s="339">
        <v>3.7984747475661636E-9</v>
      </c>
      <c r="JV7" s="339">
        <v>0</v>
      </c>
      <c r="JW7" s="339">
        <v>1.8686835690676092E-8</v>
      </c>
      <c r="JX7" s="339">
        <v>1.2095939688589838E-2</v>
      </c>
      <c r="JY7" s="339">
        <v>4.1547450109158659E-3</v>
      </c>
      <c r="JZ7" s="339">
        <v>2.0333470466430532E-2</v>
      </c>
      <c r="KA7" s="339">
        <v>9.8770372231949733E-4</v>
      </c>
      <c r="KB7" s="339">
        <v>9.8770372231949733E-4</v>
      </c>
      <c r="KC7" s="339">
        <v>9.8770372231949733E-4</v>
      </c>
      <c r="KD7" s="339">
        <v>2.2890110731005344E-4</v>
      </c>
      <c r="KE7" s="339">
        <v>3.2137573592015005E-5</v>
      </c>
      <c r="KF7" s="339">
        <v>5.0327777404625114E-4</v>
      </c>
      <c r="KG7" s="339">
        <v>1.7042020970651392E-8</v>
      </c>
      <c r="KH7" s="339">
        <v>4.633707089455145E-9</v>
      </c>
      <c r="KI7" s="339">
        <v>2.9450334851847641E-8</v>
      </c>
      <c r="KJ7" s="339">
        <v>0</v>
      </c>
      <c r="KK7" s="339">
        <v>0</v>
      </c>
      <c r="KL7" s="339">
        <v>0</v>
      </c>
      <c r="KM7" s="339">
        <v>8.9493466976910685E-3</v>
      </c>
      <c r="KN7" s="339">
        <v>0</v>
      </c>
      <c r="KO7" s="339">
        <v>1.7898693395382137E-2</v>
      </c>
      <c r="KP7" s="339"/>
      <c r="KQ7" s="339"/>
      <c r="KR7" s="339"/>
      <c r="KS7" s="339">
        <v>4.6821215314366005E-6</v>
      </c>
      <c r="KT7" s="339">
        <v>4.6821215314366005E-6</v>
      </c>
      <c r="KU7" s="339">
        <v>4.6821215314366005E-6</v>
      </c>
      <c r="KV7" s="339"/>
      <c r="KW7" s="339"/>
      <c r="KX7" s="339"/>
      <c r="KY7" s="339"/>
      <c r="KZ7" s="339"/>
      <c r="LA7" s="339"/>
      <c r="LB7" s="339"/>
      <c r="LC7" s="339"/>
      <c r="LD7" s="339"/>
      <c r="LE7" s="339"/>
      <c r="LF7" s="339"/>
      <c r="LG7" s="339"/>
      <c r="LH7" s="339">
        <v>0.37126229179209314</v>
      </c>
      <c r="LI7" s="339">
        <v>0.37126229179209314</v>
      </c>
      <c r="LJ7" s="339">
        <v>0.37126229179209314</v>
      </c>
      <c r="LK7" s="339"/>
      <c r="LL7" s="339"/>
      <c r="LM7" s="339"/>
      <c r="LN7" s="339">
        <v>1.7820303856517998E-4</v>
      </c>
      <c r="LO7" s="339">
        <v>1.3527959255356517E-4</v>
      </c>
      <c r="LP7" s="339">
        <v>2.4385811913865389E-4</v>
      </c>
      <c r="LQ7" s="339"/>
      <c r="LR7" s="339"/>
      <c r="LS7" s="339"/>
      <c r="LT7" s="339">
        <v>7.9344912625178801E-2</v>
      </c>
      <c r="LU7" s="339">
        <v>1.4770498240297959E-2</v>
      </c>
      <c r="LV7" s="339">
        <v>0.1714120875134911</v>
      </c>
      <c r="LW7" s="339"/>
      <c r="LX7" s="339"/>
      <c r="LY7" s="339"/>
      <c r="LZ7" s="339">
        <v>1.5955973340279753E-6</v>
      </c>
      <c r="MA7" s="339">
        <v>5.0796919230212463E-8</v>
      </c>
      <c r="MB7" s="339">
        <v>3.2727303383146539E-6</v>
      </c>
      <c r="MC7" s="339"/>
      <c r="MD7" s="339"/>
      <c r="ME7" s="339"/>
      <c r="MF7" s="339">
        <v>1.2296942218560099E-8</v>
      </c>
      <c r="MG7" s="339">
        <v>1.2296942218560099E-8</v>
      </c>
      <c r="MH7" s="339">
        <v>1.2296942218560099E-8</v>
      </c>
      <c r="MI7" s="339"/>
      <c r="MJ7" s="339"/>
      <c r="MK7" s="339"/>
      <c r="ML7" s="339"/>
      <c r="MM7" s="339"/>
      <c r="MN7" s="339"/>
      <c r="MO7" s="339"/>
      <c r="MP7" s="339"/>
      <c r="MQ7" s="339"/>
      <c r="MR7" s="339"/>
      <c r="MS7" s="339"/>
      <c r="MT7" s="339"/>
      <c r="MU7" s="339"/>
      <c r="MV7" s="339"/>
      <c r="MW7" s="339"/>
      <c r="MX7" s="339"/>
      <c r="MY7" s="339"/>
      <c r="MZ7" s="339"/>
      <c r="NA7" s="339"/>
      <c r="NB7" s="339"/>
      <c r="NC7" s="339"/>
      <c r="ND7" s="339"/>
      <c r="NE7" s="339"/>
      <c r="NF7" s="339"/>
      <c r="NG7" s="339"/>
      <c r="NH7" s="339"/>
      <c r="NI7" s="339"/>
      <c r="NJ7" s="339"/>
      <c r="NK7" s="339"/>
      <c r="NL7" s="339"/>
      <c r="NM7" s="339"/>
      <c r="NN7" s="339"/>
      <c r="NO7" s="339"/>
      <c r="NP7" s="339"/>
      <c r="NQ7" s="339"/>
      <c r="NR7" s="339"/>
      <c r="NS7" s="339"/>
      <c r="NT7" s="339"/>
      <c r="NU7" s="339"/>
      <c r="NV7" s="339">
        <v>3.7952704319420457E-7</v>
      </c>
      <c r="NW7" s="339">
        <v>1.7239369339975098E-7</v>
      </c>
      <c r="NX7" s="339">
        <v>5.8666039298865816E-7</v>
      </c>
      <c r="NY7" s="339">
        <v>0.16391085457885496</v>
      </c>
      <c r="NZ7" s="339">
        <v>0.16391085457885496</v>
      </c>
      <c r="OA7" s="339">
        <v>0.16391085457885496</v>
      </c>
      <c r="OB7" s="339">
        <v>4.6885027706932342E-4</v>
      </c>
      <c r="OC7" s="339">
        <v>4.6885027706932342E-4</v>
      </c>
      <c r="OD7" s="339">
        <v>4.6885027706932342E-4</v>
      </c>
      <c r="OE7" s="339"/>
      <c r="OF7" s="339"/>
      <c r="OG7" s="339"/>
      <c r="OH7" s="339">
        <v>5.4911176573869489E-5</v>
      </c>
      <c r="OI7" s="339">
        <v>5.4911176573869489E-5</v>
      </c>
      <c r="OJ7" s="339">
        <v>5.4911176573869489E-5</v>
      </c>
      <c r="OK7" s="339"/>
      <c r="OL7" s="339"/>
      <c r="OM7" s="339"/>
      <c r="ON7" s="339"/>
      <c r="OO7" s="339"/>
      <c r="OP7" s="339"/>
      <c r="OQ7" s="339"/>
      <c r="OR7" s="339"/>
      <c r="OS7" s="339"/>
      <c r="OT7" s="339"/>
      <c r="OU7" s="339"/>
      <c r="OV7" s="339"/>
      <c r="OW7" s="339"/>
      <c r="OX7" s="339"/>
      <c r="OY7" s="339"/>
      <c r="OZ7" s="339">
        <v>2.9300464969804093E-7</v>
      </c>
      <c r="PA7" s="339">
        <v>2.9300464969804093E-7</v>
      </c>
      <c r="PB7" s="339">
        <v>2.9300464969804093E-7</v>
      </c>
      <c r="PC7" s="339">
        <v>4.9785047765503019E-8</v>
      </c>
      <c r="PD7" s="339">
        <v>4.9785047765503019E-8</v>
      </c>
      <c r="PE7" s="339">
        <v>4.9785047765503019E-8</v>
      </c>
      <c r="PF7" s="339">
        <v>8.1283746626012671E-5</v>
      </c>
      <c r="PG7" s="339">
        <v>8.1283746626012671E-5</v>
      </c>
      <c r="PH7" s="339">
        <v>8.1283746626012671E-5</v>
      </c>
      <c r="PI7" s="339">
        <v>4.0113937342760342E-6</v>
      </c>
      <c r="PJ7" s="339">
        <v>4.0113937342760342E-6</v>
      </c>
      <c r="PK7" s="339">
        <v>4.0113937342760342E-6</v>
      </c>
      <c r="PL7" s="339">
        <v>3.5836772493739865E-8</v>
      </c>
      <c r="PM7" s="339">
        <v>3.5836772493739865E-8</v>
      </c>
      <c r="PN7" s="339">
        <v>3.5836772493739865E-8</v>
      </c>
      <c r="PO7" s="339">
        <v>1.4870529185741641E-5</v>
      </c>
      <c r="PP7" s="339">
        <v>1.4870529185741641E-5</v>
      </c>
      <c r="PQ7" s="339">
        <v>1.4870529185741641E-5</v>
      </c>
      <c r="PR7" s="339">
        <v>5.261342628061437E-6</v>
      </c>
      <c r="PS7" s="339">
        <v>5.261342628061437E-6</v>
      </c>
      <c r="PT7" s="339">
        <v>5.261342628061437E-6</v>
      </c>
      <c r="PU7" s="339"/>
      <c r="PV7" s="339"/>
      <c r="PW7" s="339"/>
      <c r="PX7" s="339"/>
      <c r="PY7" s="339"/>
      <c r="PZ7" s="339"/>
      <c r="QA7" s="339"/>
      <c r="QB7" s="339"/>
      <c r="QC7" s="339"/>
      <c r="QD7" s="339">
        <v>1.6884754981040752E-6</v>
      </c>
      <c r="QE7" s="339">
        <v>1.2612248429292408E-8</v>
      </c>
      <c r="QF7" s="339">
        <v>3.364338747778858E-6</v>
      </c>
      <c r="QG7" s="339">
        <v>4.9578164726363259</v>
      </c>
      <c r="QH7" s="339">
        <v>0</v>
      </c>
      <c r="QI7" s="339">
        <v>1313.5964493594604</v>
      </c>
    </row>
    <row r="8" spans="1:451" x14ac:dyDescent="0.25">
      <c r="A8" s="363" t="s">
        <v>1473</v>
      </c>
      <c r="B8" s="339">
        <v>1.1205478269773932E-2</v>
      </c>
      <c r="C8" s="339">
        <v>0</v>
      </c>
      <c r="D8" s="339">
        <v>3.2546910863599593E-2</v>
      </c>
      <c r="E8" s="339"/>
      <c r="F8" s="339"/>
      <c r="G8" s="339"/>
      <c r="H8" s="339">
        <v>0</v>
      </c>
      <c r="I8" s="339">
        <v>0</v>
      </c>
      <c r="J8" s="339">
        <v>0</v>
      </c>
      <c r="K8" s="339"/>
      <c r="L8" s="339"/>
      <c r="M8" s="339"/>
      <c r="N8" s="339">
        <v>0</v>
      </c>
      <c r="O8" s="339">
        <v>0</v>
      </c>
      <c r="P8" s="339">
        <v>0</v>
      </c>
      <c r="Q8" s="339"/>
      <c r="R8" s="339"/>
      <c r="S8" s="339"/>
      <c r="T8" s="339"/>
      <c r="U8" s="339"/>
      <c r="V8" s="339"/>
      <c r="W8" s="339"/>
      <c r="X8" s="339"/>
      <c r="Y8" s="339"/>
      <c r="Z8" s="339"/>
      <c r="AA8" s="339"/>
      <c r="AB8" s="339"/>
      <c r="AC8" s="339">
        <v>5.0624091816328426E-4</v>
      </c>
      <c r="AD8" s="339">
        <v>5.489078846290646E-5</v>
      </c>
      <c r="AE8" s="339">
        <v>2.4466426444239714E-3</v>
      </c>
      <c r="AF8" s="339"/>
      <c r="AG8" s="339"/>
      <c r="AH8" s="339"/>
      <c r="AI8" s="339">
        <v>4.4193269833607629E-3</v>
      </c>
      <c r="AJ8" s="339">
        <v>0</v>
      </c>
      <c r="AK8" s="339">
        <v>8.8386539667215259E-3</v>
      </c>
      <c r="AL8" s="339"/>
      <c r="AM8" s="339"/>
      <c r="AN8" s="339"/>
      <c r="AO8" s="339">
        <v>2.272439076880689E-2</v>
      </c>
      <c r="AP8" s="339">
        <v>2.6077772709240553E-3</v>
      </c>
      <c r="AQ8" s="339">
        <v>6.0444263032399234E-2</v>
      </c>
      <c r="AR8" s="339"/>
      <c r="AS8" s="339"/>
      <c r="AT8" s="339"/>
      <c r="AU8" s="339"/>
      <c r="AV8" s="339"/>
      <c r="AW8" s="339"/>
      <c r="AX8" s="339"/>
      <c r="AY8" s="339"/>
      <c r="AZ8" s="339"/>
      <c r="BA8" s="339">
        <v>9.0877824215475741E-5</v>
      </c>
      <c r="BB8" s="339">
        <v>9.0877824215475741E-5</v>
      </c>
      <c r="BC8" s="339">
        <v>9.0877824215475741E-5</v>
      </c>
      <c r="BD8" s="339">
        <v>0.61981273436174578</v>
      </c>
      <c r="BE8" s="339">
        <v>0.46939990876632992</v>
      </c>
      <c r="BF8" s="339">
        <v>0.77022555995716169</v>
      </c>
      <c r="BG8" s="339">
        <v>8.2357828308421022E-3</v>
      </c>
      <c r="BH8" s="339">
        <v>6.5194431773101381E-4</v>
      </c>
      <c r="BI8" s="339">
        <v>1.8598234779199765E-2</v>
      </c>
      <c r="BJ8" s="339"/>
      <c r="BK8" s="339"/>
      <c r="BL8" s="339"/>
      <c r="BM8" s="339"/>
      <c r="BN8" s="339"/>
      <c r="BO8" s="339"/>
      <c r="BP8" s="339">
        <v>7.702255599571617E-3</v>
      </c>
      <c r="BQ8" s="339">
        <v>0</v>
      </c>
      <c r="BR8" s="339">
        <v>1.5404511199143234E-2</v>
      </c>
      <c r="BS8" s="339">
        <v>0</v>
      </c>
      <c r="BT8" s="339">
        <v>0</v>
      </c>
      <c r="BU8" s="339">
        <v>0</v>
      </c>
      <c r="BV8" s="339">
        <v>7.9175286921769634E-3</v>
      </c>
      <c r="BW8" s="339">
        <v>6.5194431773101381E-4</v>
      </c>
      <c r="BX8" s="339">
        <v>1.5404511199143234E-2</v>
      </c>
      <c r="BY8" s="339"/>
      <c r="BZ8" s="339"/>
      <c r="CA8" s="339"/>
      <c r="CB8" s="339"/>
      <c r="CC8" s="339"/>
      <c r="CD8" s="339"/>
      <c r="CE8" s="339"/>
      <c r="CF8" s="339"/>
      <c r="CG8" s="339"/>
      <c r="CH8" s="339"/>
      <c r="CI8" s="339"/>
      <c r="CJ8" s="339"/>
      <c r="CK8" s="339"/>
      <c r="CL8" s="339"/>
      <c r="CM8" s="339"/>
      <c r="CN8" s="339"/>
      <c r="CO8" s="339"/>
      <c r="CP8" s="339"/>
      <c r="CQ8" s="339">
        <v>0</v>
      </c>
      <c r="CR8" s="339">
        <v>0</v>
      </c>
      <c r="CS8" s="339">
        <v>0</v>
      </c>
      <c r="CT8" s="339">
        <v>7.1225797811630071E-3</v>
      </c>
      <c r="CU8" s="339">
        <v>0</v>
      </c>
      <c r="CV8" s="339">
        <v>1.2529085376767496E-2</v>
      </c>
      <c r="CW8" s="339">
        <v>5.2155545418481104</v>
      </c>
      <c r="CX8" s="339">
        <v>5.2155545418481104</v>
      </c>
      <c r="CY8" s="339">
        <v>5.2155545418481104</v>
      </c>
      <c r="CZ8" s="339"/>
      <c r="DA8" s="339"/>
      <c r="DB8" s="339"/>
      <c r="DC8" s="339"/>
      <c r="DD8" s="339"/>
      <c r="DE8" s="339"/>
      <c r="DF8" s="339"/>
      <c r="DG8" s="339"/>
      <c r="DH8" s="339"/>
      <c r="DI8" s="339"/>
      <c r="DJ8" s="339"/>
      <c r="DK8" s="339"/>
      <c r="DL8" s="339"/>
      <c r="DM8" s="339"/>
      <c r="DN8" s="339"/>
      <c r="DO8" s="339">
        <v>5.1360770343088094E-3</v>
      </c>
      <c r="DP8" s="339">
        <v>0</v>
      </c>
      <c r="DQ8" s="339">
        <v>1.2529085376767496E-2</v>
      </c>
      <c r="DR8" s="339">
        <v>8.0158033545361645E-3</v>
      </c>
      <c r="DS8" s="339">
        <v>0</v>
      </c>
      <c r="DT8" s="339">
        <v>2.3247793473999707E-2</v>
      </c>
      <c r="DU8" s="339">
        <v>172.53719697713487</v>
      </c>
      <c r="DV8" s="339">
        <v>2.3106766798714853</v>
      </c>
      <c r="DW8" s="339">
        <v>473.18798064362363</v>
      </c>
      <c r="DX8" s="339"/>
      <c r="DY8" s="339"/>
      <c r="DZ8" s="339"/>
      <c r="EA8" s="339"/>
      <c r="EB8" s="339"/>
      <c r="EC8" s="339"/>
      <c r="ED8" s="339"/>
      <c r="EE8" s="339"/>
      <c r="EF8" s="339"/>
      <c r="EG8" s="339">
        <v>6.5194431773101381E-4</v>
      </c>
      <c r="EH8" s="339">
        <v>6.5194431773101381E-4</v>
      </c>
      <c r="EI8" s="339">
        <v>6.5194431773101381E-4</v>
      </c>
      <c r="EJ8" s="339">
        <v>4.4193269833607629E-3</v>
      </c>
      <c r="EK8" s="339">
        <v>0</v>
      </c>
      <c r="EL8" s="339">
        <v>8.8386539667215259E-3</v>
      </c>
      <c r="EM8" s="339">
        <v>0.7582154708829697</v>
      </c>
      <c r="EN8" s="339">
        <v>6.2645426883837477E-4</v>
      </c>
      <c r="EO8" s="339">
        <v>3.9156657959687444</v>
      </c>
      <c r="EP8" s="339"/>
      <c r="EQ8" s="339"/>
      <c r="ER8" s="339"/>
      <c r="ES8" s="339">
        <v>4.7809249966941003E-3</v>
      </c>
      <c r="ET8" s="339">
        <v>0</v>
      </c>
      <c r="EU8" s="339">
        <v>1.4342774990082302E-2</v>
      </c>
      <c r="EV8" s="339"/>
      <c r="EW8" s="339"/>
      <c r="EX8" s="339"/>
      <c r="EY8" s="339"/>
      <c r="EZ8" s="339"/>
      <c r="FA8" s="339"/>
      <c r="FB8" s="339"/>
      <c r="FC8" s="339"/>
      <c r="FD8" s="339"/>
      <c r="FE8" s="339"/>
      <c r="FF8" s="339"/>
      <c r="FG8" s="339"/>
      <c r="FH8" s="339"/>
      <c r="FI8" s="339"/>
      <c r="FJ8" s="339"/>
      <c r="FK8" s="339">
        <v>2.9485059890253931E-2</v>
      </c>
      <c r="FL8" s="339">
        <v>3.9116659063860824E-3</v>
      </c>
      <c r="FM8" s="339">
        <v>0.15343543692839806</v>
      </c>
      <c r="FN8" s="339"/>
      <c r="FO8" s="339"/>
      <c r="FP8" s="339"/>
      <c r="FQ8" s="339">
        <v>4.142135862414649E-2</v>
      </c>
      <c r="FR8" s="339">
        <v>6.7978184651343995E-3</v>
      </c>
      <c r="FS8" s="339">
        <v>0.12873363045994582</v>
      </c>
      <c r="FT8" s="339">
        <v>1.4581384663585363E-3</v>
      </c>
      <c r="FU8" s="339">
        <v>1.5145813971714179E-4</v>
      </c>
      <c r="FV8" s="339">
        <v>5.8757876340601633E-3</v>
      </c>
      <c r="FW8" s="339">
        <v>5.2582361968544359E-3</v>
      </c>
      <c r="FX8" s="339">
        <v>1.7874577594781949E-3</v>
      </c>
      <c r="FY8" s="339">
        <v>8.7370873837600196E-3</v>
      </c>
      <c r="FZ8" s="339">
        <v>1.6829279089554333E-7</v>
      </c>
      <c r="GA8" s="339">
        <v>0</v>
      </c>
      <c r="GB8" s="339">
        <v>7.9449095469932192E-7</v>
      </c>
      <c r="GC8" s="339">
        <v>2.3193657270696028E-7</v>
      </c>
      <c r="GD8" s="339">
        <v>8.8125085340173673E-9</v>
      </c>
      <c r="GE8" s="339">
        <v>5.9494875454609648E-7</v>
      </c>
      <c r="GF8" s="339">
        <v>8.6961389844157341E-2</v>
      </c>
      <c r="GG8" s="339">
        <v>6.1282765866715293E-2</v>
      </c>
      <c r="GH8" s="339">
        <v>0.11264001382159938</v>
      </c>
      <c r="GI8" s="339">
        <v>1.6746661118271566E-2</v>
      </c>
      <c r="GJ8" s="339">
        <v>0</v>
      </c>
      <c r="GK8" s="339">
        <v>4.0051729117772404E-2</v>
      </c>
      <c r="GL8" s="339">
        <v>7.2057281708909154E-4</v>
      </c>
      <c r="GM8" s="339">
        <v>0</v>
      </c>
      <c r="GN8" s="339">
        <v>1.7396436548641329E-3</v>
      </c>
      <c r="GO8" s="339">
        <v>1.8842732053819949E-3</v>
      </c>
      <c r="GP8" s="339">
        <v>5.7601166891944796E-5</v>
      </c>
      <c r="GQ8" s="339">
        <v>5.4193702637789836E-3</v>
      </c>
      <c r="GR8" s="339">
        <v>1.1011427844724215E-6</v>
      </c>
      <c r="GS8" s="339">
        <v>0</v>
      </c>
      <c r="GT8" s="339">
        <v>3.848427874179856E-6</v>
      </c>
      <c r="GU8" s="339">
        <v>9.6160096228360709E-3</v>
      </c>
      <c r="GV8" s="339">
        <v>0</v>
      </c>
      <c r="GW8" s="339">
        <v>3.6970826877943765E-2</v>
      </c>
      <c r="GX8" s="339">
        <v>2.339829802087209E-3</v>
      </c>
      <c r="GY8" s="339">
        <v>2.3080939018175795E-4</v>
      </c>
      <c r="GZ8" s="339">
        <v>6.4655317352400555E-3</v>
      </c>
      <c r="HA8" s="339">
        <v>6.253849992464082E-6</v>
      </c>
      <c r="HB8" s="339">
        <v>7.1544513728069385E-9</v>
      </c>
      <c r="HC8" s="339">
        <v>2.4697771777497909E-5</v>
      </c>
      <c r="HD8" s="339"/>
      <c r="HE8" s="339"/>
      <c r="HF8" s="339"/>
      <c r="HG8" s="339">
        <v>1.3393823685536329E-4</v>
      </c>
      <c r="HH8" s="339">
        <v>0</v>
      </c>
      <c r="HI8" s="339">
        <v>2.6787647371072658E-4</v>
      </c>
      <c r="HJ8" s="339">
        <v>0.43549880424431719</v>
      </c>
      <c r="HK8" s="339">
        <v>0.43549880424431719</v>
      </c>
      <c r="HL8" s="339">
        <v>0.43549880424431719</v>
      </c>
      <c r="HM8" s="339">
        <v>1.8068474524081661E-3</v>
      </c>
      <c r="HN8" s="339">
        <v>0</v>
      </c>
      <c r="HO8" s="339">
        <v>8.8386539667215259E-3</v>
      </c>
      <c r="HP8" s="339">
        <v>1.742059568882695E-4</v>
      </c>
      <c r="HQ8" s="339">
        <v>1.742059568882695E-4</v>
      </c>
      <c r="HR8" s="339">
        <v>1.742059568882695E-4</v>
      </c>
      <c r="HS8" s="339"/>
      <c r="HT8" s="339"/>
      <c r="HU8" s="339"/>
      <c r="HV8" s="339">
        <v>3.2848402114211737E-7</v>
      </c>
      <c r="HW8" s="339">
        <v>0</v>
      </c>
      <c r="HX8" s="339">
        <v>7.4821857424487736E-7</v>
      </c>
      <c r="HY8" s="339">
        <v>0</v>
      </c>
      <c r="HZ8" s="339">
        <v>0</v>
      </c>
      <c r="IA8" s="339">
        <v>0</v>
      </c>
      <c r="IB8" s="339">
        <v>0.22096634916803815</v>
      </c>
      <c r="IC8" s="339">
        <v>0</v>
      </c>
      <c r="ID8" s="339">
        <v>0.44193269833607629</v>
      </c>
      <c r="IE8" s="339">
        <v>9.2013822640268264E-2</v>
      </c>
      <c r="IF8" s="339">
        <v>0</v>
      </c>
      <c r="IG8" s="339">
        <v>0.22520890307206451</v>
      </c>
      <c r="IH8" s="339"/>
      <c r="II8" s="339"/>
      <c r="IJ8" s="339"/>
      <c r="IK8" s="339"/>
      <c r="IL8" s="339"/>
      <c r="IM8" s="339"/>
      <c r="IN8" s="339">
        <v>7.290086545961478E-8</v>
      </c>
      <c r="IO8" s="339">
        <v>3.9823632776153434E-9</v>
      </c>
      <c r="IP8" s="339">
        <v>1.4181936764161421E-7</v>
      </c>
      <c r="IQ8" s="339">
        <v>1.62580978114954E-6</v>
      </c>
      <c r="IR8" s="339">
        <v>6.4358346293965188E-7</v>
      </c>
      <c r="IS8" s="339">
        <v>2.6080360993594283E-6</v>
      </c>
      <c r="IT8" s="339"/>
      <c r="IU8" s="339"/>
      <c r="IV8" s="339"/>
      <c r="IW8" s="339">
        <v>3.213868328788469E-3</v>
      </c>
      <c r="IX8" s="339">
        <v>3.213868328788469E-3</v>
      </c>
      <c r="IY8" s="339">
        <v>3.213868328788469E-3</v>
      </c>
      <c r="IZ8" s="339"/>
      <c r="JA8" s="339"/>
      <c r="JB8" s="339"/>
      <c r="JC8" s="339">
        <v>7.4487751075573788E-2</v>
      </c>
      <c r="JD8" s="339">
        <v>7.4487751075573788E-2</v>
      </c>
      <c r="JE8" s="339">
        <v>7.4487751075573788E-2</v>
      </c>
      <c r="JF8" s="339">
        <v>8.7060548846274819E-3</v>
      </c>
      <c r="JG8" s="339">
        <v>1.084291050022641E-3</v>
      </c>
      <c r="JH8" s="339">
        <v>3.6173128394373921E-2</v>
      </c>
      <c r="JI8" s="339"/>
      <c r="JJ8" s="339"/>
      <c r="JK8" s="339"/>
      <c r="JL8" s="339">
        <v>8.9933791801674392E-5</v>
      </c>
      <c r="JM8" s="339">
        <v>3.1253122116681066E-5</v>
      </c>
      <c r="JN8" s="339">
        <v>1.4861446148666771E-4</v>
      </c>
      <c r="JO8" s="339"/>
      <c r="JP8" s="339"/>
      <c r="JQ8" s="339"/>
      <c r="JR8" s="339">
        <v>3.6215433755366733E-7</v>
      </c>
      <c r="JS8" s="339">
        <v>8.7587114105886707E-8</v>
      </c>
      <c r="JT8" s="339">
        <v>6.3672156100144795E-7</v>
      </c>
      <c r="JU8" s="339">
        <v>1.8164140211906252E-9</v>
      </c>
      <c r="JV8" s="339">
        <v>8.9312002173275189E-11</v>
      </c>
      <c r="JW8" s="339">
        <v>3.5435160402079755E-9</v>
      </c>
      <c r="JX8" s="339"/>
      <c r="JY8" s="339"/>
      <c r="JZ8" s="339"/>
      <c r="KA8" s="339"/>
      <c r="KB8" s="339"/>
      <c r="KC8" s="339"/>
      <c r="KD8" s="339"/>
      <c r="KE8" s="339"/>
      <c r="KF8" s="339"/>
      <c r="KG8" s="339">
        <v>1.8560223674160692E-6</v>
      </c>
      <c r="KH8" s="339">
        <v>3.9931727910206269E-7</v>
      </c>
      <c r="KI8" s="339">
        <v>3.6530004468439524E-6</v>
      </c>
      <c r="KJ8" s="339"/>
      <c r="KK8" s="339"/>
      <c r="KL8" s="339"/>
      <c r="KM8" s="339">
        <v>1.4547670935747261E-2</v>
      </c>
      <c r="KN8" s="339">
        <v>1.3690830672351289E-2</v>
      </c>
      <c r="KO8" s="339">
        <v>1.5404511199143234E-2</v>
      </c>
      <c r="KP8" s="339">
        <v>2.5900866406602632E-2</v>
      </c>
      <c r="KQ8" s="339">
        <v>8.8386539667215259E-3</v>
      </c>
      <c r="KR8" s="339">
        <v>5.3459434053943135E-2</v>
      </c>
      <c r="KS8" s="339"/>
      <c r="KT8" s="339"/>
      <c r="KU8" s="339"/>
      <c r="KV8" s="339"/>
      <c r="KW8" s="339"/>
      <c r="KX8" s="339"/>
      <c r="KY8" s="339"/>
      <c r="KZ8" s="339"/>
      <c r="LA8" s="339"/>
      <c r="LB8" s="339">
        <v>2.0691439290748301E-6</v>
      </c>
      <c r="LC8" s="339">
        <v>5.8612844615410329E-7</v>
      </c>
      <c r="LD8" s="339">
        <v>3.5521594119955571E-6</v>
      </c>
      <c r="LE8" s="339">
        <v>1.2789749190736763E-3</v>
      </c>
      <c r="LF8" s="339">
        <v>1.2789749190736763E-3</v>
      </c>
      <c r="LG8" s="339">
        <v>1.2789749190736763E-3</v>
      </c>
      <c r="LH8" s="339">
        <v>0</v>
      </c>
      <c r="LI8" s="339">
        <v>0</v>
      </c>
      <c r="LJ8" s="339">
        <v>0</v>
      </c>
      <c r="LK8" s="339">
        <v>7.578989136472011E-7</v>
      </c>
      <c r="LL8" s="339">
        <v>7.578989136472011E-7</v>
      </c>
      <c r="LM8" s="339">
        <v>7.578989136472011E-7</v>
      </c>
      <c r="LN8" s="339"/>
      <c r="LO8" s="339"/>
      <c r="LP8" s="339"/>
      <c r="LQ8" s="339"/>
      <c r="LR8" s="339"/>
      <c r="LS8" s="339"/>
      <c r="LT8" s="339"/>
      <c r="LU8" s="339"/>
      <c r="LV8" s="339"/>
      <c r="LW8" s="339"/>
      <c r="LX8" s="339"/>
      <c r="LY8" s="339"/>
      <c r="LZ8" s="339">
        <v>5.6065862596137576E-6</v>
      </c>
      <c r="MA8" s="339">
        <v>5.8010185212884113E-7</v>
      </c>
      <c r="MB8" s="339">
        <v>1.0633070667098675E-5</v>
      </c>
      <c r="MC8" s="339"/>
      <c r="MD8" s="339"/>
      <c r="ME8" s="339"/>
      <c r="MF8" s="339">
        <v>3.5903445179327423E-6</v>
      </c>
      <c r="MG8" s="339">
        <v>3.5903445179327423E-6</v>
      </c>
      <c r="MH8" s="339">
        <v>3.5903445179327423E-6</v>
      </c>
      <c r="MI8" s="339"/>
      <c r="MJ8" s="339"/>
      <c r="MK8" s="339"/>
      <c r="ML8" s="339"/>
      <c r="MM8" s="339"/>
      <c r="MN8" s="339"/>
      <c r="MO8" s="339"/>
      <c r="MP8" s="339"/>
      <c r="MQ8" s="339"/>
      <c r="MR8" s="339"/>
      <c r="MS8" s="339"/>
      <c r="MT8" s="339"/>
      <c r="MU8" s="339"/>
      <c r="MV8" s="339"/>
      <c r="MW8" s="339"/>
      <c r="MX8" s="339"/>
      <c r="MY8" s="339"/>
      <c r="MZ8" s="339"/>
      <c r="NA8" s="339"/>
      <c r="NB8" s="339"/>
      <c r="NC8" s="339"/>
      <c r="ND8" s="339"/>
      <c r="NE8" s="339"/>
      <c r="NF8" s="339"/>
      <c r="NG8" s="339"/>
      <c r="NH8" s="339"/>
      <c r="NI8" s="339"/>
      <c r="NJ8" s="339"/>
      <c r="NK8" s="339"/>
      <c r="NL8" s="339"/>
      <c r="NM8" s="339"/>
      <c r="NN8" s="339"/>
      <c r="NO8" s="339"/>
      <c r="NP8" s="339">
        <v>2.4019807536300011E-6</v>
      </c>
      <c r="NQ8" s="339">
        <v>2.4019807536300011E-6</v>
      </c>
      <c r="NR8" s="339">
        <v>2.4019807536300011E-6</v>
      </c>
      <c r="NS8" s="339"/>
      <c r="NT8" s="339"/>
      <c r="NU8" s="339"/>
      <c r="NV8" s="339"/>
      <c r="NW8" s="339"/>
      <c r="NX8" s="339"/>
      <c r="NY8" s="339"/>
      <c r="NZ8" s="339"/>
      <c r="OA8" s="339"/>
      <c r="OB8" s="339">
        <v>6.7247790144094781E-4</v>
      </c>
      <c r="OC8" s="339">
        <v>6.7247790144094781E-4</v>
      </c>
      <c r="OD8" s="339">
        <v>6.7247790144094781E-4</v>
      </c>
      <c r="OE8" s="339">
        <v>1.2559753868937428E-7</v>
      </c>
      <c r="OF8" s="339">
        <v>1.2559753868937428E-7</v>
      </c>
      <c r="OG8" s="339">
        <v>1.2559753868937428E-7</v>
      </c>
      <c r="OH8" s="339">
        <v>4.9765650903813409E-4</v>
      </c>
      <c r="OI8" s="339">
        <v>4.9765650903813409E-4</v>
      </c>
      <c r="OJ8" s="339">
        <v>4.9765650903813409E-4</v>
      </c>
      <c r="OK8" s="339">
        <v>3.9854524172676782E-4</v>
      </c>
      <c r="OL8" s="339">
        <v>3.9854524172676782E-4</v>
      </c>
      <c r="OM8" s="339">
        <v>3.9854524172676782E-4</v>
      </c>
      <c r="ON8" s="339">
        <v>2.7090646035251571E-3</v>
      </c>
      <c r="OO8" s="339">
        <v>2.7090646035251571E-3</v>
      </c>
      <c r="OP8" s="339">
        <v>2.7090646035251571E-3</v>
      </c>
      <c r="OQ8" s="339"/>
      <c r="OR8" s="339"/>
      <c r="OS8" s="339"/>
      <c r="OT8" s="339"/>
      <c r="OU8" s="339"/>
      <c r="OV8" s="339"/>
      <c r="OW8" s="339"/>
      <c r="OX8" s="339"/>
      <c r="OY8" s="339"/>
      <c r="OZ8" s="339"/>
      <c r="PA8" s="339"/>
      <c r="PB8" s="339"/>
      <c r="PC8" s="339"/>
      <c r="PD8" s="339"/>
      <c r="PE8" s="339"/>
      <c r="PF8" s="339"/>
      <c r="PG8" s="339"/>
      <c r="PH8" s="339"/>
      <c r="PI8" s="339"/>
      <c r="PJ8" s="339"/>
      <c r="PK8" s="339"/>
      <c r="PL8" s="339"/>
      <c r="PM8" s="339"/>
      <c r="PN8" s="339"/>
      <c r="PO8" s="339"/>
      <c r="PP8" s="339"/>
      <c r="PQ8" s="339"/>
      <c r="PR8" s="339"/>
      <c r="PS8" s="339"/>
      <c r="PT8" s="339"/>
      <c r="PU8" s="339"/>
      <c r="PV8" s="339"/>
      <c r="PW8" s="339"/>
      <c r="PX8" s="339"/>
      <c r="PY8" s="339"/>
      <c r="PZ8" s="339"/>
      <c r="QA8" s="339"/>
      <c r="QB8" s="339"/>
      <c r="QC8" s="339"/>
      <c r="QD8" s="339"/>
      <c r="QE8" s="339"/>
      <c r="QF8" s="339"/>
      <c r="QG8" s="339">
        <v>4.7907271528856112</v>
      </c>
      <c r="QH8" s="339">
        <v>0</v>
      </c>
      <c r="QI8" s="339">
        <v>473.18798064362363</v>
      </c>
    </row>
    <row r="9" spans="1:451" x14ac:dyDescent="0.25">
      <c r="A9" s="363" t="s">
        <v>1412</v>
      </c>
      <c r="B9" s="339">
        <v>0.1037475969641979</v>
      </c>
      <c r="C9" s="339">
        <v>0</v>
      </c>
      <c r="D9" s="339">
        <v>0.91979396615158204</v>
      </c>
      <c r="E9" s="339"/>
      <c r="F9" s="339"/>
      <c r="G9" s="339"/>
      <c r="H9" s="339">
        <v>1.4830811563080887E-4</v>
      </c>
      <c r="I9" s="339">
        <v>0</v>
      </c>
      <c r="J9" s="339">
        <v>1.3347730406772799E-3</v>
      </c>
      <c r="K9" s="339">
        <v>0</v>
      </c>
      <c r="L9" s="339">
        <v>0</v>
      </c>
      <c r="M9" s="339">
        <v>0</v>
      </c>
      <c r="N9" s="339"/>
      <c r="O9" s="339"/>
      <c r="P9" s="339"/>
      <c r="Q9" s="339"/>
      <c r="R9" s="339"/>
      <c r="S9" s="339"/>
      <c r="T9" s="339"/>
      <c r="U9" s="339"/>
      <c r="V9" s="339"/>
      <c r="W9" s="339"/>
      <c r="X9" s="339"/>
      <c r="Y9" s="339"/>
      <c r="Z9" s="339"/>
      <c r="AA9" s="339"/>
      <c r="AB9" s="339"/>
      <c r="AC9" s="339">
        <v>0.54802049011146237</v>
      </c>
      <c r="AD9" s="339">
        <v>0</v>
      </c>
      <c r="AE9" s="339">
        <v>6.8999402814792363</v>
      </c>
      <c r="AF9" s="339"/>
      <c r="AG9" s="339"/>
      <c r="AH9" s="339"/>
      <c r="AI9" s="339">
        <v>0</v>
      </c>
      <c r="AJ9" s="339">
        <v>0</v>
      </c>
      <c r="AK9" s="339">
        <v>0</v>
      </c>
      <c r="AL9" s="339">
        <v>0</v>
      </c>
      <c r="AM9" s="339">
        <v>0</v>
      </c>
      <c r="AN9" s="339">
        <v>0</v>
      </c>
      <c r="AO9" s="339">
        <v>1.9689759876309301E-2</v>
      </c>
      <c r="AP9" s="339">
        <v>0</v>
      </c>
      <c r="AQ9" s="339">
        <v>0.21216580819229827</v>
      </c>
      <c r="AR9" s="339"/>
      <c r="AS9" s="339"/>
      <c r="AT9" s="339"/>
      <c r="AU9" s="339">
        <v>0</v>
      </c>
      <c r="AV9" s="339">
        <v>0</v>
      </c>
      <c r="AW9" s="339">
        <v>0</v>
      </c>
      <c r="AX9" s="339">
        <v>0</v>
      </c>
      <c r="AY9" s="339">
        <v>0</v>
      </c>
      <c r="AZ9" s="339">
        <v>0</v>
      </c>
      <c r="BA9" s="339">
        <v>5.4245711707616647E-6</v>
      </c>
      <c r="BB9" s="339">
        <v>0</v>
      </c>
      <c r="BC9" s="339">
        <v>2.1288197202673777E-5</v>
      </c>
      <c r="BD9" s="339">
        <v>3.0321640784059974E-2</v>
      </c>
      <c r="BE9" s="339">
        <v>0</v>
      </c>
      <c r="BF9" s="339">
        <v>0.13440418911909505</v>
      </c>
      <c r="BG9" s="339">
        <v>3.2096944678732836E-2</v>
      </c>
      <c r="BH9" s="339">
        <v>0</v>
      </c>
      <c r="BI9" s="339">
        <v>0.16801569781702233</v>
      </c>
      <c r="BJ9" s="339">
        <v>0</v>
      </c>
      <c r="BK9" s="339">
        <v>0</v>
      </c>
      <c r="BL9" s="339">
        <v>0</v>
      </c>
      <c r="BM9" s="339"/>
      <c r="BN9" s="339"/>
      <c r="BO9" s="339"/>
      <c r="BP9" s="339">
        <v>6.0237942651442056E-2</v>
      </c>
      <c r="BQ9" s="339">
        <v>0</v>
      </c>
      <c r="BR9" s="339">
        <v>0.31798064255005415</v>
      </c>
      <c r="BS9" s="339">
        <v>0</v>
      </c>
      <c r="BT9" s="339">
        <v>0</v>
      </c>
      <c r="BU9" s="339">
        <v>0</v>
      </c>
      <c r="BV9" s="339">
        <v>2.6412769261868151E-2</v>
      </c>
      <c r="BW9" s="339">
        <v>0</v>
      </c>
      <c r="BX9" s="339">
        <v>0.26980623007113075</v>
      </c>
      <c r="BY9" s="339"/>
      <c r="BZ9" s="339"/>
      <c r="CA9" s="339"/>
      <c r="CB9" s="339">
        <v>4.5647688571160078E-6</v>
      </c>
      <c r="CC9" s="339">
        <v>4.5647688571160078E-6</v>
      </c>
      <c r="CD9" s="339">
        <v>4.5647688571160078E-6</v>
      </c>
      <c r="CE9" s="339"/>
      <c r="CF9" s="339"/>
      <c r="CG9" s="339"/>
      <c r="CH9" s="339"/>
      <c r="CI9" s="339"/>
      <c r="CJ9" s="339"/>
      <c r="CK9" s="339">
        <v>0</v>
      </c>
      <c r="CL9" s="339">
        <v>0</v>
      </c>
      <c r="CM9" s="339">
        <v>0</v>
      </c>
      <c r="CN9" s="339">
        <v>7.8675622898982476E-3</v>
      </c>
      <c r="CO9" s="339">
        <v>7.8675622898982476E-3</v>
      </c>
      <c r="CP9" s="339">
        <v>7.8675622898982476E-3</v>
      </c>
      <c r="CQ9" s="339">
        <v>0</v>
      </c>
      <c r="CR9" s="339">
        <v>0</v>
      </c>
      <c r="CS9" s="339">
        <v>0</v>
      </c>
      <c r="CT9" s="339">
        <v>1.1702769076332328E-2</v>
      </c>
      <c r="CU9" s="339">
        <v>0</v>
      </c>
      <c r="CV9" s="339">
        <v>8.7096087241105832E-2</v>
      </c>
      <c r="CW9" s="339">
        <v>8.5635995824387995E-2</v>
      </c>
      <c r="CX9" s="339">
        <v>0</v>
      </c>
      <c r="CY9" s="339">
        <v>0.34254395980817537</v>
      </c>
      <c r="CZ9" s="339"/>
      <c r="DA9" s="339"/>
      <c r="DB9" s="339"/>
      <c r="DC9" s="339"/>
      <c r="DD9" s="339"/>
      <c r="DE9" s="339"/>
      <c r="DF9" s="339"/>
      <c r="DG9" s="339"/>
      <c r="DH9" s="339"/>
      <c r="DI9" s="339">
        <v>0</v>
      </c>
      <c r="DJ9" s="339">
        <v>0</v>
      </c>
      <c r="DK9" s="339">
        <v>0</v>
      </c>
      <c r="DL9" s="339"/>
      <c r="DM9" s="339"/>
      <c r="DN9" s="339"/>
      <c r="DO9" s="339">
        <v>1.3266701934533482E-2</v>
      </c>
      <c r="DP9" s="339">
        <v>0</v>
      </c>
      <c r="DQ9" s="339">
        <v>8.7096087241105832E-2</v>
      </c>
      <c r="DR9" s="339">
        <v>1.2925599698799851E-2</v>
      </c>
      <c r="DS9" s="339">
        <v>0</v>
      </c>
      <c r="DT9" s="339">
        <v>8.7096087241105832E-2</v>
      </c>
      <c r="DU9" s="339">
        <v>199.20689431331888</v>
      </c>
      <c r="DV9" s="339">
        <v>1.3471579733881278E-3</v>
      </c>
      <c r="DW9" s="339">
        <v>515.815527181844</v>
      </c>
      <c r="DX9" s="339">
        <v>1.3563855793684971E-4</v>
      </c>
      <c r="DY9" s="339">
        <v>-5.2001945086924035E-6</v>
      </c>
      <c r="DZ9" s="339">
        <v>2.8476290028244661E-4</v>
      </c>
      <c r="EA9" s="339"/>
      <c r="EB9" s="339"/>
      <c r="EC9" s="339"/>
      <c r="ED9" s="339">
        <v>0</v>
      </c>
      <c r="EE9" s="339">
        <v>0</v>
      </c>
      <c r="EF9" s="339">
        <v>0</v>
      </c>
      <c r="EG9" s="339">
        <v>3.902117349011378E-3</v>
      </c>
      <c r="EH9" s="339">
        <v>0</v>
      </c>
      <c r="EI9" s="339">
        <v>1.8395879323031643E-2</v>
      </c>
      <c r="EJ9" s="339">
        <v>0</v>
      </c>
      <c r="EK9" s="339">
        <v>0</v>
      </c>
      <c r="EL9" s="339">
        <v>0</v>
      </c>
      <c r="EM9" s="339">
        <v>0.11109031352951186</v>
      </c>
      <c r="EN9" s="339">
        <v>0</v>
      </c>
      <c r="EO9" s="339">
        <v>0.36544169422334727</v>
      </c>
      <c r="EP9" s="339">
        <v>3.6285141608981488E-5</v>
      </c>
      <c r="EQ9" s="339">
        <v>1.7299578055707764E-5</v>
      </c>
      <c r="ER9" s="339">
        <v>6.2389404302812964E-5</v>
      </c>
      <c r="ES9" s="339">
        <v>0</v>
      </c>
      <c r="ET9" s="339">
        <v>0</v>
      </c>
      <c r="EU9" s="339">
        <v>0</v>
      </c>
      <c r="EV9" s="339">
        <v>0</v>
      </c>
      <c r="EW9" s="339">
        <v>0</v>
      </c>
      <c r="EX9" s="339">
        <v>0</v>
      </c>
      <c r="EY9" s="339"/>
      <c r="EZ9" s="339"/>
      <c r="FA9" s="339"/>
      <c r="FB9" s="339"/>
      <c r="FC9" s="339"/>
      <c r="FD9" s="339"/>
      <c r="FE9" s="339">
        <v>6.6638990480491576E-4</v>
      </c>
      <c r="FF9" s="339">
        <v>0</v>
      </c>
      <c r="FG9" s="339">
        <v>1.998173098881023E-3</v>
      </c>
      <c r="FH9" s="339"/>
      <c r="FI9" s="339"/>
      <c r="FJ9" s="339"/>
      <c r="FK9" s="339">
        <v>0.15016124438795322</v>
      </c>
      <c r="FL9" s="339">
        <v>0</v>
      </c>
      <c r="FM9" s="339">
        <v>2.5116507235712535</v>
      </c>
      <c r="FN9" s="339">
        <v>5.0893649350349993E-7</v>
      </c>
      <c r="FO9" s="339">
        <v>5.0893649350349993E-7</v>
      </c>
      <c r="FP9" s="339">
        <v>5.0893649350349993E-7</v>
      </c>
      <c r="FQ9" s="339">
        <v>0.39024239992323084</v>
      </c>
      <c r="FR9" s="339">
        <v>0</v>
      </c>
      <c r="FS9" s="339">
        <v>5.1508462104488597</v>
      </c>
      <c r="FT9" s="339">
        <v>5.2240905411979387E-4</v>
      </c>
      <c r="FU9" s="339">
        <v>6.1041327253660843E-5</v>
      </c>
      <c r="FV9" s="339">
        <v>2.3926237493528835E-3</v>
      </c>
      <c r="FW9" s="339">
        <v>8.5076379571346413E-4</v>
      </c>
      <c r="FX9" s="339">
        <v>6.3194524678006532E-5</v>
      </c>
      <c r="FY9" s="339">
        <v>4.006400809899638E-3</v>
      </c>
      <c r="FZ9" s="339">
        <v>1.1830983978077867E-7</v>
      </c>
      <c r="GA9" s="339">
        <v>0</v>
      </c>
      <c r="GB9" s="339">
        <v>5.6199881419864946E-7</v>
      </c>
      <c r="GC9" s="339">
        <v>3.8341711889543072E-7</v>
      </c>
      <c r="GD9" s="339">
        <v>0</v>
      </c>
      <c r="GE9" s="339">
        <v>2.7015441695464586E-6</v>
      </c>
      <c r="GF9" s="339">
        <v>0.12989726819736691</v>
      </c>
      <c r="GG9" s="339">
        <v>6.3141007075383213E-2</v>
      </c>
      <c r="GH9" s="339">
        <v>0.20622243478463975</v>
      </c>
      <c r="GI9" s="339">
        <v>1.7214363834483225E-2</v>
      </c>
      <c r="GJ9" s="339">
        <v>0</v>
      </c>
      <c r="GK9" s="339">
        <v>4.3678037780614271E-2</v>
      </c>
      <c r="GL9" s="339">
        <v>8.2349454239050363E-4</v>
      </c>
      <c r="GM9" s="339">
        <v>0</v>
      </c>
      <c r="GN9" s="339">
        <v>3.2781509541242697E-3</v>
      </c>
      <c r="GO9" s="339">
        <v>7.7291838425151913E-5</v>
      </c>
      <c r="GP9" s="339">
        <v>0</v>
      </c>
      <c r="GQ9" s="339">
        <v>2.1805843820224031E-4</v>
      </c>
      <c r="GR9" s="339">
        <v>8.2241735821299303E-7</v>
      </c>
      <c r="GS9" s="339">
        <v>0</v>
      </c>
      <c r="GT9" s="339">
        <v>2.3436426828493148E-6</v>
      </c>
      <c r="GU9" s="339">
        <v>2.0266983619620888E-2</v>
      </c>
      <c r="GV9" s="339">
        <v>0</v>
      </c>
      <c r="GW9" s="339">
        <v>0.22422552526210004</v>
      </c>
      <c r="GX9" s="339">
        <v>9.7383948196411163E-4</v>
      </c>
      <c r="GY9" s="339">
        <v>-1.0123218650062266E-2</v>
      </c>
      <c r="GZ9" s="339">
        <v>6.4223951459243863E-3</v>
      </c>
      <c r="HA9" s="339">
        <v>1.9138199260915768E-6</v>
      </c>
      <c r="HB9" s="339">
        <v>0</v>
      </c>
      <c r="HC9" s="339">
        <v>4.8592173124333151E-6</v>
      </c>
      <c r="HD9" s="339">
        <v>4.9820231922497068E-8</v>
      </c>
      <c r="HE9" s="339">
        <v>4.9820231922497068E-8</v>
      </c>
      <c r="HF9" s="339">
        <v>4.9820231922497068E-8</v>
      </c>
      <c r="HG9" s="339">
        <v>5.2544284413562239E-4</v>
      </c>
      <c r="HH9" s="339">
        <v>0</v>
      </c>
      <c r="HI9" s="339">
        <v>1.7145953994247959E-3</v>
      </c>
      <c r="HJ9" s="339">
        <v>0.56217529284446821</v>
      </c>
      <c r="HK9" s="339">
        <v>0.20455661953735441</v>
      </c>
      <c r="HL9" s="339">
        <v>0.91979396615158204</v>
      </c>
      <c r="HM9" s="339">
        <v>6.415338784506279E-3</v>
      </c>
      <c r="HN9" s="339">
        <v>0</v>
      </c>
      <c r="HO9" s="339">
        <v>8.7096087241105832E-2</v>
      </c>
      <c r="HP9" s="339">
        <v>3.2836211956216086E-4</v>
      </c>
      <c r="HQ9" s="339">
        <v>3.2836211956216086E-4</v>
      </c>
      <c r="HR9" s="339">
        <v>3.2836211956216086E-4</v>
      </c>
      <c r="HS9" s="339">
        <v>0</v>
      </c>
      <c r="HT9" s="339">
        <v>0</v>
      </c>
      <c r="HU9" s="339">
        <v>0</v>
      </c>
      <c r="HV9" s="339">
        <v>4.0742002550049479E-7</v>
      </c>
      <c r="HW9" s="339">
        <v>0</v>
      </c>
      <c r="HX9" s="339">
        <v>8.4681015452538645E-7</v>
      </c>
      <c r="HY9" s="339">
        <v>8.1890135748219572E-2</v>
      </c>
      <c r="HZ9" s="339">
        <v>0</v>
      </c>
      <c r="IA9" s="339">
        <v>0.16378027149643914</v>
      </c>
      <c r="IB9" s="339">
        <v>0.38883154464498643</v>
      </c>
      <c r="IC9" s="339">
        <v>0</v>
      </c>
      <c r="ID9" s="339">
        <v>1.2263919548687761</v>
      </c>
      <c r="IE9" s="339">
        <v>5.7068577487126092E-2</v>
      </c>
      <c r="IF9" s="339">
        <v>0</v>
      </c>
      <c r="IG9" s="339">
        <v>0.1593348732268709</v>
      </c>
      <c r="IH9" s="339">
        <v>8.5912037588270041E-7</v>
      </c>
      <c r="II9" s="339">
        <v>4.6970231023594143E-8</v>
      </c>
      <c r="IJ9" s="339">
        <v>2.099487258936024E-6</v>
      </c>
      <c r="IK9" s="339">
        <v>1.4679544242759596E-5</v>
      </c>
      <c r="IL9" s="339">
        <v>1.4679544242759596E-5</v>
      </c>
      <c r="IM9" s="339">
        <v>1.4679544242759596E-5</v>
      </c>
      <c r="IN9" s="339">
        <v>2.3749258128995225E-7</v>
      </c>
      <c r="IO9" s="339">
        <v>0</v>
      </c>
      <c r="IP9" s="339">
        <v>6.0969122164635145E-7</v>
      </c>
      <c r="IQ9" s="339">
        <v>3.440310253121333E-6</v>
      </c>
      <c r="IR9" s="339">
        <v>1.1566888422348313E-6</v>
      </c>
      <c r="IS9" s="339">
        <v>7.0492133216816258E-6</v>
      </c>
      <c r="IT9" s="339">
        <v>0</v>
      </c>
      <c r="IU9" s="339">
        <v>0</v>
      </c>
      <c r="IV9" s="339">
        <v>0</v>
      </c>
      <c r="IW9" s="339">
        <v>7.5462185010468488E-2</v>
      </c>
      <c r="IX9" s="339">
        <v>6.2940498319185981E-2</v>
      </c>
      <c r="IY9" s="339">
        <v>8.9679911699779249E-2</v>
      </c>
      <c r="IZ9" s="339"/>
      <c r="JA9" s="339"/>
      <c r="JB9" s="339"/>
      <c r="JC9" s="339"/>
      <c r="JD9" s="339"/>
      <c r="JE9" s="339"/>
      <c r="JF9" s="339">
        <v>8.988509310163862E-3</v>
      </c>
      <c r="JG9" s="339">
        <v>-1.7887629070983809E-3</v>
      </c>
      <c r="JH9" s="339">
        <v>5.1727239136304871E-2</v>
      </c>
      <c r="JI9" s="339">
        <v>0</v>
      </c>
      <c r="JJ9" s="339">
        <v>0</v>
      </c>
      <c r="JK9" s="339">
        <v>0</v>
      </c>
      <c r="JL9" s="339">
        <v>6.2531903835306825E-5</v>
      </c>
      <c r="JM9" s="339">
        <v>-9.828367621419676E-5</v>
      </c>
      <c r="JN9" s="339">
        <v>3.0572000405244463E-4</v>
      </c>
      <c r="JO9" s="339">
        <v>3.7705338216917234E-5</v>
      </c>
      <c r="JP9" s="339">
        <v>3.7705338216917234E-5</v>
      </c>
      <c r="JQ9" s="339">
        <v>3.7705338216917234E-5</v>
      </c>
      <c r="JR9" s="339">
        <v>4.2405681201119118E-6</v>
      </c>
      <c r="JS9" s="339">
        <v>9.8980753018467405E-8</v>
      </c>
      <c r="JT9" s="339">
        <v>8.3821554872053563E-6</v>
      </c>
      <c r="JU9" s="339">
        <v>7.6446340416744564E-10</v>
      </c>
      <c r="JV9" s="339">
        <v>0</v>
      </c>
      <c r="JW9" s="339">
        <v>1.5289268083348913E-9</v>
      </c>
      <c r="JX9" s="339">
        <v>1.5057871772366501E-2</v>
      </c>
      <c r="JY9" s="339">
        <v>5.5521064427271902E-3</v>
      </c>
      <c r="JZ9" s="339">
        <v>3.4640327004566207E-2</v>
      </c>
      <c r="KA9" s="339"/>
      <c r="KB9" s="339"/>
      <c r="KC9" s="339"/>
      <c r="KD9" s="339"/>
      <c r="KE9" s="339"/>
      <c r="KF9" s="339"/>
      <c r="KG9" s="339">
        <v>2.8908978974904429E-7</v>
      </c>
      <c r="KH9" s="339">
        <v>0</v>
      </c>
      <c r="KI9" s="339">
        <v>7.6068289142888249E-7</v>
      </c>
      <c r="KJ9" s="339">
        <v>0</v>
      </c>
      <c r="KK9" s="339">
        <v>0</v>
      </c>
      <c r="KL9" s="339">
        <v>0</v>
      </c>
      <c r="KM9" s="339">
        <v>3.5990530053571231E-2</v>
      </c>
      <c r="KN9" s="339">
        <v>0</v>
      </c>
      <c r="KO9" s="339">
        <v>0.13967500208670269</v>
      </c>
      <c r="KP9" s="339">
        <v>0.91082059106656488</v>
      </c>
      <c r="KQ9" s="339">
        <v>0</v>
      </c>
      <c r="KR9" s="339">
        <v>4.128937023496321</v>
      </c>
      <c r="KS9" s="339">
        <v>2.5914361820152202E-4</v>
      </c>
      <c r="KT9" s="339">
        <v>2.4553572826484016E-4</v>
      </c>
      <c r="KU9" s="339">
        <v>2.7707092370106543E-4</v>
      </c>
      <c r="KV9" s="339">
        <v>1.0874137579969557E-5</v>
      </c>
      <c r="KW9" s="339">
        <v>1.0874137579969557E-5</v>
      </c>
      <c r="KX9" s="339">
        <v>1.0874137579969557E-5</v>
      </c>
      <c r="KY9" s="339">
        <v>8.9813865677929982E-4</v>
      </c>
      <c r="KZ9" s="339">
        <v>8.9813865677929982E-4</v>
      </c>
      <c r="LA9" s="339">
        <v>8.9813865677929982E-4</v>
      </c>
      <c r="LB9" s="339">
        <v>7.1794577169290308E-7</v>
      </c>
      <c r="LC9" s="339">
        <v>9.8089499121094169E-8</v>
      </c>
      <c r="LD9" s="339">
        <v>1.2029720164531312E-6</v>
      </c>
      <c r="LE9" s="339">
        <v>2.9637434748025553E-4</v>
      </c>
      <c r="LF9" s="339">
        <v>0</v>
      </c>
      <c r="LG9" s="339">
        <v>5.9274869496051105E-4</v>
      </c>
      <c r="LH9" s="339">
        <v>0.43092941681290314</v>
      </c>
      <c r="LI9" s="339">
        <v>3.8679173506265997E-6</v>
      </c>
      <c r="LJ9" s="339">
        <v>1.2367826128167845</v>
      </c>
      <c r="LK9" s="339">
        <v>0</v>
      </c>
      <c r="LL9" s="339">
        <v>0</v>
      </c>
      <c r="LM9" s="339">
        <v>0</v>
      </c>
      <c r="LN9" s="339">
        <v>2.1327348323437723E-4</v>
      </c>
      <c r="LO9" s="339">
        <v>1.0656658831801115E-4</v>
      </c>
      <c r="LP9" s="339">
        <v>2.916314211836164E-4</v>
      </c>
      <c r="LQ9" s="339">
        <v>1.0930389922013631E-5</v>
      </c>
      <c r="LR9" s="339">
        <v>1.0930389922013631E-5</v>
      </c>
      <c r="LS9" s="339">
        <v>1.0930389922013631E-5</v>
      </c>
      <c r="LT9" s="339">
        <v>0.31861195620888361</v>
      </c>
      <c r="LU9" s="339">
        <v>8.4668501442551041E-3</v>
      </c>
      <c r="LV9" s="339">
        <v>0.66790524019760111</v>
      </c>
      <c r="LW9" s="339">
        <v>0.34162267143032432</v>
      </c>
      <c r="LX9" s="339">
        <v>0.34162267143032432</v>
      </c>
      <c r="LY9" s="339">
        <v>0.34162267143032432</v>
      </c>
      <c r="LZ9" s="339">
        <v>1.1570676081964576E-4</v>
      </c>
      <c r="MA9" s="339">
        <v>3.8449327517329716E-6</v>
      </c>
      <c r="MB9" s="339">
        <v>3.2278735158647591E-4</v>
      </c>
      <c r="MC9" s="339">
        <v>2.9745934582876714E-2</v>
      </c>
      <c r="MD9" s="339">
        <v>2.9745934582876714E-2</v>
      </c>
      <c r="ME9" s="339">
        <v>2.9745934582876714E-2</v>
      </c>
      <c r="MF9" s="339"/>
      <c r="MG9" s="339"/>
      <c r="MH9" s="339"/>
      <c r="MI9" s="339"/>
      <c r="MJ9" s="339"/>
      <c r="MK9" s="339"/>
      <c r="ML9" s="339"/>
      <c r="MM9" s="339"/>
      <c r="MN9" s="339"/>
      <c r="MO9" s="339">
        <v>1.1379144115179657E-4</v>
      </c>
      <c r="MP9" s="339">
        <v>1.1379144115179657E-4</v>
      </c>
      <c r="MQ9" s="339">
        <v>1.1379144115179657E-4</v>
      </c>
      <c r="MR9" s="339">
        <v>1.5061311831515778E-7</v>
      </c>
      <c r="MS9" s="339">
        <v>1.5061311831515778E-7</v>
      </c>
      <c r="MT9" s="339">
        <v>1.5061311831515778E-7</v>
      </c>
      <c r="MU9" s="339"/>
      <c r="MV9" s="339"/>
      <c r="MW9" s="339"/>
      <c r="MX9" s="339">
        <v>6.4774575165150556E-7</v>
      </c>
      <c r="MY9" s="339">
        <v>6.4774575165150556E-7</v>
      </c>
      <c r="MZ9" s="339">
        <v>6.4774575165150556E-7</v>
      </c>
      <c r="NA9" s="339">
        <v>3.0073909898105615E-8</v>
      </c>
      <c r="NB9" s="339">
        <v>3.0073909898105615E-8</v>
      </c>
      <c r="NC9" s="339">
        <v>3.0073909898105615E-8</v>
      </c>
      <c r="ND9" s="339">
        <v>3.9327420635984261E-7</v>
      </c>
      <c r="NE9" s="339">
        <v>3.9327420635984261E-7</v>
      </c>
      <c r="NF9" s="339">
        <v>3.9327420635984261E-7</v>
      </c>
      <c r="NG9" s="339">
        <v>0</v>
      </c>
      <c r="NH9" s="339">
        <v>0</v>
      </c>
      <c r="NI9" s="339">
        <v>0</v>
      </c>
      <c r="NJ9" s="339">
        <v>0</v>
      </c>
      <c r="NK9" s="339">
        <v>0</v>
      </c>
      <c r="NL9" s="339">
        <v>0</v>
      </c>
      <c r="NM9" s="339">
        <v>1.272285724300216E-7</v>
      </c>
      <c r="NN9" s="339">
        <v>1.272285724300216E-7</v>
      </c>
      <c r="NO9" s="339">
        <v>1.272285724300216E-7</v>
      </c>
      <c r="NP9" s="339"/>
      <c r="NQ9" s="339"/>
      <c r="NR9" s="339"/>
      <c r="NS9" s="339"/>
      <c r="NT9" s="339"/>
      <c r="NU9" s="339"/>
      <c r="NV9" s="339"/>
      <c r="NW9" s="339"/>
      <c r="NX9" s="339"/>
      <c r="NY9" s="339"/>
      <c r="NZ9" s="339"/>
      <c r="OA9" s="339"/>
      <c r="OB9" s="339"/>
      <c r="OC9" s="339"/>
      <c r="OD9" s="339"/>
      <c r="OE9" s="339"/>
      <c r="OF9" s="339"/>
      <c r="OG9" s="339"/>
      <c r="OH9" s="339"/>
      <c r="OI9" s="339"/>
      <c r="OJ9" s="339"/>
      <c r="OK9" s="339"/>
      <c r="OL9" s="339"/>
      <c r="OM9" s="339"/>
      <c r="ON9" s="339"/>
      <c r="OO9" s="339"/>
      <c r="OP9" s="339"/>
      <c r="OQ9" s="339">
        <v>3.97771376541535E-5</v>
      </c>
      <c r="OR9" s="339">
        <v>3.97771376541535E-5</v>
      </c>
      <c r="OS9" s="339">
        <v>3.97771376541535E-5</v>
      </c>
      <c r="OT9" s="339">
        <v>7.7216782071129328E-3</v>
      </c>
      <c r="OU9" s="339">
        <v>7.7216782071129328E-3</v>
      </c>
      <c r="OV9" s="339">
        <v>7.7216782071129328E-3</v>
      </c>
      <c r="OW9" s="339"/>
      <c r="OX9" s="339"/>
      <c r="OY9" s="339"/>
      <c r="OZ9" s="339"/>
      <c r="PA9" s="339"/>
      <c r="PB9" s="339"/>
      <c r="PC9" s="339"/>
      <c r="PD9" s="339"/>
      <c r="PE9" s="339"/>
      <c r="PF9" s="339"/>
      <c r="PG9" s="339"/>
      <c r="PH9" s="339"/>
      <c r="PI9" s="339"/>
      <c r="PJ9" s="339"/>
      <c r="PK9" s="339"/>
      <c r="PL9" s="339"/>
      <c r="PM9" s="339"/>
      <c r="PN9" s="339"/>
      <c r="PO9" s="339"/>
      <c r="PP9" s="339"/>
      <c r="PQ9" s="339"/>
      <c r="PR9" s="339"/>
      <c r="PS9" s="339"/>
      <c r="PT9" s="339"/>
      <c r="PU9" s="339"/>
      <c r="PV9" s="339"/>
      <c r="PW9" s="339"/>
      <c r="PX9" s="339"/>
      <c r="PY9" s="339"/>
      <c r="PZ9" s="339"/>
      <c r="QA9" s="339"/>
      <c r="QB9" s="339"/>
      <c r="QC9" s="339"/>
      <c r="QD9" s="339"/>
      <c r="QE9" s="339"/>
      <c r="QF9" s="339"/>
      <c r="QG9" s="339">
        <v>4.5143756041871104</v>
      </c>
      <c r="QH9" s="339">
        <v>-1.0123218650062266E-2</v>
      </c>
      <c r="QI9" s="339">
        <v>515.815527181844</v>
      </c>
    </row>
    <row r="10" spans="1:451" x14ac:dyDescent="0.25">
      <c r="A10" s="363" t="s">
        <v>1346</v>
      </c>
      <c r="B10" s="339">
        <v>9.2833076378490906E-3</v>
      </c>
      <c r="C10" s="339">
        <v>0</v>
      </c>
      <c r="D10" s="339">
        <v>5.8893111229976335E-2</v>
      </c>
      <c r="E10" s="339">
        <v>3.1000413843066711E-8</v>
      </c>
      <c r="F10" s="339">
        <v>0</v>
      </c>
      <c r="G10" s="339">
        <v>6.2000827686133422E-8</v>
      </c>
      <c r="H10" s="339">
        <v>4.6962558930663196E-3</v>
      </c>
      <c r="I10" s="339">
        <v>0</v>
      </c>
      <c r="J10" s="339">
        <v>2.7235908672468275E-2</v>
      </c>
      <c r="K10" s="339">
        <v>0</v>
      </c>
      <c r="L10" s="339">
        <v>0</v>
      </c>
      <c r="M10" s="339">
        <v>0</v>
      </c>
      <c r="N10" s="339"/>
      <c r="O10" s="339"/>
      <c r="P10" s="339"/>
      <c r="Q10" s="339">
        <v>2.1107301599823037E-2</v>
      </c>
      <c r="R10" s="339">
        <v>1.0011828909095978E-2</v>
      </c>
      <c r="S10" s="339">
        <v>3.6921544592927992E-2</v>
      </c>
      <c r="T10" s="339">
        <v>8.441651154178101E-7</v>
      </c>
      <c r="U10" s="339">
        <v>8.441651154178101E-7</v>
      </c>
      <c r="V10" s="339">
        <v>8.441651154178101E-7</v>
      </c>
      <c r="W10" s="339">
        <v>0</v>
      </c>
      <c r="X10" s="339">
        <v>0</v>
      </c>
      <c r="Y10" s="339">
        <v>0</v>
      </c>
      <c r="Z10" s="339">
        <v>0.47652826208338644</v>
      </c>
      <c r="AA10" s="339">
        <v>0.47652826208338644</v>
      </c>
      <c r="AB10" s="339">
        <v>0.47652826208338644</v>
      </c>
      <c r="AC10" s="339">
        <v>2.3850020355224304</v>
      </c>
      <c r="AD10" s="339">
        <v>0</v>
      </c>
      <c r="AE10" s="339">
        <v>50.520340586565744</v>
      </c>
      <c r="AF10" s="339"/>
      <c r="AG10" s="339"/>
      <c r="AH10" s="339"/>
      <c r="AI10" s="339">
        <v>5.4306448019694207E-3</v>
      </c>
      <c r="AJ10" s="339">
        <v>0</v>
      </c>
      <c r="AK10" s="339">
        <v>3.7448995229969827E-2</v>
      </c>
      <c r="AL10" s="339">
        <v>0</v>
      </c>
      <c r="AM10" s="339">
        <v>0</v>
      </c>
      <c r="AN10" s="339">
        <v>0</v>
      </c>
      <c r="AO10" s="339">
        <v>6.175249877704206E-3</v>
      </c>
      <c r="AP10" s="339">
        <v>0</v>
      </c>
      <c r="AQ10" s="339">
        <v>5.5833612778559971E-2</v>
      </c>
      <c r="AR10" s="339">
        <v>2.4800331074453369E-8</v>
      </c>
      <c r="AS10" s="339">
        <v>2.4800331074453369E-8</v>
      </c>
      <c r="AT10" s="339">
        <v>2.4800331074453369E-8</v>
      </c>
      <c r="AU10" s="339">
        <v>6.9803064426757957E-3</v>
      </c>
      <c r="AV10" s="339">
        <v>0</v>
      </c>
      <c r="AW10" s="339">
        <v>2.7235908672468275E-2</v>
      </c>
      <c r="AX10" s="339">
        <v>3.2546247791773071E-2</v>
      </c>
      <c r="AY10" s="339">
        <v>0</v>
      </c>
      <c r="AZ10" s="339">
        <v>5.5152715061748257E-2</v>
      </c>
      <c r="BA10" s="339">
        <v>1.1833932233745384E-5</v>
      </c>
      <c r="BB10" s="339">
        <v>5.9591672221879397E-8</v>
      </c>
      <c r="BC10" s="339">
        <v>2.3608272795268889E-5</v>
      </c>
      <c r="BD10" s="339">
        <v>2.4117080206093929E-2</v>
      </c>
      <c r="BE10" s="339">
        <v>0</v>
      </c>
      <c r="BF10" s="339">
        <v>9.505348152518181E-2</v>
      </c>
      <c r="BG10" s="339">
        <v>3.9577678444469855E-3</v>
      </c>
      <c r="BH10" s="339">
        <v>0</v>
      </c>
      <c r="BI10" s="339">
        <v>2.7235908672468275E-2</v>
      </c>
      <c r="BJ10" s="339">
        <v>6.2000827686133422E-8</v>
      </c>
      <c r="BK10" s="339">
        <v>6.2000827686133422E-8</v>
      </c>
      <c r="BL10" s="339">
        <v>6.2000827686133422E-8</v>
      </c>
      <c r="BM10" s="339">
        <v>0</v>
      </c>
      <c r="BN10" s="339">
        <v>0</v>
      </c>
      <c r="BO10" s="339">
        <v>0</v>
      </c>
      <c r="BP10" s="339">
        <v>0.45846119616089265</v>
      </c>
      <c r="BQ10" s="339">
        <v>0</v>
      </c>
      <c r="BR10" s="339">
        <v>1.801943604914328</v>
      </c>
      <c r="BS10" s="339">
        <v>1.0117733627667403E-2</v>
      </c>
      <c r="BT10" s="339">
        <v>0</v>
      </c>
      <c r="BU10" s="339">
        <v>3.0353200883002206E-2</v>
      </c>
      <c r="BV10" s="339">
        <v>6.8922118282100748E-3</v>
      </c>
      <c r="BW10" s="339">
        <v>0</v>
      </c>
      <c r="BX10" s="339">
        <v>5.5833612778559971E-2</v>
      </c>
      <c r="BY10" s="339">
        <v>1.6160333100099101E-4</v>
      </c>
      <c r="BZ10" s="339">
        <v>0</v>
      </c>
      <c r="CA10" s="339">
        <v>3.2320666200198202E-4</v>
      </c>
      <c r="CB10" s="339">
        <v>3.3970888990125188</v>
      </c>
      <c r="CC10" s="339">
        <v>0</v>
      </c>
      <c r="CD10" s="339">
        <v>8.080166550049551</v>
      </c>
      <c r="CE10" s="339">
        <v>0</v>
      </c>
      <c r="CF10" s="339">
        <v>0</v>
      </c>
      <c r="CG10" s="339">
        <v>0</v>
      </c>
      <c r="CH10" s="339">
        <v>0</v>
      </c>
      <c r="CI10" s="339">
        <v>0</v>
      </c>
      <c r="CJ10" s="339">
        <v>0</v>
      </c>
      <c r="CK10" s="339"/>
      <c r="CL10" s="339"/>
      <c r="CM10" s="339"/>
      <c r="CN10" s="339"/>
      <c r="CO10" s="339"/>
      <c r="CP10" s="339"/>
      <c r="CQ10" s="339">
        <v>0</v>
      </c>
      <c r="CR10" s="339">
        <v>0</v>
      </c>
      <c r="CS10" s="339">
        <v>0</v>
      </c>
      <c r="CT10" s="339">
        <v>3.2097033390435735E-3</v>
      </c>
      <c r="CU10" s="339">
        <v>0</v>
      </c>
      <c r="CV10" s="339">
        <v>2.7235908672468275E-2</v>
      </c>
      <c r="CW10" s="339">
        <v>2.2146629970383285</v>
      </c>
      <c r="CX10" s="339">
        <v>0</v>
      </c>
      <c r="CY10" s="339">
        <v>23.848363596345965</v>
      </c>
      <c r="CZ10" s="339">
        <v>1.1247006550185181E-2</v>
      </c>
      <c r="DA10" s="339">
        <v>3.2320666200198202E-4</v>
      </c>
      <c r="DB10" s="339">
        <v>2.2170806438368381E-2</v>
      </c>
      <c r="DC10" s="339">
        <v>3.2320666200198202E-4</v>
      </c>
      <c r="DD10" s="339">
        <v>3.2320666200198202E-4</v>
      </c>
      <c r="DE10" s="339">
        <v>3.2320666200198202E-4</v>
      </c>
      <c r="DF10" s="339">
        <v>1.2038153369694064E-7</v>
      </c>
      <c r="DG10" s="339">
        <v>1.2038153369694064E-7</v>
      </c>
      <c r="DH10" s="339">
        <v>1.2038153369694064E-7</v>
      </c>
      <c r="DI10" s="339">
        <v>1.6556291390728475E-2</v>
      </c>
      <c r="DJ10" s="339">
        <v>1.6556291390728475E-2</v>
      </c>
      <c r="DK10" s="339">
        <v>1.6556291390728475E-2</v>
      </c>
      <c r="DL10" s="339">
        <v>0</v>
      </c>
      <c r="DM10" s="339">
        <v>0</v>
      </c>
      <c r="DN10" s="339">
        <v>0</v>
      </c>
      <c r="DO10" s="339">
        <v>5.9247560175539025E-3</v>
      </c>
      <c r="DP10" s="339">
        <v>0</v>
      </c>
      <c r="DQ10" s="339">
        <v>5.5152715061748257E-2</v>
      </c>
      <c r="DR10" s="339">
        <v>3.8803855031965084E-3</v>
      </c>
      <c r="DS10" s="339">
        <v>0</v>
      </c>
      <c r="DT10" s="339">
        <v>2.1209318406101099E-2</v>
      </c>
      <c r="DU10" s="339">
        <v>308.12912790559653</v>
      </c>
      <c r="DV10" s="339">
        <v>0</v>
      </c>
      <c r="DW10" s="339">
        <v>883.39666844964495</v>
      </c>
      <c r="DX10" s="339">
        <v>4.0216799833017497E-4</v>
      </c>
      <c r="DY10" s="339">
        <v>3.0365328550509881E-4</v>
      </c>
      <c r="DZ10" s="339">
        <v>5.0068271115525113E-4</v>
      </c>
      <c r="EA10" s="339">
        <v>0</v>
      </c>
      <c r="EB10" s="339">
        <v>0</v>
      </c>
      <c r="EC10" s="339">
        <v>0</v>
      </c>
      <c r="ED10" s="339">
        <v>3.2109171182018864E-2</v>
      </c>
      <c r="EE10" s="339">
        <v>3.2109171182018864E-2</v>
      </c>
      <c r="EF10" s="339">
        <v>3.2109171182018864E-2</v>
      </c>
      <c r="EG10" s="339">
        <v>6.8364152457422635E-3</v>
      </c>
      <c r="EH10" s="339">
        <v>0</v>
      </c>
      <c r="EI10" s="339">
        <v>5.5152715061748257E-2</v>
      </c>
      <c r="EJ10" s="339">
        <v>4.6858882971654364E-3</v>
      </c>
      <c r="EK10" s="339">
        <v>0</v>
      </c>
      <c r="EL10" s="339">
        <v>3.6921544592927992E-2</v>
      </c>
      <c r="EM10" s="339">
        <v>6.9409619420425381E-2</v>
      </c>
      <c r="EN10" s="339">
        <v>3.13410777314112E-8</v>
      </c>
      <c r="EO10" s="339">
        <v>0.29939852177565668</v>
      </c>
      <c r="EP10" s="339">
        <v>4.1711543393152985E-5</v>
      </c>
      <c r="EQ10" s="339">
        <v>2.9861444572760544E-5</v>
      </c>
      <c r="ER10" s="339">
        <v>5.3561642213545423E-5</v>
      </c>
      <c r="ES10" s="339">
        <v>3.6791758646063286E-3</v>
      </c>
      <c r="ET10" s="339">
        <v>0</v>
      </c>
      <c r="EU10" s="339">
        <v>1.1037527593818985E-2</v>
      </c>
      <c r="EV10" s="339">
        <v>1.6556291390728475E-2</v>
      </c>
      <c r="EW10" s="339">
        <v>1.6556291390728475E-2</v>
      </c>
      <c r="EX10" s="339">
        <v>1.6556291390728475E-2</v>
      </c>
      <c r="EY10" s="339">
        <v>6.2000827686133422E-8</v>
      </c>
      <c r="EZ10" s="339">
        <v>6.2000827686133422E-8</v>
      </c>
      <c r="FA10" s="339">
        <v>6.2000827686133422E-8</v>
      </c>
      <c r="FB10" s="339">
        <v>0</v>
      </c>
      <c r="FC10" s="339">
        <v>0</v>
      </c>
      <c r="FD10" s="339">
        <v>0</v>
      </c>
      <c r="FE10" s="339">
        <v>5.511823066894051E-3</v>
      </c>
      <c r="FF10" s="339">
        <v>0</v>
      </c>
      <c r="FG10" s="339">
        <v>2.7235908672468275E-2</v>
      </c>
      <c r="FH10" s="339">
        <v>0</v>
      </c>
      <c r="FI10" s="339">
        <v>0</v>
      </c>
      <c r="FJ10" s="339">
        <v>0</v>
      </c>
      <c r="FK10" s="339">
        <v>9.7212848876530554E-3</v>
      </c>
      <c r="FL10" s="339">
        <v>0</v>
      </c>
      <c r="FM10" s="339">
        <v>5.7876305928995085E-2</v>
      </c>
      <c r="FN10" s="339">
        <v>0</v>
      </c>
      <c r="FO10" s="339">
        <v>0</v>
      </c>
      <c r="FP10" s="339">
        <v>0</v>
      </c>
      <c r="FQ10" s="339">
        <v>1.3524636329093851E-2</v>
      </c>
      <c r="FR10" s="339">
        <v>0</v>
      </c>
      <c r="FS10" s="339">
        <v>6.3627955218303292E-2</v>
      </c>
      <c r="FT10" s="339">
        <v>6.5132257192241087E-4</v>
      </c>
      <c r="FU10" s="339">
        <v>0</v>
      </c>
      <c r="FV10" s="339">
        <v>1.6492209974732234E-3</v>
      </c>
      <c r="FW10" s="339">
        <v>2.995310067369813E-3</v>
      </c>
      <c r="FX10" s="339">
        <v>5.6684394448443273E-7</v>
      </c>
      <c r="FY10" s="339">
        <v>2.1014168569188283E-2</v>
      </c>
      <c r="FZ10" s="339">
        <v>7.5932454855894249E-8</v>
      </c>
      <c r="GA10" s="339">
        <v>0</v>
      </c>
      <c r="GB10" s="339">
        <v>3.2621131539019146E-7</v>
      </c>
      <c r="GC10" s="339">
        <v>1.8560044891759366E-7</v>
      </c>
      <c r="GD10" s="339">
        <v>0</v>
      </c>
      <c r="GE10" s="339">
        <v>9.0101123012451427E-7</v>
      </c>
      <c r="GF10" s="339">
        <v>6.9309321093010412E-2</v>
      </c>
      <c r="GG10" s="339">
        <v>0</v>
      </c>
      <c r="GH10" s="339">
        <v>0.24036512569586202</v>
      </c>
      <c r="GI10" s="339">
        <v>1.3667730163717041E-2</v>
      </c>
      <c r="GJ10" s="339">
        <v>0</v>
      </c>
      <c r="GK10" s="339">
        <v>3.5881699893675144E-2</v>
      </c>
      <c r="GL10" s="339">
        <v>1.436720729216286E-2</v>
      </c>
      <c r="GM10" s="339">
        <v>0</v>
      </c>
      <c r="GN10" s="339">
        <v>0.28998101714817826</v>
      </c>
      <c r="GO10" s="339">
        <v>1.1589316220092982E-3</v>
      </c>
      <c r="GP10" s="339">
        <v>1.3481844007296808E-5</v>
      </c>
      <c r="GQ10" s="339">
        <v>6.4976127369905335E-3</v>
      </c>
      <c r="GR10" s="339">
        <v>9.4179421092330285E-7</v>
      </c>
      <c r="GS10" s="339">
        <v>0</v>
      </c>
      <c r="GT10" s="339">
        <v>2.1361130157539581E-6</v>
      </c>
      <c r="GU10" s="339">
        <v>7.2552143156756985E-3</v>
      </c>
      <c r="GV10" s="339">
        <v>0</v>
      </c>
      <c r="GW10" s="339">
        <v>4.470198675496688E-2</v>
      </c>
      <c r="GX10" s="339">
        <v>2.192587599636248E-3</v>
      </c>
      <c r="GY10" s="339">
        <v>8.2092061508879342E-6</v>
      </c>
      <c r="GZ10" s="339">
        <v>1.0355558279970156E-2</v>
      </c>
      <c r="HA10" s="339">
        <v>2.8759756998768745E-6</v>
      </c>
      <c r="HB10" s="339">
        <v>0</v>
      </c>
      <c r="HC10" s="339">
        <v>1.0669543534703993E-5</v>
      </c>
      <c r="HD10" s="339">
        <v>9.2051660318018254E-7</v>
      </c>
      <c r="HE10" s="339">
        <v>9.2051660318018254E-7</v>
      </c>
      <c r="HF10" s="339">
        <v>9.2051660318018254E-7</v>
      </c>
      <c r="HG10" s="339">
        <v>4.7678884565249602E-4</v>
      </c>
      <c r="HH10" s="339">
        <v>9.753578015897985E-7</v>
      </c>
      <c r="HI10" s="339">
        <v>1.2779347237493151E-3</v>
      </c>
      <c r="HJ10" s="339">
        <v>0.52235372546243597</v>
      </c>
      <c r="HK10" s="339">
        <v>0</v>
      </c>
      <c r="HL10" s="339">
        <v>1.4890090111622236</v>
      </c>
      <c r="HM10" s="339">
        <v>1.9944413254061261E-3</v>
      </c>
      <c r="HN10" s="339">
        <v>0</v>
      </c>
      <c r="HO10" s="339">
        <v>1.7043202290616954E-2</v>
      </c>
      <c r="HP10" s="339">
        <v>1.9240053506186505E-3</v>
      </c>
      <c r="HQ10" s="339">
        <v>1.9240053506186505E-3</v>
      </c>
      <c r="HR10" s="339">
        <v>1.9240053506186505E-3</v>
      </c>
      <c r="HS10" s="339">
        <v>0.19882213330901841</v>
      </c>
      <c r="HT10" s="339">
        <v>0</v>
      </c>
      <c r="HU10" s="339">
        <v>0.59646639992705519</v>
      </c>
      <c r="HV10" s="339">
        <v>1.6431110091447664E-7</v>
      </c>
      <c r="HW10" s="339">
        <v>0</v>
      </c>
      <c r="HX10" s="339">
        <v>8.6698374728096298E-7</v>
      </c>
      <c r="HY10" s="339">
        <v>0</v>
      </c>
      <c r="HZ10" s="339">
        <v>0</v>
      </c>
      <c r="IA10" s="339">
        <v>0</v>
      </c>
      <c r="IB10" s="339">
        <v>0.14858629940369114</v>
      </c>
      <c r="IC10" s="339">
        <v>0</v>
      </c>
      <c r="ID10" s="339">
        <v>0.71237862623069392</v>
      </c>
      <c r="IE10" s="339">
        <v>0.22376949404809235</v>
      </c>
      <c r="IF10" s="339">
        <v>0</v>
      </c>
      <c r="IG10" s="339">
        <v>1.2758563513451657</v>
      </c>
      <c r="IH10" s="339">
        <v>1.4134059010073351E-6</v>
      </c>
      <c r="II10" s="339">
        <v>1.2787645396191069E-6</v>
      </c>
      <c r="IJ10" s="339">
        <v>1.5480472623955633E-6</v>
      </c>
      <c r="IK10" s="339"/>
      <c r="IL10" s="339"/>
      <c r="IM10" s="339"/>
      <c r="IN10" s="339">
        <v>3.9710055596757646E-7</v>
      </c>
      <c r="IO10" s="339">
        <v>4.0043914430634136E-9</v>
      </c>
      <c r="IP10" s="339">
        <v>1.0309098883339483E-6</v>
      </c>
      <c r="IQ10" s="339">
        <v>3.5705126647898452E-6</v>
      </c>
      <c r="IR10" s="339">
        <v>4.2926351232720491E-7</v>
      </c>
      <c r="IS10" s="339">
        <v>1.4525146495162623E-5</v>
      </c>
      <c r="IT10" s="339">
        <v>0</v>
      </c>
      <c r="IU10" s="339">
        <v>0</v>
      </c>
      <c r="IV10" s="339">
        <v>0</v>
      </c>
      <c r="IW10" s="339">
        <v>5.090740220817095E-2</v>
      </c>
      <c r="IX10" s="339">
        <v>5.4628437658150461E-3</v>
      </c>
      <c r="IY10" s="339">
        <v>0.14074194763040196</v>
      </c>
      <c r="IZ10" s="339">
        <v>3.56466707639254E-2</v>
      </c>
      <c r="JA10" s="339">
        <v>1.7874538613472039E-2</v>
      </c>
      <c r="JB10" s="339">
        <v>4.9973590100649966E-2</v>
      </c>
      <c r="JC10" s="339">
        <v>0.47788686255420987</v>
      </c>
      <c r="JD10" s="339">
        <v>0.11567041027523391</v>
      </c>
      <c r="JE10" s="339">
        <v>0.84010331483318579</v>
      </c>
      <c r="JF10" s="339">
        <v>7.8133457041855113E-3</v>
      </c>
      <c r="JG10" s="339">
        <v>9.2466477460431218E-4</v>
      </c>
      <c r="JH10" s="339">
        <v>2.3286371156140493E-2</v>
      </c>
      <c r="JI10" s="339"/>
      <c r="JJ10" s="339"/>
      <c r="JK10" s="339"/>
      <c r="JL10" s="339">
        <v>2.0136412069086523E-5</v>
      </c>
      <c r="JM10" s="339">
        <v>2.0136412069086523E-5</v>
      </c>
      <c r="JN10" s="339">
        <v>2.0136412069086523E-5</v>
      </c>
      <c r="JO10" s="339"/>
      <c r="JP10" s="339"/>
      <c r="JQ10" s="339"/>
      <c r="JR10" s="339">
        <v>4.7449120088033031E-7</v>
      </c>
      <c r="JS10" s="339">
        <v>0</v>
      </c>
      <c r="JT10" s="339">
        <v>4.0015847114440317E-6</v>
      </c>
      <c r="JU10" s="339">
        <v>6.0403653143910594E-10</v>
      </c>
      <c r="JV10" s="339">
        <v>0</v>
      </c>
      <c r="JW10" s="339">
        <v>2.843169294778855E-9</v>
      </c>
      <c r="JX10" s="339">
        <v>1.5527584250586248E-2</v>
      </c>
      <c r="JY10" s="339">
        <v>5.1967248977261493E-3</v>
      </c>
      <c r="JZ10" s="339">
        <v>2.5858443603446347E-2</v>
      </c>
      <c r="KA10" s="339"/>
      <c r="KB10" s="339"/>
      <c r="KC10" s="339"/>
      <c r="KD10" s="339">
        <v>3.615319168375705E-4</v>
      </c>
      <c r="KE10" s="339">
        <v>2.7884065806193744E-4</v>
      </c>
      <c r="KF10" s="339">
        <v>4.442231756132036E-4</v>
      </c>
      <c r="KG10" s="339">
        <v>1.6059044147092288E-6</v>
      </c>
      <c r="KH10" s="339">
        <v>1.9067677117902065E-8</v>
      </c>
      <c r="KI10" s="339">
        <v>3.4062011711189579E-6</v>
      </c>
      <c r="KJ10" s="339">
        <v>3.7423966745128419E-8</v>
      </c>
      <c r="KK10" s="339">
        <v>3.7423966745128419E-8</v>
      </c>
      <c r="KL10" s="339">
        <v>3.7423966745128419E-8</v>
      </c>
      <c r="KM10" s="339">
        <v>3.7756121193552476E-2</v>
      </c>
      <c r="KN10" s="339">
        <v>0</v>
      </c>
      <c r="KO10" s="339">
        <v>0.27508267759192956</v>
      </c>
      <c r="KP10" s="339">
        <v>1.7786382838924744</v>
      </c>
      <c r="KQ10" s="339">
        <v>0</v>
      </c>
      <c r="KR10" s="339">
        <v>11.037527593818984</v>
      </c>
      <c r="KS10" s="339">
        <v>3.7606868986016473E-4</v>
      </c>
      <c r="KT10" s="339">
        <v>3.7606868986016473E-4</v>
      </c>
      <c r="KU10" s="339">
        <v>3.7606868986016473E-4</v>
      </c>
      <c r="KV10" s="339"/>
      <c r="KW10" s="339"/>
      <c r="KX10" s="339"/>
      <c r="KY10" s="339"/>
      <c r="KZ10" s="339"/>
      <c r="LA10" s="339"/>
      <c r="LB10" s="339">
        <v>1.3082811925249345E-6</v>
      </c>
      <c r="LC10" s="339">
        <v>0</v>
      </c>
      <c r="LD10" s="339">
        <v>3.8651942848495443E-6</v>
      </c>
      <c r="LE10" s="339">
        <v>4.0250626042913964E-6</v>
      </c>
      <c r="LF10" s="339">
        <v>2.3435964639045176E-6</v>
      </c>
      <c r="LG10" s="339">
        <v>5.7065287446782756E-6</v>
      </c>
      <c r="LH10" s="339">
        <v>0</v>
      </c>
      <c r="LI10" s="339">
        <v>0</v>
      </c>
      <c r="LJ10" s="339">
        <v>0</v>
      </c>
      <c r="LK10" s="339">
        <v>1.1886589704686697E-11</v>
      </c>
      <c r="LL10" s="339">
        <v>1.1886589704686697E-11</v>
      </c>
      <c r="LM10" s="339">
        <v>1.1886589704686697E-11</v>
      </c>
      <c r="LN10" s="339">
        <v>5.0513849961801837E-5</v>
      </c>
      <c r="LO10" s="339">
        <v>5.0513849961801837E-5</v>
      </c>
      <c r="LP10" s="339">
        <v>5.0513849961801837E-5</v>
      </c>
      <c r="LQ10" s="339">
        <v>8.3345293502552625E-2</v>
      </c>
      <c r="LR10" s="339">
        <v>8.3345293502552625E-2</v>
      </c>
      <c r="LS10" s="339">
        <v>8.3345293502552625E-2</v>
      </c>
      <c r="LT10" s="339">
        <v>5.157024735758243E-3</v>
      </c>
      <c r="LU10" s="339">
        <v>5.157024735758243E-3</v>
      </c>
      <c r="LV10" s="339">
        <v>5.157024735758243E-3</v>
      </c>
      <c r="LW10" s="339"/>
      <c r="LX10" s="339"/>
      <c r="LY10" s="339"/>
      <c r="LZ10" s="339">
        <v>3.4868011147968527E-5</v>
      </c>
      <c r="MA10" s="339">
        <v>1.3290838564867879E-6</v>
      </c>
      <c r="MB10" s="339">
        <v>9.7993210917175132E-5</v>
      </c>
      <c r="MC10" s="339">
        <v>1.8307075335310178E-2</v>
      </c>
      <c r="MD10" s="339">
        <v>1.8307075335310178E-2</v>
      </c>
      <c r="ME10" s="339">
        <v>1.8307075335310178E-2</v>
      </c>
      <c r="MF10" s="339">
        <v>4.8239021704590238E-6</v>
      </c>
      <c r="MG10" s="339">
        <v>4.3868992226774108E-7</v>
      </c>
      <c r="MH10" s="339">
        <v>1.2232383180301507E-5</v>
      </c>
      <c r="MI10" s="339">
        <v>6.2000827686133422E-8</v>
      </c>
      <c r="MJ10" s="339">
        <v>6.2000827686133422E-8</v>
      </c>
      <c r="MK10" s="339">
        <v>6.2000827686133422E-8</v>
      </c>
      <c r="ML10" s="339">
        <v>0.91910736676231419</v>
      </c>
      <c r="MM10" s="339">
        <v>0.62529473274147573</v>
      </c>
      <c r="MN10" s="339">
        <v>1.2029722668624323</v>
      </c>
      <c r="MO10" s="339"/>
      <c r="MP10" s="339"/>
      <c r="MQ10" s="339"/>
      <c r="MR10" s="339"/>
      <c r="MS10" s="339"/>
      <c r="MT10" s="339"/>
      <c r="MU10" s="339">
        <v>4.201686606025766E-2</v>
      </c>
      <c r="MV10" s="339">
        <v>4.201686606025766E-2</v>
      </c>
      <c r="MW10" s="339">
        <v>4.201686606025766E-2</v>
      </c>
      <c r="MX10" s="339"/>
      <c r="MY10" s="339"/>
      <c r="MZ10" s="339"/>
      <c r="NA10" s="339"/>
      <c r="NB10" s="339"/>
      <c r="NC10" s="339"/>
      <c r="ND10" s="339"/>
      <c r="NE10" s="339"/>
      <c r="NF10" s="339"/>
      <c r="NG10" s="339"/>
      <c r="NH10" s="339"/>
      <c r="NI10" s="339"/>
      <c r="NJ10" s="339"/>
      <c r="NK10" s="339"/>
      <c r="NL10" s="339"/>
      <c r="NM10" s="339"/>
      <c r="NN10" s="339"/>
      <c r="NO10" s="339"/>
      <c r="NP10" s="339"/>
      <c r="NQ10" s="339"/>
      <c r="NR10" s="339"/>
      <c r="NS10" s="339"/>
      <c r="NT10" s="339"/>
      <c r="NU10" s="339"/>
      <c r="NV10" s="339">
        <v>3.6529568845968192E-7</v>
      </c>
      <c r="NW10" s="339">
        <v>3.6529568845968192E-7</v>
      </c>
      <c r="NX10" s="339">
        <v>3.6529568845968192E-7</v>
      </c>
      <c r="NY10" s="339"/>
      <c r="NZ10" s="339"/>
      <c r="OA10" s="339"/>
      <c r="OB10" s="339"/>
      <c r="OC10" s="339"/>
      <c r="OD10" s="339"/>
      <c r="OE10" s="339"/>
      <c r="OF10" s="339"/>
      <c r="OG10" s="339"/>
      <c r="OH10" s="339"/>
      <c r="OI10" s="339"/>
      <c r="OJ10" s="339"/>
      <c r="OK10" s="339"/>
      <c r="OL10" s="339"/>
      <c r="OM10" s="339"/>
      <c r="ON10" s="339"/>
      <c r="OO10" s="339"/>
      <c r="OP10" s="339"/>
      <c r="OQ10" s="339"/>
      <c r="OR10" s="339"/>
      <c r="OS10" s="339"/>
      <c r="OT10" s="339">
        <v>4.7031522747176388E-3</v>
      </c>
      <c r="OU10" s="339">
        <v>4.7031522747176388E-3</v>
      </c>
      <c r="OV10" s="339">
        <v>4.7031522747176388E-3</v>
      </c>
      <c r="OW10" s="339">
        <v>0</v>
      </c>
      <c r="OX10" s="339">
        <v>0</v>
      </c>
      <c r="OY10" s="339">
        <v>0</v>
      </c>
      <c r="OZ10" s="339"/>
      <c r="PA10" s="339"/>
      <c r="PB10" s="339"/>
      <c r="PC10" s="339"/>
      <c r="PD10" s="339"/>
      <c r="PE10" s="339"/>
      <c r="PF10" s="339"/>
      <c r="PG10" s="339"/>
      <c r="PH10" s="339"/>
      <c r="PI10" s="339"/>
      <c r="PJ10" s="339"/>
      <c r="PK10" s="339"/>
      <c r="PL10" s="339"/>
      <c r="PM10" s="339"/>
      <c r="PN10" s="339"/>
      <c r="PO10" s="339"/>
      <c r="PP10" s="339"/>
      <c r="PQ10" s="339"/>
      <c r="PR10" s="339"/>
      <c r="PS10" s="339"/>
      <c r="PT10" s="339"/>
      <c r="PU10" s="339"/>
      <c r="PV10" s="339"/>
      <c r="PW10" s="339"/>
      <c r="PX10" s="339"/>
      <c r="PY10" s="339"/>
      <c r="PZ10" s="339"/>
      <c r="QA10" s="339">
        <v>1.5165757219917309E-6</v>
      </c>
      <c r="QB10" s="339">
        <v>1.5165757219917309E-6</v>
      </c>
      <c r="QC10" s="339">
        <v>1.5165757219917309E-6</v>
      </c>
      <c r="QD10" s="339">
        <v>6.5216108725726053E-6</v>
      </c>
      <c r="QE10" s="339">
        <v>1.1427062522766455E-6</v>
      </c>
      <c r="QF10" s="339">
        <v>1.6138114501301673E-5</v>
      </c>
      <c r="QG10" s="339">
        <v>8.1595280532644789</v>
      </c>
      <c r="QH10" s="339">
        <v>0</v>
      </c>
      <c r="QI10" s="339">
        <v>883.39666844964495</v>
      </c>
    </row>
    <row r="11" spans="1:451" x14ac:dyDescent="0.25">
      <c r="A11" s="363" t="s">
        <v>2018</v>
      </c>
      <c r="B11" s="339">
        <v>3.014638696835828E-2</v>
      </c>
      <c r="C11" s="339">
        <v>0</v>
      </c>
      <c r="D11" s="339">
        <v>0.91979396615158204</v>
      </c>
      <c r="E11" s="339">
        <v>3.1000413843066711E-8</v>
      </c>
      <c r="F11" s="339">
        <v>0</v>
      </c>
      <c r="G11" s="339">
        <v>6.2000827686133422E-8</v>
      </c>
      <c r="H11" s="339">
        <v>1.735179741362135E-3</v>
      </c>
      <c r="I11" s="339">
        <v>0</v>
      </c>
      <c r="J11" s="339">
        <v>2.7235908672468275E-2</v>
      </c>
      <c r="K11" s="339">
        <v>0</v>
      </c>
      <c r="L11" s="339">
        <v>0</v>
      </c>
      <c r="M11" s="339">
        <v>0</v>
      </c>
      <c r="N11" s="339">
        <v>0</v>
      </c>
      <c r="O11" s="339">
        <v>0</v>
      </c>
      <c r="P11" s="339">
        <v>0</v>
      </c>
      <c r="Q11" s="339">
        <v>2.1107301599823037E-2</v>
      </c>
      <c r="R11" s="339">
        <v>1.0011828909095978E-2</v>
      </c>
      <c r="S11" s="339">
        <v>3.6921544592927992E-2</v>
      </c>
      <c r="T11" s="339">
        <v>8.441651154178101E-7</v>
      </c>
      <c r="U11" s="339">
        <v>8.441651154178101E-7</v>
      </c>
      <c r="V11" s="339">
        <v>8.441651154178101E-7</v>
      </c>
      <c r="W11" s="339">
        <v>0</v>
      </c>
      <c r="X11" s="339">
        <v>0</v>
      </c>
      <c r="Y11" s="339">
        <v>0</v>
      </c>
      <c r="Z11" s="339">
        <v>0.47652826208338644</v>
      </c>
      <c r="AA11" s="339">
        <v>0.47652826208338644</v>
      </c>
      <c r="AB11" s="339">
        <v>0.47652826208338644</v>
      </c>
      <c r="AC11" s="339">
        <v>1.6864402602810935</v>
      </c>
      <c r="AD11" s="339">
        <v>0</v>
      </c>
      <c r="AE11" s="339">
        <v>55.2281399141186</v>
      </c>
      <c r="AF11" s="339">
        <v>3.1935214809741244E-4</v>
      </c>
      <c r="AG11" s="339">
        <v>3.1935214809741244E-4</v>
      </c>
      <c r="AH11" s="339">
        <v>3.1935214809741244E-4</v>
      </c>
      <c r="AI11" s="339">
        <v>2.8372772500174222E-3</v>
      </c>
      <c r="AJ11" s="339">
        <v>0</v>
      </c>
      <c r="AK11" s="339">
        <v>3.7448995229969827E-2</v>
      </c>
      <c r="AL11" s="339">
        <v>0</v>
      </c>
      <c r="AM11" s="339">
        <v>0</v>
      </c>
      <c r="AN11" s="339">
        <v>0</v>
      </c>
      <c r="AO11" s="339">
        <v>1.7414350548313938E-2</v>
      </c>
      <c r="AP11" s="339">
        <v>0</v>
      </c>
      <c r="AQ11" s="339">
        <v>0.21216580819229827</v>
      </c>
      <c r="AR11" s="339">
        <v>2.4800331074453369E-8</v>
      </c>
      <c r="AS11" s="339">
        <v>2.4800331074453369E-8</v>
      </c>
      <c r="AT11" s="339">
        <v>2.4800331074453369E-8</v>
      </c>
      <c r="AU11" s="339">
        <v>2.6869301306810534E-3</v>
      </c>
      <c r="AV11" s="339">
        <v>0</v>
      </c>
      <c r="AW11" s="339">
        <v>2.7235908672468275E-2</v>
      </c>
      <c r="AX11" s="339">
        <v>1.5416510018032962E-2</v>
      </c>
      <c r="AY11" s="339">
        <v>0</v>
      </c>
      <c r="AZ11" s="339">
        <v>5.5152715061748257E-2</v>
      </c>
      <c r="BA11" s="339">
        <v>1.7030496670751647E-5</v>
      </c>
      <c r="BB11" s="339">
        <v>0</v>
      </c>
      <c r="BC11" s="339">
        <v>9.0877824215475741E-5</v>
      </c>
      <c r="BD11" s="339">
        <v>7.8185955905431315E-2</v>
      </c>
      <c r="BE11" s="339">
        <v>0</v>
      </c>
      <c r="BF11" s="339">
        <v>0.77022555995716169</v>
      </c>
      <c r="BG11" s="339">
        <v>1.6143156445734157E-2</v>
      </c>
      <c r="BH11" s="339">
        <v>0</v>
      </c>
      <c r="BI11" s="339">
        <v>0.27304228680361803</v>
      </c>
      <c r="BJ11" s="339">
        <v>3.1000413843066711E-8</v>
      </c>
      <c r="BK11" s="339">
        <v>0</v>
      </c>
      <c r="BL11" s="339">
        <v>6.2000827686133422E-8</v>
      </c>
      <c r="BM11" s="339">
        <v>0</v>
      </c>
      <c r="BN11" s="339">
        <v>0</v>
      </c>
      <c r="BO11" s="339">
        <v>0</v>
      </c>
      <c r="BP11" s="339">
        <v>0.22410554162801888</v>
      </c>
      <c r="BQ11" s="339">
        <v>0</v>
      </c>
      <c r="BR11" s="339">
        <v>1.801943604914328</v>
      </c>
      <c r="BS11" s="339">
        <v>0.1068383233256727</v>
      </c>
      <c r="BT11" s="339">
        <v>0</v>
      </c>
      <c r="BU11" s="339">
        <v>1.6723479623044926</v>
      </c>
      <c r="BV11" s="339">
        <v>1.4174769524807201E-2</v>
      </c>
      <c r="BW11" s="339">
        <v>0</v>
      </c>
      <c r="BX11" s="339">
        <v>0.26980623007113075</v>
      </c>
      <c r="BY11" s="339">
        <v>1.6160333100099101E-4</v>
      </c>
      <c r="BZ11" s="339">
        <v>0</v>
      </c>
      <c r="CA11" s="339">
        <v>3.2320666200198202E-4</v>
      </c>
      <c r="CB11" s="339">
        <v>2.1231811324789316</v>
      </c>
      <c r="CC11" s="339">
        <v>0</v>
      </c>
      <c r="CD11" s="339">
        <v>8.080166550049551</v>
      </c>
      <c r="CE11" s="339">
        <v>0</v>
      </c>
      <c r="CF11" s="339">
        <v>0</v>
      </c>
      <c r="CG11" s="339">
        <v>0</v>
      </c>
      <c r="CH11" s="339">
        <v>0</v>
      </c>
      <c r="CI11" s="339">
        <v>0</v>
      </c>
      <c r="CJ11" s="339">
        <v>0</v>
      </c>
      <c r="CK11" s="339">
        <v>0</v>
      </c>
      <c r="CL11" s="339">
        <v>0</v>
      </c>
      <c r="CM11" s="339">
        <v>0</v>
      </c>
      <c r="CN11" s="339">
        <v>7.8675622898982476E-3</v>
      </c>
      <c r="CO11" s="339">
        <v>7.8675622898982476E-3</v>
      </c>
      <c r="CP11" s="339">
        <v>7.8675622898982476E-3</v>
      </c>
      <c r="CQ11" s="339">
        <v>3.2278775007715393E-2</v>
      </c>
      <c r="CR11" s="339">
        <v>0</v>
      </c>
      <c r="CS11" s="339">
        <v>0.54873917513116166</v>
      </c>
      <c r="CT11" s="339">
        <v>4.4775315209910948E-3</v>
      </c>
      <c r="CU11" s="339">
        <v>0</v>
      </c>
      <c r="CV11" s="339">
        <v>8.7096087241105832E-2</v>
      </c>
      <c r="CW11" s="339">
        <v>1.4934224994193015</v>
      </c>
      <c r="CX11" s="339">
        <v>0</v>
      </c>
      <c r="CY11" s="339">
        <v>23.848363596345965</v>
      </c>
      <c r="CZ11" s="339">
        <v>1.1247006550185181E-2</v>
      </c>
      <c r="DA11" s="339">
        <v>3.2320666200198202E-4</v>
      </c>
      <c r="DB11" s="339">
        <v>2.2170806438368381E-2</v>
      </c>
      <c r="DC11" s="339">
        <v>1.6184136507375578E-4</v>
      </c>
      <c r="DD11" s="339">
        <v>4.7606814552953302E-7</v>
      </c>
      <c r="DE11" s="339">
        <v>3.2320666200198202E-4</v>
      </c>
      <c r="DF11" s="339">
        <v>1.2038153369694064E-7</v>
      </c>
      <c r="DG11" s="339">
        <v>1.2038153369694064E-7</v>
      </c>
      <c r="DH11" s="339">
        <v>1.2038153369694064E-7</v>
      </c>
      <c r="DI11" s="339">
        <v>8.2781456953642373E-3</v>
      </c>
      <c r="DJ11" s="339">
        <v>0</v>
      </c>
      <c r="DK11" s="339">
        <v>1.6556291390728475E-2</v>
      </c>
      <c r="DL11" s="339">
        <v>0</v>
      </c>
      <c r="DM11" s="339">
        <v>0</v>
      </c>
      <c r="DN11" s="339">
        <v>0</v>
      </c>
      <c r="DO11" s="339">
        <v>1.4862693367873915E-2</v>
      </c>
      <c r="DP11" s="339">
        <v>0</v>
      </c>
      <c r="DQ11" s="339">
        <v>0.15156882107993774</v>
      </c>
      <c r="DR11" s="339">
        <v>4.1681982460996643E-2</v>
      </c>
      <c r="DS11" s="339">
        <v>0</v>
      </c>
      <c r="DT11" s="339">
        <v>1.6723479623044926</v>
      </c>
      <c r="DU11" s="339">
        <v>234.8705260917335</v>
      </c>
      <c r="DV11" s="339">
        <v>0</v>
      </c>
      <c r="DW11" s="339">
        <v>1313.5964493594604</v>
      </c>
      <c r="DX11" s="339">
        <v>8.4984302101103512E-4</v>
      </c>
      <c r="DY11" s="339">
        <v>-5.2001945086924035E-6</v>
      </c>
      <c r="DZ11" s="339">
        <v>6.6022128471490442E-3</v>
      </c>
      <c r="EA11" s="339">
        <v>3.7334437086092714E-2</v>
      </c>
      <c r="EB11" s="339">
        <v>0</v>
      </c>
      <c r="EC11" s="339">
        <v>7.4668874172185429E-2</v>
      </c>
      <c r="ED11" s="339">
        <v>1.6054585591009432E-2</v>
      </c>
      <c r="EE11" s="339">
        <v>0</v>
      </c>
      <c r="EF11" s="339">
        <v>3.2109171182018864E-2</v>
      </c>
      <c r="EG11" s="339">
        <v>4.3827916246782792E-3</v>
      </c>
      <c r="EH11" s="339">
        <v>0</v>
      </c>
      <c r="EI11" s="339">
        <v>5.5152715061748257E-2</v>
      </c>
      <c r="EJ11" s="339">
        <v>3.4047913715493511E-3</v>
      </c>
      <c r="EK11" s="339">
        <v>0</v>
      </c>
      <c r="EL11" s="339">
        <v>3.6921544592927992E-2</v>
      </c>
      <c r="EM11" s="339">
        <v>0.16971910315171793</v>
      </c>
      <c r="EN11" s="339">
        <v>0</v>
      </c>
      <c r="EO11" s="339">
        <v>3.9156657959687444</v>
      </c>
      <c r="EP11" s="339">
        <v>2.9738070492026965E-5</v>
      </c>
      <c r="EQ11" s="339">
        <v>5.7455881547234903E-6</v>
      </c>
      <c r="ER11" s="339">
        <v>6.2389404302812964E-5</v>
      </c>
      <c r="ES11" s="339">
        <v>9.1013805314985194E-2</v>
      </c>
      <c r="ET11" s="339">
        <v>0</v>
      </c>
      <c r="EU11" s="339">
        <v>1.6723479623044926</v>
      </c>
      <c r="EV11" s="339">
        <v>8.2781456953642373E-3</v>
      </c>
      <c r="EW11" s="339">
        <v>0</v>
      </c>
      <c r="EX11" s="339">
        <v>1.6556291390728475E-2</v>
      </c>
      <c r="EY11" s="339">
        <v>6.2000827686133422E-8</v>
      </c>
      <c r="EZ11" s="339">
        <v>6.2000827686133422E-8</v>
      </c>
      <c r="FA11" s="339">
        <v>6.2000827686133422E-8</v>
      </c>
      <c r="FB11" s="339">
        <v>0</v>
      </c>
      <c r="FC11" s="339">
        <v>0</v>
      </c>
      <c r="FD11" s="339">
        <v>0</v>
      </c>
      <c r="FE11" s="339">
        <v>0.12166670328983972</v>
      </c>
      <c r="FF11" s="339">
        <v>0</v>
      </c>
      <c r="FG11" s="339">
        <v>1.6723479623044926</v>
      </c>
      <c r="FH11" s="339">
        <v>0</v>
      </c>
      <c r="FI11" s="339">
        <v>0</v>
      </c>
      <c r="FJ11" s="339">
        <v>0</v>
      </c>
      <c r="FK11" s="339">
        <v>5.4738388711567325E-2</v>
      </c>
      <c r="FL11" s="339">
        <v>0</v>
      </c>
      <c r="FM11" s="339">
        <v>2.5116507235712535</v>
      </c>
      <c r="FN11" s="339">
        <v>1.6964549783449997E-7</v>
      </c>
      <c r="FO11" s="339">
        <v>0</v>
      </c>
      <c r="FP11" s="339">
        <v>5.0893649350349993E-7</v>
      </c>
      <c r="FQ11" s="339">
        <v>0.17030192103611133</v>
      </c>
      <c r="FR11" s="339">
        <v>0</v>
      </c>
      <c r="FS11" s="339">
        <v>5.1508462104488597</v>
      </c>
      <c r="FT11" s="339">
        <v>8.2795111728968627E-4</v>
      </c>
      <c r="FU11" s="339">
        <v>0</v>
      </c>
      <c r="FV11" s="339">
        <v>9.3064952008219178E-3</v>
      </c>
      <c r="FW11" s="339">
        <v>3.3529389149395575E-3</v>
      </c>
      <c r="FX11" s="339">
        <v>5.6684394448443273E-7</v>
      </c>
      <c r="FY11" s="339">
        <v>5.7279362484018256E-2</v>
      </c>
      <c r="FZ11" s="339">
        <v>1.6852736946252112E-7</v>
      </c>
      <c r="GA11" s="339">
        <v>0</v>
      </c>
      <c r="GB11" s="339">
        <v>2.7309969440314915E-6</v>
      </c>
      <c r="GC11" s="339">
        <v>2.2335842435732298E-7</v>
      </c>
      <c r="GD11" s="339">
        <v>0</v>
      </c>
      <c r="GE11" s="339">
        <v>2.7015441695464586E-6</v>
      </c>
      <c r="GF11" s="339">
        <v>8.3993407085550961E-2</v>
      </c>
      <c r="GG11" s="339">
        <v>0</v>
      </c>
      <c r="GH11" s="339">
        <v>0.24036512569586202</v>
      </c>
      <c r="GI11" s="339">
        <v>1.8440679511981771E-2</v>
      </c>
      <c r="GJ11" s="339">
        <v>0</v>
      </c>
      <c r="GK11" s="339">
        <v>0.15610217596972562</v>
      </c>
      <c r="GL11" s="339">
        <v>6.5822354002967026E-3</v>
      </c>
      <c r="GM11" s="339">
        <v>0</v>
      </c>
      <c r="GN11" s="339">
        <v>0.28998101714817826</v>
      </c>
      <c r="GO11" s="339">
        <v>6.9358520863880386E-4</v>
      </c>
      <c r="GP11" s="339">
        <v>0</v>
      </c>
      <c r="GQ11" s="339">
        <v>6.4976127369905335E-3</v>
      </c>
      <c r="GR11" s="339">
        <v>1.1265961622283527E-6</v>
      </c>
      <c r="GS11" s="339">
        <v>0</v>
      </c>
      <c r="GT11" s="339">
        <v>4.7529347279465281E-6</v>
      </c>
      <c r="GU11" s="339">
        <v>4.4883176489694643E-2</v>
      </c>
      <c r="GV11" s="339">
        <v>0</v>
      </c>
      <c r="GW11" s="339">
        <v>1.4167893058621537</v>
      </c>
      <c r="GX11" s="339">
        <v>2.0032187077116213E-3</v>
      </c>
      <c r="GY11" s="339">
        <v>-1.0123218650062266E-2</v>
      </c>
      <c r="GZ11" s="339">
        <v>2.1386809212545203E-2</v>
      </c>
      <c r="HA11" s="339">
        <v>3.0340387836776338E-6</v>
      </c>
      <c r="HB11" s="339">
        <v>0</v>
      </c>
      <c r="HC11" s="339">
        <v>2.4697771777497909E-5</v>
      </c>
      <c r="HD11" s="339">
        <v>4.4746631158674852E-6</v>
      </c>
      <c r="HE11" s="339">
        <v>4.9820231922497068E-8</v>
      </c>
      <c r="HF11" s="339">
        <v>2.026472835709589E-5</v>
      </c>
      <c r="HG11" s="339">
        <v>5.3135094481571198E-4</v>
      </c>
      <c r="HH11" s="339">
        <v>0</v>
      </c>
      <c r="HI11" s="339">
        <v>3.6612762310641099E-3</v>
      </c>
      <c r="HJ11" s="339">
        <v>0.46822708487993236</v>
      </c>
      <c r="HK11" s="339">
        <v>0</v>
      </c>
      <c r="HL11" s="339">
        <v>1.4890090111622236</v>
      </c>
      <c r="HM11" s="339">
        <v>2.8264494331073325E-3</v>
      </c>
      <c r="HN11" s="339">
        <v>0</v>
      </c>
      <c r="HO11" s="339">
        <v>8.7096087241105832E-2</v>
      </c>
      <c r="HP11" s="339">
        <v>4.9320998611949898E-4</v>
      </c>
      <c r="HQ11" s="339">
        <v>1.0815454070819335E-5</v>
      </c>
      <c r="HR11" s="339">
        <v>1.9240053506186505E-3</v>
      </c>
      <c r="HS11" s="339">
        <v>9.9411066654509203E-2</v>
      </c>
      <c r="HT11" s="339">
        <v>0</v>
      </c>
      <c r="HU11" s="339">
        <v>0.59646639992705519</v>
      </c>
      <c r="HV11" s="339">
        <v>3.4942701174262606E-7</v>
      </c>
      <c r="HW11" s="339">
        <v>0</v>
      </c>
      <c r="HX11" s="339">
        <v>1.6666368355110075E-6</v>
      </c>
      <c r="HY11" s="339">
        <v>2.3397181642348448E-2</v>
      </c>
      <c r="HZ11" s="339">
        <v>0</v>
      </c>
      <c r="IA11" s="339">
        <v>0.16378027149643914</v>
      </c>
      <c r="IB11" s="339">
        <v>0.23315366831973672</v>
      </c>
      <c r="IC11" s="339">
        <v>0</v>
      </c>
      <c r="ID11" s="339">
        <v>1.2263919548687761</v>
      </c>
      <c r="IE11" s="339">
        <v>0.13501228396163548</v>
      </c>
      <c r="IF11" s="339">
        <v>0</v>
      </c>
      <c r="IG11" s="339">
        <v>1.2758563513451657</v>
      </c>
      <c r="IH11" s="339">
        <v>1.0808345859325544E-6</v>
      </c>
      <c r="II11" s="339">
        <v>4.6970231023594143E-8</v>
      </c>
      <c r="IJ11" s="339">
        <v>2.099487258936024E-6</v>
      </c>
      <c r="IK11" s="339">
        <v>1.4725560744755281E-5</v>
      </c>
      <c r="IL11" s="339">
        <v>1.4679544242759596E-5</v>
      </c>
      <c r="IM11" s="339">
        <v>1.4771577246750967E-5</v>
      </c>
      <c r="IN11" s="339">
        <v>2.6564244092611967E-7</v>
      </c>
      <c r="IO11" s="339">
        <v>0</v>
      </c>
      <c r="IP11" s="339">
        <v>1.0309098883339483E-6</v>
      </c>
      <c r="IQ11" s="339">
        <v>2.6599583881779898E-6</v>
      </c>
      <c r="IR11" s="339">
        <v>6.6236265691224976E-8</v>
      </c>
      <c r="IS11" s="339">
        <v>1.4525146495162623E-5</v>
      </c>
      <c r="IT11" s="339">
        <v>2.7957563543677055E-9</v>
      </c>
      <c r="IU11" s="339">
        <v>0</v>
      </c>
      <c r="IV11" s="339">
        <v>8.3872690631031165E-9</v>
      </c>
      <c r="IW11" s="339">
        <v>5.2762460388707369E-2</v>
      </c>
      <c r="IX11" s="339">
        <v>3.213868328788469E-3</v>
      </c>
      <c r="IY11" s="339">
        <v>0.14074194763040196</v>
      </c>
      <c r="IZ11" s="339">
        <v>2.5461907688518144E-2</v>
      </c>
      <c r="JA11" s="339">
        <v>0</v>
      </c>
      <c r="JB11" s="339">
        <v>4.9973590100649966E-2</v>
      </c>
      <c r="JC11" s="339">
        <v>0.25756536904599836</v>
      </c>
      <c r="JD11" s="339">
        <v>0</v>
      </c>
      <c r="JE11" s="339">
        <v>0.84010331483318579</v>
      </c>
      <c r="JF11" s="339">
        <v>6.8736193596929066E-3</v>
      </c>
      <c r="JG11" s="339">
        <v>-1.7887629070983809E-3</v>
      </c>
      <c r="JH11" s="339">
        <v>5.1727239136304871E-2</v>
      </c>
      <c r="JI11" s="339">
        <v>0</v>
      </c>
      <c r="JJ11" s="339">
        <v>0</v>
      </c>
      <c r="JK11" s="339">
        <v>0</v>
      </c>
      <c r="JL11" s="339">
        <v>1.509291236540458E-4</v>
      </c>
      <c r="JM11" s="339">
        <v>-9.828367621419676E-5</v>
      </c>
      <c r="JN11" s="339">
        <v>1.1822569146163965E-3</v>
      </c>
      <c r="JO11" s="339">
        <v>3.7705338216917234E-5</v>
      </c>
      <c r="JP11" s="339">
        <v>3.7705338216917234E-5</v>
      </c>
      <c r="JQ11" s="339">
        <v>3.7705338216917234E-5</v>
      </c>
      <c r="JR11" s="339">
        <v>8.0171642601409226E-7</v>
      </c>
      <c r="JS11" s="339">
        <v>0</v>
      </c>
      <c r="JT11" s="339">
        <v>8.3821554872053563E-6</v>
      </c>
      <c r="JU11" s="339">
        <v>1.6810136542340082E-9</v>
      </c>
      <c r="JV11" s="339">
        <v>0</v>
      </c>
      <c r="JW11" s="339">
        <v>1.8686835690676092E-8</v>
      </c>
      <c r="JX11" s="339">
        <v>1.2873010610902621E-2</v>
      </c>
      <c r="JY11" s="339">
        <v>1.1556314526181988E-3</v>
      </c>
      <c r="JZ11" s="339">
        <v>3.4640327004566207E-2</v>
      </c>
      <c r="KA11" s="339">
        <v>9.8770372231949733E-4</v>
      </c>
      <c r="KB11" s="339">
        <v>9.8770372231949733E-4</v>
      </c>
      <c r="KC11" s="339">
        <v>9.8770372231949733E-4</v>
      </c>
      <c r="KD11" s="339">
        <v>3.0088061333541951E-4</v>
      </c>
      <c r="KE11" s="339">
        <v>3.2137573592015005E-5</v>
      </c>
      <c r="KF11" s="339">
        <v>5.0327777404625114E-4</v>
      </c>
      <c r="KG11" s="339">
        <v>1.3046783209577076E-6</v>
      </c>
      <c r="KH11" s="339">
        <v>0</v>
      </c>
      <c r="KI11" s="339">
        <v>6.0241082671656306E-6</v>
      </c>
      <c r="KJ11" s="339">
        <v>9.3559916862821048E-9</v>
      </c>
      <c r="KK11" s="339">
        <v>0</v>
      </c>
      <c r="KL11" s="339">
        <v>3.7423966745128419E-8</v>
      </c>
      <c r="KM11" s="339">
        <v>3.082975221442642E-2</v>
      </c>
      <c r="KN11" s="339">
        <v>0</v>
      </c>
      <c r="KO11" s="339">
        <v>0.27508267759192956</v>
      </c>
      <c r="KP11" s="339">
        <v>1.0984295787088327</v>
      </c>
      <c r="KQ11" s="339">
        <v>0</v>
      </c>
      <c r="KR11" s="339">
        <v>11.037527593818984</v>
      </c>
      <c r="KS11" s="339">
        <v>2.3163633319923347E-4</v>
      </c>
      <c r="KT11" s="339">
        <v>4.6821215314366005E-6</v>
      </c>
      <c r="KU11" s="339">
        <v>3.7606868986016473E-4</v>
      </c>
      <c r="KV11" s="339">
        <v>1.0874137579969557E-5</v>
      </c>
      <c r="KW11" s="339">
        <v>1.0874137579969557E-5</v>
      </c>
      <c r="KX11" s="339">
        <v>1.0874137579969557E-5</v>
      </c>
      <c r="KY11" s="339">
        <v>8.9813865677929982E-4</v>
      </c>
      <c r="KZ11" s="339">
        <v>8.9813865677929982E-4</v>
      </c>
      <c r="LA11" s="339">
        <v>8.9813865677929982E-4</v>
      </c>
      <c r="LB11" s="339">
        <v>1.2833531135853043E-6</v>
      </c>
      <c r="LC11" s="339">
        <v>0</v>
      </c>
      <c r="LD11" s="339">
        <v>3.8651942848495443E-6</v>
      </c>
      <c r="LE11" s="339">
        <v>3.7595474784855398E-4</v>
      </c>
      <c r="LF11" s="339">
        <v>0</v>
      </c>
      <c r="LG11" s="339">
        <v>1.2789749190736763E-3</v>
      </c>
      <c r="LH11" s="339">
        <v>0.43390787351189652</v>
      </c>
      <c r="LI11" s="339">
        <v>0</v>
      </c>
      <c r="LJ11" s="339">
        <v>1.8072124458643699</v>
      </c>
      <c r="LK11" s="339">
        <v>2.5263693341230193E-7</v>
      </c>
      <c r="LL11" s="339">
        <v>0</v>
      </c>
      <c r="LM11" s="339">
        <v>7.578989136472011E-7</v>
      </c>
      <c r="LN11" s="339">
        <v>1.8349893131435865E-4</v>
      </c>
      <c r="LO11" s="339">
        <v>5.0513849961801837E-5</v>
      </c>
      <c r="LP11" s="339">
        <v>2.916314211836164E-4</v>
      </c>
      <c r="LQ11" s="339">
        <v>4.1678111946237321E-2</v>
      </c>
      <c r="LR11" s="339">
        <v>1.0930389922013631E-5</v>
      </c>
      <c r="LS11" s="339">
        <v>8.3345293502552625E-2</v>
      </c>
      <c r="LT11" s="339">
        <v>0.17128966160542075</v>
      </c>
      <c r="LU11" s="339">
        <v>5.157024735758243E-3</v>
      </c>
      <c r="LV11" s="339">
        <v>0.66790524019760111</v>
      </c>
      <c r="LW11" s="339">
        <v>0.34162267143032432</v>
      </c>
      <c r="LX11" s="339">
        <v>0.34162267143032432</v>
      </c>
      <c r="LY11" s="339">
        <v>0.34162267143032432</v>
      </c>
      <c r="LZ11" s="339">
        <v>4.1675531766712536E-5</v>
      </c>
      <c r="MA11" s="339">
        <v>5.0796919230212463E-8</v>
      </c>
      <c r="MB11" s="339">
        <v>3.2278735158647591E-4</v>
      </c>
      <c r="MC11" s="339">
        <v>2.4026504959093448E-2</v>
      </c>
      <c r="MD11" s="339">
        <v>1.8307075335310178E-2</v>
      </c>
      <c r="ME11" s="339">
        <v>2.9745934582876714E-2</v>
      </c>
      <c r="MF11" s="339">
        <v>3.8163750236645661E-6</v>
      </c>
      <c r="MG11" s="339">
        <v>1.2296942218560099E-8</v>
      </c>
      <c r="MH11" s="339">
        <v>1.2232383180301507E-5</v>
      </c>
      <c r="MI11" s="339">
        <v>6.2000827686133422E-8</v>
      </c>
      <c r="MJ11" s="339">
        <v>6.2000827686133422E-8</v>
      </c>
      <c r="MK11" s="339">
        <v>6.2000827686133422E-8</v>
      </c>
      <c r="ML11" s="339">
        <v>0.91910736676231419</v>
      </c>
      <c r="MM11" s="339">
        <v>0.62529473274147573</v>
      </c>
      <c r="MN11" s="339">
        <v>1.2029722668624323</v>
      </c>
      <c r="MO11" s="339">
        <v>1.1379144115179657E-4</v>
      </c>
      <c r="MP11" s="339">
        <v>1.1379144115179657E-4</v>
      </c>
      <c r="MQ11" s="339">
        <v>1.1379144115179657E-4</v>
      </c>
      <c r="MR11" s="339">
        <v>1.5061311831515778E-7</v>
      </c>
      <c r="MS11" s="339">
        <v>1.5061311831515778E-7</v>
      </c>
      <c r="MT11" s="339">
        <v>1.5061311831515778E-7</v>
      </c>
      <c r="MU11" s="339">
        <v>1.4005622020085887E-2</v>
      </c>
      <c r="MV11" s="339">
        <v>0</v>
      </c>
      <c r="MW11" s="339">
        <v>4.201686606025766E-2</v>
      </c>
      <c r="MX11" s="339">
        <v>6.4774575165150556E-7</v>
      </c>
      <c r="MY11" s="339">
        <v>6.4774575165150556E-7</v>
      </c>
      <c r="MZ11" s="339">
        <v>6.4774575165150556E-7</v>
      </c>
      <c r="NA11" s="339">
        <v>3.0073909898105615E-8</v>
      </c>
      <c r="NB11" s="339">
        <v>3.0073909898105615E-8</v>
      </c>
      <c r="NC11" s="339">
        <v>3.0073909898105615E-8</v>
      </c>
      <c r="ND11" s="339">
        <v>3.9327420635984261E-7</v>
      </c>
      <c r="NE11" s="339">
        <v>3.9327420635984261E-7</v>
      </c>
      <c r="NF11" s="339">
        <v>3.9327420635984261E-7</v>
      </c>
      <c r="NG11" s="339">
        <v>0</v>
      </c>
      <c r="NH11" s="339">
        <v>0</v>
      </c>
      <c r="NI11" s="339">
        <v>0</v>
      </c>
      <c r="NJ11" s="339">
        <v>0</v>
      </c>
      <c r="NK11" s="339">
        <v>0</v>
      </c>
      <c r="NL11" s="339">
        <v>0</v>
      </c>
      <c r="NM11" s="339">
        <v>1.272285724300216E-7</v>
      </c>
      <c r="NN11" s="339">
        <v>1.272285724300216E-7</v>
      </c>
      <c r="NO11" s="339">
        <v>1.272285724300216E-7</v>
      </c>
      <c r="NP11" s="339">
        <v>2.4019807536300011E-6</v>
      </c>
      <c r="NQ11" s="339">
        <v>2.4019807536300011E-6</v>
      </c>
      <c r="NR11" s="339">
        <v>2.4019807536300011E-6</v>
      </c>
      <c r="NS11" s="339">
        <v>6.953708313651394E-7</v>
      </c>
      <c r="NT11" s="339">
        <v>6.953708313651394E-7</v>
      </c>
      <c r="NU11" s="339">
        <v>6.953708313651394E-7</v>
      </c>
      <c r="NV11" s="339">
        <v>3.7478325828269702E-7</v>
      </c>
      <c r="NW11" s="339">
        <v>1.7239369339975098E-7</v>
      </c>
      <c r="NX11" s="339">
        <v>5.8666039298865816E-7</v>
      </c>
      <c r="NY11" s="339">
        <v>0.16391085457885496</v>
      </c>
      <c r="NZ11" s="339">
        <v>0.16391085457885496</v>
      </c>
      <c r="OA11" s="339">
        <v>0.16391085457885496</v>
      </c>
      <c r="OB11" s="339">
        <v>5.7066408925513564E-4</v>
      </c>
      <c r="OC11" s="339">
        <v>4.6885027706932342E-4</v>
      </c>
      <c r="OD11" s="339">
        <v>6.7247790144094781E-4</v>
      </c>
      <c r="OE11" s="339">
        <v>1.2559753868937428E-7</v>
      </c>
      <c r="OF11" s="339">
        <v>1.2559753868937428E-7</v>
      </c>
      <c r="OG11" s="339">
        <v>1.2559753868937428E-7</v>
      </c>
      <c r="OH11" s="339">
        <v>1.9346720520252588E-4</v>
      </c>
      <c r="OI11" s="339">
        <v>2.7833929995574067E-5</v>
      </c>
      <c r="OJ11" s="339">
        <v>4.9765650903813409E-4</v>
      </c>
      <c r="OK11" s="339">
        <v>3.9854524172676782E-4</v>
      </c>
      <c r="OL11" s="339">
        <v>3.9854524172676782E-4</v>
      </c>
      <c r="OM11" s="339">
        <v>3.9854524172676782E-4</v>
      </c>
      <c r="ON11" s="339">
        <v>2.7090646035251571E-3</v>
      </c>
      <c r="OO11" s="339">
        <v>2.7090646035251571E-3</v>
      </c>
      <c r="OP11" s="339">
        <v>2.7090646035251571E-3</v>
      </c>
      <c r="OQ11" s="339">
        <v>3.97771376541535E-5</v>
      </c>
      <c r="OR11" s="339">
        <v>3.97771376541535E-5</v>
      </c>
      <c r="OS11" s="339">
        <v>3.97771376541535E-5</v>
      </c>
      <c r="OT11" s="339">
        <v>6.2124152409152858E-3</v>
      </c>
      <c r="OU11" s="339">
        <v>4.7031522747176388E-3</v>
      </c>
      <c r="OV11" s="339">
        <v>7.7216782071129328E-3</v>
      </c>
      <c r="OW11" s="339">
        <v>0</v>
      </c>
      <c r="OX11" s="339">
        <v>0</v>
      </c>
      <c r="OY11" s="339">
        <v>0</v>
      </c>
      <c r="OZ11" s="339">
        <v>2.9300464969804093E-7</v>
      </c>
      <c r="PA11" s="339">
        <v>2.9300464969804093E-7</v>
      </c>
      <c r="PB11" s="339">
        <v>2.9300464969804093E-7</v>
      </c>
      <c r="PC11" s="339">
        <v>4.9785047765503019E-8</v>
      </c>
      <c r="PD11" s="339">
        <v>4.9785047765503019E-8</v>
      </c>
      <c r="PE11" s="339">
        <v>4.9785047765503019E-8</v>
      </c>
      <c r="PF11" s="339">
        <v>8.1283746626012671E-5</v>
      </c>
      <c r="PG11" s="339">
        <v>8.1283746626012671E-5</v>
      </c>
      <c r="PH11" s="339">
        <v>8.1283746626012671E-5</v>
      </c>
      <c r="PI11" s="339">
        <v>4.0113937342760342E-6</v>
      </c>
      <c r="PJ11" s="339">
        <v>4.0113937342760342E-6</v>
      </c>
      <c r="PK11" s="339">
        <v>4.0113937342760342E-6</v>
      </c>
      <c r="PL11" s="339">
        <v>3.5836772493739865E-8</v>
      </c>
      <c r="PM11" s="339">
        <v>3.5836772493739865E-8</v>
      </c>
      <c r="PN11" s="339">
        <v>3.5836772493739865E-8</v>
      </c>
      <c r="PO11" s="339">
        <v>1.4870529185741641E-5</v>
      </c>
      <c r="PP11" s="339">
        <v>1.4870529185741641E-5</v>
      </c>
      <c r="PQ11" s="339">
        <v>1.4870529185741641E-5</v>
      </c>
      <c r="PR11" s="339">
        <v>5.261342628061437E-6</v>
      </c>
      <c r="PS11" s="339">
        <v>5.261342628061437E-6</v>
      </c>
      <c r="PT11" s="339">
        <v>5.261342628061437E-6</v>
      </c>
      <c r="PU11" s="339">
        <v>2.1280521692452995E-6</v>
      </c>
      <c r="PV11" s="339">
        <v>2.1280521692452995E-6</v>
      </c>
      <c r="PW11" s="339">
        <v>2.1280521692452995E-6</v>
      </c>
      <c r="PX11" s="339">
        <v>7.7383715245283619E-7</v>
      </c>
      <c r="PY11" s="339">
        <v>7.7383715245283619E-7</v>
      </c>
      <c r="PZ11" s="339">
        <v>7.7383715245283619E-7</v>
      </c>
      <c r="QA11" s="339">
        <v>1.5165757219917309E-6</v>
      </c>
      <c r="QB11" s="339">
        <v>1.5165757219917309E-6</v>
      </c>
      <c r="QC11" s="339">
        <v>1.5165757219917309E-6</v>
      </c>
      <c r="QD11" s="339">
        <v>4.5883567227851931E-6</v>
      </c>
      <c r="QE11" s="339">
        <v>1.2612248429292408E-8</v>
      </c>
      <c r="QF11" s="339">
        <v>1.6138114501301673E-5</v>
      </c>
      <c r="QG11" s="339">
        <v>5.4356260103984795</v>
      </c>
      <c r="QH11" s="339">
        <v>-1.0123218650062266E-2</v>
      </c>
      <c r="QI11" s="339">
        <v>1313.5964493594604</v>
      </c>
    </row>
    <row r="14" spans="1:451" x14ac:dyDescent="0.25">
      <c r="E14">
        <f>GETPIVOTDATA("Average of kg/barrel",$A$3,"Substance Name","1,2,4-TRIMETHYLBENZENE")</f>
        <v>3.014638696835828E-2</v>
      </c>
    </row>
    <row r="15" spans="1:451" x14ac:dyDescent="0.25">
      <c r="BV15" t="s">
        <v>2237</v>
      </c>
    </row>
    <row r="16" spans="1:451" x14ac:dyDescent="0.25">
      <c r="E16" t="str">
        <f>"w_"&amp;LEFT(SUBSTITUTE(SUBSTITUTE(SUBSTITUTE(SUBSTITUTE(SUBSTITUTE(SUBSTITUTE(SUBSTITUTE(SUBSTITUTE(E17,",",""),"-","")," ",""),"(",""),")",""),"'",""),"[","_"),"]","_"),9)</f>
        <v>w_124TRIMET</v>
      </c>
      <c r="F16" t="str">
        <f t="shared" ref="F16:BQ16" si="0">"w_"&amp;LEFT(SUBSTITUTE(SUBSTITUTE(SUBSTITUTE(SUBSTITUTE(SUBSTITUTE(SUBSTITUTE(SUBSTITUTE(SUBSTITUTE(F17,",",""),"-","")," ",""),"(",""),")",""),"'",""),"[","_"),"]","_"),9)</f>
        <v>w_12DICHLOR</v>
      </c>
      <c r="G16" t="str">
        <f t="shared" si="0"/>
        <v>w_13BUTADIE</v>
      </c>
      <c r="H16" t="str">
        <f t="shared" si="0"/>
        <v>w_24DIMETHY</v>
      </c>
      <c r="I16" t="str">
        <f t="shared" si="0"/>
        <v>w_2METHYLNA</v>
      </c>
      <c r="J16" t="str">
        <f t="shared" si="0"/>
        <v>w_ACETONITR</v>
      </c>
      <c r="K16" t="str">
        <f t="shared" si="0"/>
        <v>w_Aluminumt</v>
      </c>
      <c r="L16" t="str">
        <f t="shared" si="0"/>
        <v>w_AMMONIA</v>
      </c>
      <c r="M16" t="str">
        <f t="shared" si="0"/>
        <v>w_AMMONIUM</v>
      </c>
      <c r="N16" t="str">
        <f t="shared" si="0"/>
        <v>w_ANTHRACEN</v>
      </c>
      <c r="O16" t="str">
        <f t="shared" si="0"/>
        <v>w_Arsenicto</v>
      </c>
      <c r="P16" t="str">
        <f t="shared" si="0"/>
        <v>w_Bariumtot</v>
      </c>
      <c r="Q16" t="str">
        <f t="shared" si="0"/>
        <v>w_BENZENE</v>
      </c>
      <c r="R16" t="str">
        <f t="shared" si="0"/>
        <v>w_BENZOGHIP</v>
      </c>
      <c r="S16" t="str">
        <f t="shared" si="0"/>
        <v>w_BENZO_A_P</v>
      </c>
      <c r="T16" t="str">
        <f t="shared" si="0"/>
        <v>w_BIPHENYL</v>
      </c>
      <c r="U16" t="str">
        <f t="shared" si="0"/>
        <v>w_Bromideas</v>
      </c>
      <c r="V16" t="str">
        <f t="shared" si="0"/>
        <v>w_Cadmiumto</v>
      </c>
      <c r="W16" t="str">
        <f t="shared" si="0"/>
        <v>w_CARBONDIS</v>
      </c>
      <c r="X16" t="str">
        <f t="shared" si="0"/>
        <v>w_CARBONYLS</v>
      </c>
      <c r="Y16" t="str">
        <f t="shared" si="0"/>
        <v>w_CERTAINGL</v>
      </c>
      <c r="Z16" t="str">
        <f t="shared" si="0"/>
        <v>w_ChemicalO</v>
      </c>
      <c r="AA16" t="str">
        <f t="shared" si="0"/>
        <v>w_Chloridea</v>
      </c>
      <c r="AB16" t="str">
        <f t="shared" si="0"/>
        <v>w_CHLORINE</v>
      </c>
      <c r="AC16" t="str">
        <f t="shared" si="0"/>
        <v>w_Chromiumh</v>
      </c>
      <c r="AD16" t="str">
        <f t="shared" si="0"/>
        <v>w_Chrysene</v>
      </c>
      <c r="AE16" t="str">
        <f t="shared" si="0"/>
        <v>w_Coppertot</v>
      </c>
      <c r="AF16" t="str">
        <f t="shared" si="0"/>
        <v>w_CRESOLS</v>
      </c>
      <c r="AG16" t="str">
        <f t="shared" si="0"/>
        <v>w_Cyanideto</v>
      </c>
      <c r="AH16" t="str">
        <f t="shared" si="0"/>
        <v>w_CYCLOHEXA</v>
      </c>
      <c r="AI16" t="str">
        <f t="shared" si="0"/>
        <v>w_DIBENZAHA</v>
      </c>
      <c r="AJ16" t="str">
        <f t="shared" si="0"/>
        <v>w_DICYCLOPE</v>
      </c>
      <c r="AK16" t="str">
        <f t="shared" si="0"/>
        <v>w_DIETHANOL</v>
      </c>
      <c r="AL16" t="str">
        <f t="shared" si="0"/>
        <v>w_DIOXINAND</v>
      </c>
      <c r="AM16" t="str">
        <f t="shared" si="0"/>
        <v>w_ETHENE</v>
      </c>
      <c r="AN16" t="str">
        <f t="shared" si="0"/>
        <v>w_ETHYLBENZ</v>
      </c>
      <c r="AO16" t="str">
        <f t="shared" si="0"/>
        <v>w_ETHYLENED</v>
      </c>
      <c r="AP16" t="str">
        <f t="shared" si="0"/>
        <v>w_ETHYLENEG</v>
      </c>
      <c r="AQ16" t="str">
        <f t="shared" si="0"/>
        <v>w_FLUORANTH</v>
      </c>
      <c r="AR16" t="str">
        <f t="shared" si="0"/>
        <v>w_Fluoridet</v>
      </c>
      <c r="AS16" t="str">
        <f t="shared" si="0"/>
        <v>w_FORMALDEH</v>
      </c>
      <c r="AT16" t="str">
        <f t="shared" si="0"/>
        <v>w_FORMICACI</v>
      </c>
      <c r="AU16" t="str">
        <f t="shared" si="0"/>
        <v>w_HEXACHLOR</v>
      </c>
      <c r="AV16" t="str">
        <f t="shared" si="0"/>
        <v>w_Hydrocarb</v>
      </c>
      <c r="AW16" t="str">
        <f t="shared" si="0"/>
        <v>w_HYDROFLUO</v>
      </c>
      <c r="AX16" t="str">
        <f t="shared" si="0"/>
        <v>w_HYDROGENC</v>
      </c>
      <c r="AY16" t="str">
        <f t="shared" si="0"/>
        <v>w_Indeno123</v>
      </c>
      <c r="AZ16" t="str">
        <f t="shared" si="0"/>
        <v>w_Irontotal</v>
      </c>
      <c r="BA16" t="str">
        <f t="shared" si="0"/>
        <v>w_ISOPROPYL</v>
      </c>
      <c r="BB16" t="str">
        <f t="shared" si="0"/>
        <v>w_Leadtotal</v>
      </c>
      <c r="BC16" t="str">
        <f t="shared" si="0"/>
        <v>w_Magnesium</v>
      </c>
      <c r="BD16" t="str">
        <f t="shared" si="0"/>
        <v>w_Manganese</v>
      </c>
      <c r="BE16" t="str">
        <f t="shared" si="0"/>
        <v>w_Mercuryto</v>
      </c>
      <c r="BF16" t="str">
        <f t="shared" si="0"/>
        <v>w_METHANOL</v>
      </c>
      <c r="BG16" t="str">
        <f t="shared" si="0"/>
        <v>w_METHYLISO</v>
      </c>
      <c r="BH16" t="str">
        <f t="shared" si="0"/>
        <v>w_METHYLTBU</v>
      </c>
      <c r="BI16" t="str">
        <f t="shared" si="0"/>
        <v>w_METIRAM</v>
      </c>
      <c r="BJ16" t="str">
        <f t="shared" si="0"/>
        <v>w_MOLYBDENU</v>
      </c>
      <c r="BK16" t="str">
        <f t="shared" si="0"/>
        <v>w_MXYLENE</v>
      </c>
      <c r="BL16" t="str">
        <f t="shared" si="0"/>
        <v>w_NNDIMETHY</v>
      </c>
      <c r="BM16" t="str">
        <f t="shared" si="0"/>
        <v>w_NAPHTHALE</v>
      </c>
      <c r="BN16" t="str">
        <f t="shared" si="0"/>
        <v>w_NHEXANE</v>
      </c>
      <c r="BO16" t="str">
        <f t="shared" si="0"/>
        <v>w_Nickeltot</v>
      </c>
      <c r="BP16" t="str">
        <f t="shared" si="0"/>
        <v>w_NITRATE</v>
      </c>
      <c r="BQ16" t="str">
        <f t="shared" si="0"/>
        <v>w_NITROGEN</v>
      </c>
      <c r="BR16" t="str">
        <f t="shared" ref="BR16:BV16" si="1">"w_"&amp;LEFT(SUBSTITUTE(SUBSTITUTE(SUBSTITUTE(SUBSTITUTE(SUBSTITUTE(SUBSTITUTE(SUBSTITUTE(SUBSTITUTE(BR17,",",""),"-","")," ",""),"(",""),")",""),"'",""),"[","_"),"]","_"),9)</f>
        <v>w_NMETHYLPY</v>
      </c>
      <c r="BS16" t="str">
        <f t="shared" si="1"/>
        <v>w_OXYLENE</v>
      </c>
      <c r="BT16" t="str">
        <f t="shared" si="1"/>
        <v>w_PERCHLORO</v>
      </c>
      <c r="BU16" t="str">
        <f t="shared" si="1"/>
        <v>w_PHENANTHR</v>
      </c>
      <c r="BV16" t="str">
        <f t="shared" si="1"/>
        <v>w_PHENOL</v>
      </c>
      <c r="BW16" s="367" t="s">
        <v>2112</v>
      </c>
      <c r="BX16" s="367" t="s">
        <v>2113</v>
      </c>
      <c r="BY16" t="str">
        <f t="shared" ref="BY16" si="2">"w_"&amp;LEFT(SUBSTITUTE(SUBSTITUTE(SUBSTITUTE(SUBSTITUTE(SUBSTITUTE(SUBSTITUTE(SUBSTITUTE(SUBSTITUTE(BY17,",",""),"-","")," ",""),"(",""),")",""),"'",""),"[","_"),"]","_"),9)</f>
        <v>w_Phenolics</v>
      </c>
      <c r="BZ16" t="str">
        <f t="shared" ref="BZ16" si="3">"w_"&amp;LEFT(SUBSTITUTE(SUBSTITUTE(SUBSTITUTE(SUBSTITUTE(SUBSTITUTE(SUBSTITUTE(SUBSTITUTE(SUBSTITUTE(BZ17,",",""),"-","")," ",""),"(",""),")",""),"'",""),"[","_"),"]","_"),9)</f>
        <v>w_Phenols</v>
      </c>
      <c r="CA16" t="str">
        <f t="shared" ref="CA16" si="4">"w_"&amp;LEFT(SUBSTITUTE(SUBSTITUTE(SUBSTITUTE(SUBSTITUTE(SUBSTITUTE(SUBSTITUTE(SUBSTITUTE(SUBSTITUTE(CA17,",",""),"-","")," ",""),"(",""),")",""),"'",""),"[","_"),"]","_"),9)</f>
        <v>w_PHOSPHORU</v>
      </c>
      <c r="CB16" t="str">
        <f t="shared" ref="CB16" si="5">"w_"&amp;LEFT(SUBSTITUTE(SUBSTITUTE(SUBSTITUTE(SUBSTITUTE(SUBSTITUTE(SUBSTITUTE(SUBSTITUTE(SUBSTITUTE(CB17,",",""),"-","")," ",""),"(",""),")",""),"'",""),"[","_"),"]","_"),9)</f>
        <v>w_POLYCYCLI</v>
      </c>
      <c r="CC16" t="str">
        <f t="shared" ref="CC16" si="6">"w_"&amp;LEFT(SUBSTITUTE(SUBSTITUTE(SUBSTITUTE(SUBSTITUTE(SUBSTITUTE(SUBSTITUTE(SUBSTITUTE(SUBSTITUTE(CC17,",",""),"-","")," ",""),"(",""),")",""),"'",""),"[","_"),"]","_"),9)</f>
        <v>w_PROPYLENE</v>
      </c>
      <c r="CD16" t="str">
        <f t="shared" ref="CD16" si="7">"w_"&amp;LEFT(SUBSTITUTE(SUBSTITUTE(SUBSTITUTE(SUBSTITUTE(SUBSTITUTE(SUBSTITUTE(SUBSTITUTE(SUBSTITUTE(CD17,",",""),"-","")," ",""),"(",""),")",""),"'",""),"[","_"),"]","_"),9)</f>
        <v>w_PXYLENE</v>
      </c>
      <c r="CE16" t="str">
        <f t="shared" ref="CE16" si="8">"w_"&amp;LEFT(SUBSTITUTE(SUBSTITUTE(SUBSTITUTE(SUBSTITUTE(SUBSTITUTE(SUBSTITUTE(SUBSTITUTE(SUBSTITUTE(CE17,",",""),"-","")," ",""),"(",""),")",""),"'",""),"[","_"),"]","_"),9)</f>
        <v>w_PYRENE</v>
      </c>
      <c r="CF16" t="str">
        <f t="shared" ref="CF16" si="9">"w_"&amp;LEFT(SUBSTITUTE(SUBSTITUTE(SUBSTITUTE(SUBSTITUTE(SUBSTITUTE(SUBSTITUTE(SUBSTITUTE(SUBSTITUTE(CF17,",",""),"-","")," ",""),"(",""),")",""),"'",""),"[","_"),"]","_"),9)</f>
        <v>w_Seleniumt</v>
      </c>
      <c r="CG16" t="str">
        <f t="shared" ref="CG16" si="10">"w_"&amp;LEFT(SUBSTITUTE(SUBSTITUTE(SUBSTITUTE(SUBSTITUTE(SUBSTITUTE(SUBSTITUTE(SUBSTITUTE(SUBSTITUTE(CG17,",",""),"-","")," ",""),"(",""),")",""),"'",""),"[","_"),"]","_"),9)</f>
        <v>w_Silvertot</v>
      </c>
      <c r="CH16" t="str">
        <f t="shared" ref="CH16" si="11">"w_"&amp;LEFT(SUBSTITUTE(SUBSTITUTE(SUBSTITUTE(SUBSTITUTE(SUBSTITUTE(SUBSTITUTE(SUBSTITUTE(SUBSTITUTE(CH17,",",""),"-","")," ",""),"(",""),")",""),"'",""),"[","_"),"]","_"),9)</f>
        <v>w_Sodiumchl</v>
      </c>
      <c r="CI16" s="367" t="s">
        <v>2109</v>
      </c>
      <c r="CJ16" s="367"/>
      <c r="CK16" s="367" t="s">
        <v>2111</v>
      </c>
      <c r="CL16" t="str">
        <f t="shared" ref="CL16" si="12">"w_"&amp;LEFT(SUBSTITUTE(SUBSTITUTE(SUBSTITUTE(SUBSTITUTE(SUBSTITUTE(SUBSTITUTE(SUBSTITUTE(SUBSTITUTE(CL17,",",""),"-","")," ",""),"(",""),")",""),"'",""),"[","_"),"]","_"),9)</f>
        <v>w_STYRENE</v>
      </c>
      <c r="CM16" t="str">
        <f t="shared" ref="CM16" si="13">"w_"&amp;LEFT(SUBSTITUTE(SUBSTITUTE(SUBSTITUTE(SUBSTITUTE(SUBSTITUTE(SUBSTITUTE(SUBSTITUTE(SUBSTITUTE(CM17,",",""),"-","")," ",""),"(",""),")",""),"'",""),"[","_"),"]","_"),9)</f>
        <v>w_TOLUENE</v>
      </c>
      <c r="CN16" t="str">
        <f t="shared" ref="CN16" si="14">"w_"&amp;LEFT(SUBSTITUTE(SUBSTITUTE(SUBSTITUTE(SUBSTITUTE(SUBSTITUTE(SUBSTITUTE(SUBSTITUTE(SUBSTITUTE(CN17,",",""),"-","")," ",""),"(",""),")",""),"'",""),"[","_"),"]","_"),9)</f>
        <v>w_TRICHLORO</v>
      </c>
      <c r="CO16" t="str">
        <f t="shared" ref="CO16" si="15">"w_"&amp;LEFT(SUBSTITUTE(SUBSTITUTE(SUBSTITUTE(SUBSTITUTE(SUBSTITUTE(SUBSTITUTE(SUBSTITUTE(SUBSTITUTE(CO17,",",""),"-","")," ",""),"(",""),")",""),"'",""),"[","_"),"]","_"),9)</f>
        <v>w_Vanadiumt</v>
      </c>
      <c r="CP16" t="str">
        <f t="shared" ref="CP16" si="16">"w_"&amp;LEFT(SUBSTITUTE(SUBSTITUTE(SUBSTITUTE(SUBSTITUTE(SUBSTITUTE(SUBSTITUTE(SUBSTITUTE(SUBSTITUTE(CP17,",",""),"-","")," ",""),"(",""),")",""),"'",""),"[","_"),"]","_"),9)</f>
        <v>w_XYLENES</v>
      </c>
      <c r="CQ16" t="str">
        <f t="shared" ref="CQ16" si="17">"w_"&amp;LEFT(SUBSTITUTE(SUBSTITUTE(SUBSTITUTE(SUBSTITUTE(SUBSTITUTE(SUBSTITUTE(SUBSTITUTE(SUBSTITUTE(CQ17,",",""),"-","")," ",""),"(",""),")",""),"'",""),"[","_"),"]","_"),9)</f>
        <v>w_Zinctotal</v>
      </c>
      <c r="CS16" t="s">
        <v>2114</v>
      </c>
      <c r="CT16" t="s">
        <v>2124</v>
      </c>
      <c r="CU16">
        <f>IF(MOD((ROW()-15),6)=0,6,MOD((ROW()-15),6))</f>
        <v>1</v>
      </c>
      <c r="CV16">
        <f>IF(MOD(ROW()-15,6)=0,ROUNDDOWN((ROW()-15)/6,0),ROUNDDOWN((ROW()-15)/6,0)+1)</f>
        <v>1</v>
      </c>
      <c r="CW16" t="str">
        <f>IF(CU16&lt;&gt;6,INDEX($CT$16:$CT$106,CV16)&amp;INDEX($CS$16:$CS$20,CU16),INDEX($CT$16:$CT$106,CV16))</f>
        <v>w_124TRIMET_L</v>
      </c>
      <c r="CX16">
        <f>LEN(CW16)</f>
        <v>13</v>
      </c>
      <c r="CY16" t="str">
        <f>"[kg/bbl] kg of "&amp;HLOOKUP(INDEX($CT$16:$CT$106,CV16),$E$16:$CQ$17,2,FALSE)&amp;" emissions to water per bbl of crude throughput"&amp;IF(CU16&lt;&gt;6,INDEX($DF$16:$DF$20,CU16),"")</f>
        <v>[kg/bbl] kg of 1,2,4-TRIMETHYLBENZENE emissions to water per bbl of crude throughput - Low Complexity</v>
      </c>
      <c r="DF16" t="s">
        <v>2119</v>
      </c>
    </row>
    <row r="17" spans="1:110" x14ac:dyDescent="0.25">
      <c r="E17" t="s">
        <v>1268</v>
      </c>
      <c r="F17" t="s">
        <v>1655</v>
      </c>
      <c r="G17" t="s">
        <v>1347</v>
      </c>
      <c r="H17" t="s">
        <v>1515</v>
      </c>
      <c r="I17" t="s">
        <v>1658</v>
      </c>
      <c r="J17" t="s">
        <v>1699</v>
      </c>
      <c r="K17" t="s">
        <v>1584</v>
      </c>
      <c r="L17" t="s">
        <v>1313</v>
      </c>
      <c r="M17" t="s">
        <v>1509</v>
      </c>
      <c r="N17" t="s">
        <v>1349</v>
      </c>
      <c r="O17" t="s">
        <v>1331</v>
      </c>
      <c r="P17" t="s">
        <v>1429</v>
      </c>
      <c r="Q17" t="s">
        <v>1273</v>
      </c>
      <c r="R17" t="s">
        <v>1352</v>
      </c>
      <c r="S17" t="s">
        <v>1666</v>
      </c>
      <c r="T17" t="s">
        <v>1414</v>
      </c>
      <c r="U17" t="s">
        <v>1715</v>
      </c>
      <c r="V17" t="s">
        <v>1786</v>
      </c>
      <c r="W17" t="s">
        <v>1355</v>
      </c>
      <c r="X17" t="s">
        <v>1357</v>
      </c>
      <c r="Y17" t="s">
        <v>1740</v>
      </c>
      <c r="Z17" t="s">
        <v>1457</v>
      </c>
      <c r="AA17" t="s">
        <v>1476</v>
      </c>
      <c r="AB17" t="s">
        <v>1418</v>
      </c>
      <c r="AC17" t="s">
        <v>1280</v>
      </c>
      <c r="AD17" t="s">
        <v>1670</v>
      </c>
      <c r="AE17" t="s">
        <v>1467</v>
      </c>
      <c r="AF17" t="s">
        <v>1445</v>
      </c>
      <c r="AG17" t="s">
        <v>1543</v>
      </c>
      <c r="AH17" t="s">
        <v>1291</v>
      </c>
      <c r="AI17" t="s">
        <v>1675</v>
      </c>
      <c r="AJ17" t="s">
        <v>1360</v>
      </c>
      <c r="AK17" t="s">
        <v>1293</v>
      </c>
      <c r="AL17" t="s">
        <v>1362</v>
      </c>
      <c r="AM17" t="s">
        <v>1028</v>
      </c>
      <c r="AN17" t="s">
        <v>1295</v>
      </c>
      <c r="AO17" t="s">
        <v>1555</v>
      </c>
      <c r="AP17" t="s">
        <v>1367</v>
      </c>
      <c r="AQ17" t="s">
        <v>1678</v>
      </c>
      <c r="AR17" t="s">
        <v>1596</v>
      </c>
      <c r="AS17" t="s">
        <v>1369</v>
      </c>
      <c r="AT17" t="s">
        <v>1643</v>
      </c>
      <c r="AU17" t="s">
        <v>1729</v>
      </c>
      <c r="AV17" t="s">
        <v>1803</v>
      </c>
      <c r="AW17" t="s">
        <v>1490</v>
      </c>
      <c r="AX17" t="s">
        <v>1371</v>
      </c>
      <c r="AY17" t="s">
        <v>1789</v>
      </c>
      <c r="AZ17" t="s">
        <v>1852</v>
      </c>
      <c r="BA17" t="s">
        <v>1287</v>
      </c>
      <c r="BB17" t="s">
        <v>1431</v>
      </c>
      <c r="BC17" t="s">
        <v>1853</v>
      </c>
      <c r="BD17" t="s">
        <v>1937</v>
      </c>
      <c r="BE17" t="s">
        <v>1468</v>
      </c>
      <c r="BF17" t="s">
        <v>1375</v>
      </c>
      <c r="BG17" t="s">
        <v>1378</v>
      </c>
      <c r="BH17" t="s">
        <v>1747</v>
      </c>
      <c r="BI17" t="s">
        <v>1835</v>
      </c>
      <c r="BJ17" t="s">
        <v>1381</v>
      </c>
      <c r="BK17" t="s">
        <v>1565</v>
      </c>
      <c r="BL17" t="s">
        <v>1750</v>
      </c>
      <c r="BM17" t="s">
        <v>1303</v>
      </c>
      <c r="BN17" t="s">
        <v>1305</v>
      </c>
      <c r="BO17" t="s">
        <v>1633</v>
      </c>
      <c r="BP17" t="s">
        <v>1310</v>
      </c>
      <c r="BQ17" t="s">
        <v>1506</v>
      </c>
      <c r="BR17" t="s">
        <v>1340</v>
      </c>
      <c r="BS17" t="s">
        <v>1568</v>
      </c>
      <c r="BT17" t="s">
        <v>1398</v>
      </c>
      <c r="BU17" t="s">
        <v>1388</v>
      </c>
      <c r="BV17" s="366" t="s">
        <v>1315</v>
      </c>
      <c r="BW17" s="366" t="s">
        <v>1391</v>
      </c>
      <c r="BX17" s="366" t="s">
        <v>1823</v>
      </c>
      <c r="BY17" s="366" t="s">
        <v>1318</v>
      </c>
      <c r="BZ17" s="366" t="s">
        <v>1482</v>
      </c>
      <c r="CA17" t="s">
        <v>1463</v>
      </c>
      <c r="CB17" t="s">
        <v>1319</v>
      </c>
      <c r="CC17" t="s">
        <v>1425</v>
      </c>
      <c r="CD17" t="s">
        <v>1572</v>
      </c>
      <c r="CE17" t="s">
        <v>1686</v>
      </c>
      <c r="CF17" t="s">
        <v>1432</v>
      </c>
      <c r="CG17" t="s">
        <v>1433</v>
      </c>
      <c r="CH17" t="s">
        <v>1911</v>
      </c>
      <c r="CI17" t="s">
        <v>1605</v>
      </c>
      <c r="CK17" t="s">
        <v>1322</v>
      </c>
      <c r="CL17" t="s">
        <v>1392</v>
      </c>
      <c r="CM17" t="s">
        <v>1325</v>
      </c>
      <c r="CN17" t="s">
        <v>1400</v>
      </c>
      <c r="CO17" t="s">
        <v>1464</v>
      </c>
      <c r="CP17" t="s">
        <v>1329</v>
      </c>
      <c r="CQ17" t="s">
        <v>1611</v>
      </c>
      <c r="CS17" t="s">
        <v>2115</v>
      </c>
      <c r="CT17" t="s">
        <v>2125</v>
      </c>
      <c r="CU17">
        <f t="shared" ref="CU17:CU80" si="18">IF(MOD((ROW()-15),6)=0,6,MOD((ROW()-15),6))</f>
        <v>2</v>
      </c>
      <c r="CV17">
        <f t="shared" ref="CV17:CV80" si="19">IF(MOD(ROW()-15,6)=0,ROUNDDOWN((ROW()-15)/6,0),ROUNDDOWN((ROW()-15)/6,0)+1)</f>
        <v>1</v>
      </c>
      <c r="CW17" t="str">
        <f t="shared" ref="CW17:CW80" si="20">IF(CU17&lt;&gt;6,INDEX($CT$16:$CT$106,CV17)&amp;INDEX($CS$16:$CS$20,CU17),INDEX($CT$16:$CT$106,CV17))</f>
        <v>w_124TRIMET_M</v>
      </c>
      <c r="CX17">
        <f t="shared" ref="CX17:CX77" si="21">LEN(CW17)</f>
        <v>13</v>
      </c>
      <c r="CY17" t="str">
        <f t="shared" ref="CY17:CY80" si="22">"[kg/bbl] kg of "&amp;HLOOKUP(INDEX($CT$16:$CT$106,CV17),$E$16:$CQ$17,2,FALSE)&amp;" emissions to water per bbl of crude throughput"&amp;IF(CU17&lt;&gt;6,INDEX($DF$16:$DF$20,CU17),"")</f>
        <v>[kg/bbl] kg of 1,2,4-TRIMETHYLBENZENE emissions to water per bbl of crude throughput - Med Complexity</v>
      </c>
      <c r="DF17" t="s">
        <v>2120</v>
      </c>
    </row>
    <row r="18" spans="1:110" x14ac:dyDescent="0.25">
      <c r="A18" t="s">
        <v>2019</v>
      </c>
      <c r="B18" s="364" t="s">
        <v>1333</v>
      </c>
      <c r="C18" s="496"/>
      <c r="E18">
        <f t="shared" ref="E18:J25" si="23">IF(GETPIVOTDATA(T($A18),$A$3,"Unit Index",T($B18),"Substance Name",E$17)="",GETPIVOTDATA(T($A18),$A$3,"Substance Name",E$17),GETPIVOTDATA(T($A18),$A$3,"Unit Index",T($B18),"Substance Name",E$17))</f>
        <v>8.0939447096267695E-9</v>
      </c>
      <c r="F18">
        <f t="shared" si="23"/>
        <v>3.1000413843066711E-8</v>
      </c>
      <c r="G18">
        <f t="shared" si="23"/>
        <v>0</v>
      </c>
      <c r="H18">
        <f t="shared" si="23"/>
        <v>2.1107301599823037E-2</v>
      </c>
      <c r="I18">
        <f t="shared" si="23"/>
        <v>8.441651154178101E-7</v>
      </c>
      <c r="J18">
        <f t="shared" si="23"/>
        <v>0.47652826208338644</v>
      </c>
      <c r="K18">
        <f t="shared" ref="K18:O25" si="24">IF(GETPIVOTDATA(T($A18),$A$3,"Unit Index",T($B18),"Substance Name",K$17)="",GETPIVOTDATA(T($A18),$A$3,"Substance Name",K$17),GETPIVOTDATA(T($A18),$A$3,"Unit Index",T($B18),"Substance Name",K$17))</f>
        <v>3.7595474784855398E-4</v>
      </c>
      <c r="L18">
        <f t="shared" si="24"/>
        <v>1.6987943491133053E-4</v>
      </c>
      <c r="M18">
        <f t="shared" si="24"/>
        <v>3.1935214809741244E-4</v>
      </c>
      <c r="N18">
        <f t="shared" si="24"/>
        <v>2.8490685377886225E-7</v>
      </c>
      <c r="O18">
        <f t="shared" si="24"/>
        <v>2.026472835709589E-5</v>
      </c>
      <c r="P18">
        <f t="shared" ref="P18:T25" si="25">IF(GETPIVOTDATA(T($A18),$A$3,"Unit Index",T($B18),"Substance Name",P$17)="",GETPIVOTDATA(T($A18),$A$3,"Substance Name",P$17),GETPIVOTDATA(T($A18),$A$3,"Unit Index",T($B18),"Substance Name",P$17))</f>
        <v>1.4725560744755281E-5</v>
      </c>
      <c r="Q18">
        <f t="shared" si="25"/>
        <v>4.4141655100064653E-3</v>
      </c>
      <c r="R18">
        <f t="shared" si="25"/>
        <v>2.1368014033414669E-7</v>
      </c>
      <c r="S18">
        <f t="shared" si="25"/>
        <v>2.4800331074453369E-8</v>
      </c>
      <c r="T18">
        <f t="shared" si="25"/>
        <v>0</v>
      </c>
      <c r="U18">
        <f t="shared" ref="U18:AA25" si="26">IF(GETPIVOTDATA(T($A18),$A$3,"Unit Index",T($B18),"Substance Name",U$17)="",GETPIVOTDATA(T($A18),$A$3,"Substance Name",U$17),GETPIVOTDATA(T($A18),$A$3,"Unit Index",T($B18),"Substance Name",U$17))</f>
        <v>1.1379144115179657E-4</v>
      </c>
      <c r="V18">
        <f t="shared" si="26"/>
        <v>0</v>
      </c>
      <c r="W18">
        <f t="shared" si="26"/>
        <v>2.8545329984014617E-3</v>
      </c>
      <c r="X18">
        <f t="shared" si="26"/>
        <v>0</v>
      </c>
      <c r="Y18">
        <f t="shared" si="26"/>
        <v>0</v>
      </c>
      <c r="Z18">
        <f t="shared" si="26"/>
        <v>4.7422227548623713E-3</v>
      </c>
      <c r="AA18">
        <f t="shared" si="26"/>
        <v>1.1556314526181988E-3</v>
      </c>
      <c r="AB18">
        <f t="shared" ref="AB18:AD25" si="27">IF(GETPIVOTDATA(T($A18),$A$3,"Unit Index",T($B18),"Substance Name",AB$17)="",GETPIVOTDATA(T($A18),$A$3,"Substance Name",AB$17),GETPIVOTDATA(T($A18),$A$3,"Unit Index",T($B18),"Substance Name",AB$17))</f>
        <v>1.7030496670751647E-5</v>
      </c>
      <c r="AC18">
        <f t="shared" si="27"/>
        <v>9.2522184936938059E-7</v>
      </c>
      <c r="AD18">
        <f t="shared" si="27"/>
        <v>6.2000827686133422E-8</v>
      </c>
      <c r="AE18">
        <f t="shared" ref="AE18:AG25" si="28">IF(GETPIVOTDATA(T($A18),$A$3,"Unit Index",T($B18),"Substance Name",AE$17)="",GETPIVOTDATA(T($A18),$A$3,"Substance Name",AE$17),GETPIVOTDATA(T($A18),$A$3,"Unit Index",T($B18),"Substance Name",AE$17))</f>
        <v>3.2563590731762235E-7</v>
      </c>
      <c r="AF18">
        <f t="shared" si="28"/>
        <v>1.2311088470028866E-2</v>
      </c>
      <c r="AG18">
        <f t="shared" si="28"/>
        <v>1.2833531135853043E-6</v>
      </c>
      <c r="AH18">
        <f t="shared" ref="AH18:BW20" si="29">IF(GETPIVOTDATA(T($A18),$A$3,"Unit Index",T($B18),"Substance Name",AH$17)="",GETPIVOTDATA(T($A18),$A$3,"Substance Name",AH$17),GETPIVOTDATA(T($A18),$A$3,"Unit Index",T($B18),"Substance Name",AH$17))</f>
        <v>2.641794712954512E-4</v>
      </c>
      <c r="AI18">
        <f t="shared" si="29"/>
        <v>3.1000413843066711E-8</v>
      </c>
      <c r="AJ18">
        <f t="shared" si="29"/>
        <v>0</v>
      </c>
      <c r="AK18">
        <f t="shared" si="29"/>
        <v>0.22410554162801888</v>
      </c>
      <c r="AL18">
        <f t="shared" si="29"/>
        <v>5.4531631547042991E-7</v>
      </c>
      <c r="AM18">
        <f t="shared" si="29"/>
        <v>0</v>
      </c>
      <c r="AN18">
        <f t="shared" si="29"/>
        <v>6.8345514623490257E-3</v>
      </c>
      <c r="AO18">
        <f t="shared" si="29"/>
        <v>1.6160333100099101E-4</v>
      </c>
      <c r="AP18">
        <f t="shared" si="29"/>
        <v>0</v>
      </c>
      <c r="AQ18">
        <f t="shared" si="29"/>
        <v>0</v>
      </c>
      <c r="AR18">
        <f t="shared" si="29"/>
        <v>1.8349893131435865E-4</v>
      </c>
      <c r="AS18">
        <f t="shared" si="29"/>
        <v>0</v>
      </c>
      <c r="AT18">
        <f t="shared" si="29"/>
        <v>0</v>
      </c>
      <c r="AU18">
        <f t="shared" si="29"/>
        <v>7.8675622898982476E-3</v>
      </c>
      <c r="AV18">
        <f t="shared" si="29"/>
        <v>2.4019807536300011E-6</v>
      </c>
      <c r="AW18">
        <f t="shared" si="29"/>
        <v>0</v>
      </c>
      <c r="AX18">
        <f t="shared" si="29"/>
        <v>2.3397181642348448E-2</v>
      </c>
      <c r="AY18">
        <f t="shared" si="29"/>
        <v>0</v>
      </c>
      <c r="AZ18">
        <f t="shared" si="29"/>
        <v>2.7833929995574067E-5</v>
      </c>
      <c r="BA18">
        <f t="shared" si="29"/>
        <v>0</v>
      </c>
      <c r="BB18">
        <f t="shared" si="29"/>
        <v>4.7538515152792409E-7</v>
      </c>
      <c r="BC18">
        <f t="shared" si="29"/>
        <v>3.9854524172676782E-4</v>
      </c>
      <c r="BD18">
        <f t="shared" si="29"/>
        <v>8.1283746626012671E-5</v>
      </c>
      <c r="BE18">
        <f t="shared" si="29"/>
        <v>1.9484781335743697E-10</v>
      </c>
      <c r="BF18">
        <f t="shared" si="29"/>
        <v>0</v>
      </c>
      <c r="BG18">
        <f t="shared" si="29"/>
        <v>1.1247006550185181E-2</v>
      </c>
      <c r="BH18">
        <f t="shared" si="29"/>
        <v>1.6184136507375578E-4</v>
      </c>
      <c r="BI18">
        <f t="shared" si="29"/>
        <v>1.2038153369694064E-7</v>
      </c>
      <c r="BJ18">
        <f t="shared" si="29"/>
        <v>0.23315366831973672</v>
      </c>
      <c r="BK18">
        <f t="shared" si="29"/>
        <v>8.2781456953642373E-3</v>
      </c>
      <c r="BL18">
        <f t="shared" si="29"/>
        <v>0</v>
      </c>
      <c r="BM18">
        <f t="shared" si="29"/>
        <v>1.0343645241747903E-2</v>
      </c>
      <c r="BN18">
        <f t="shared" si="29"/>
        <v>2.641794712954512E-4</v>
      </c>
      <c r="BO18">
        <f t="shared" si="29"/>
        <v>3.8163750236645661E-6</v>
      </c>
      <c r="BP18">
        <f t="shared" si="29"/>
        <v>51.453263350432913</v>
      </c>
      <c r="BQ18">
        <f t="shared" si="29"/>
        <v>1.0926106924045399E-6</v>
      </c>
      <c r="BR18">
        <f t="shared" si="29"/>
        <v>7.4668874172185429E-2</v>
      </c>
      <c r="BS18">
        <f t="shared" si="29"/>
        <v>1.6054585591009432E-2</v>
      </c>
      <c r="BT18">
        <f t="shared" si="29"/>
        <v>0</v>
      </c>
      <c r="BU18">
        <f t="shared" si="29"/>
        <v>2.8548179052552401E-3</v>
      </c>
      <c r="BV18" s="366">
        <f t="shared" si="29"/>
        <v>2.3430312345170345E-2</v>
      </c>
      <c r="BW18" s="366">
        <f t="shared" si="29"/>
        <v>1.0808345859325544E-6</v>
      </c>
      <c r="BX18" s="366">
        <f t="shared" ref="BX18:CQ22" si="30">IF(GETPIVOTDATA(T($A18),$A$3,"Unit Index",T($B18),"Substance Name",BX$17)="",GETPIVOTDATA(T($A18),$A$3,"Substance Name",BX$17),GETPIVOTDATA(T($A18),$A$3,"Unit Index",T($B18),"Substance Name",BX$17))</f>
        <v>6.953708313651394E-7</v>
      </c>
      <c r="BY18" s="366">
        <f t="shared" si="30"/>
        <v>1.7699304621298279E-6</v>
      </c>
      <c r="BZ18" s="366">
        <f t="shared" si="30"/>
        <v>3.194023426171505E-6</v>
      </c>
      <c r="CA18">
        <f t="shared" si="30"/>
        <v>2.9738070492026965E-5</v>
      </c>
      <c r="CB18">
        <f t="shared" si="30"/>
        <v>1.2908660327602642E-2</v>
      </c>
      <c r="CC18">
        <f t="shared" si="30"/>
        <v>0</v>
      </c>
      <c r="CD18">
        <f t="shared" si="30"/>
        <v>8.2781456953642373E-3</v>
      </c>
      <c r="CE18">
        <f t="shared" si="30"/>
        <v>6.2000827686133422E-8</v>
      </c>
      <c r="CF18">
        <f t="shared" si="30"/>
        <v>2.6599583881779898E-6</v>
      </c>
      <c r="CG18">
        <f t="shared" si="30"/>
        <v>2.7957563543677055E-9</v>
      </c>
      <c r="CH18">
        <f t="shared" si="30"/>
        <v>6.2124152409152858E-3</v>
      </c>
      <c r="CI18">
        <f t="shared" si="30"/>
        <v>0.17128966160542075</v>
      </c>
      <c r="CK18">
        <f t="shared" si="30"/>
        <v>4.1832337472806303E-3</v>
      </c>
      <c r="CL18">
        <f t="shared" si="30"/>
        <v>0</v>
      </c>
      <c r="CM18">
        <f t="shared" si="30"/>
        <v>4.520349003059039E-3</v>
      </c>
      <c r="CN18">
        <f t="shared" si="30"/>
        <v>1.6964549783449997E-7</v>
      </c>
      <c r="CO18">
        <f t="shared" si="30"/>
        <v>3.7705338216917234E-5</v>
      </c>
      <c r="CP18">
        <f t="shared" si="30"/>
        <v>1.2993402983077332E-2</v>
      </c>
      <c r="CQ18">
        <f t="shared" si="30"/>
        <v>3.238210077639621E-5</v>
      </c>
      <c r="CS18" t="s">
        <v>2116</v>
      </c>
      <c r="CT18" t="s">
        <v>2126</v>
      </c>
      <c r="CU18">
        <f t="shared" si="18"/>
        <v>3</v>
      </c>
      <c r="CV18">
        <f t="shared" si="19"/>
        <v>1</v>
      </c>
      <c r="CW18" t="str">
        <f t="shared" si="20"/>
        <v>w_124TRIMET_HiH</v>
      </c>
      <c r="CX18">
        <f t="shared" si="21"/>
        <v>15</v>
      </c>
      <c r="CY18" t="str">
        <f t="shared" si="22"/>
        <v>[kg/bbl] kg of 1,2,4-TRIMETHYLBENZENE emissions to water per bbl of crude throughput - High Complexity Hydro Cracking</v>
      </c>
      <c r="DF18" t="s">
        <v>2121</v>
      </c>
    </row>
    <row r="19" spans="1:110" x14ac:dyDescent="0.25">
      <c r="A19" t="s">
        <v>2019</v>
      </c>
      <c r="B19" s="364" t="s">
        <v>1270</v>
      </c>
      <c r="C19" s="496"/>
      <c r="E19">
        <f t="shared" si="23"/>
        <v>9.4960803526266888E-3</v>
      </c>
      <c r="F19">
        <f t="shared" si="23"/>
        <v>3.1000413843066711E-8</v>
      </c>
      <c r="G19">
        <f t="shared" si="23"/>
        <v>8.9493466976910683E-4</v>
      </c>
      <c r="H19">
        <f t="shared" si="23"/>
        <v>2.1107301599823037E-2</v>
      </c>
      <c r="I19">
        <f t="shared" si="23"/>
        <v>8.441651154178101E-7</v>
      </c>
      <c r="J19">
        <f t="shared" si="23"/>
        <v>0.47652826208338644</v>
      </c>
      <c r="K19">
        <f t="shared" si="24"/>
        <v>3.7595474784855398E-4</v>
      </c>
      <c r="L19">
        <f t="shared" si="24"/>
        <v>3.1832201137450289</v>
      </c>
      <c r="M19">
        <f t="shared" si="24"/>
        <v>3.1935214809741244E-4</v>
      </c>
      <c r="N19">
        <f t="shared" si="24"/>
        <v>6.8984547461368659E-4</v>
      </c>
      <c r="O19">
        <f t="shared" si="24"/>
        <v>5.6912519356942943E-7</v>
      </c>
      <c r="P19">
        <f t="shared" si="25"/>
        <v>1.4771577246750967E-5</v>
      </c>
      <c r="Q19">
        <f t="shared" si="25"/>
        <v>2.8815147862631913E-2</v>
      </c>
      <c r="R19">
        <f t="shared" si="25"/>
        <v>1.3139913802165455E-4</v>
      </c>
      <c r="S19">
        <f t="shared" si="25"/>
        <v>2.4800331074453369E-8</v>
      </c>
      <c r="T19">
        <f t="shared" si="25"/>
        <v>1.7522164820376268E-3</v>
      </c>
      <c r="U19">
        <f t="shared" si="26"/>
        <v>1.1379144115179657E-4</v>
      </c>
      <c r="V19">
        <f t="shared" si="26"/>
        <v>0</v>
      </c>
      <c r="W19">
        <f t="shared" si="26"/>
        <v>1.5416510018032962E-2</v>
      </c>
      <c r="X19">
        <f t="shared" si="26"/>
        <v>9.9411066654509203E-2</v>
      </c>
      <c r="Y19">
        <f t="shared" si="26"/>
        <v>1.4005622020085887E-2</v>
      </c>
      <c r="Z19">
        <f t="shared" si="26"/>
        <v>2.8641922174886415E-3</v>
      </c>
      <c r="AA19">
        <f t="shared" si="26"/>
        <v>1.2095939688589838E-2</v>
      </c>
      <c r="AB19">
        <f t="shared" si="27"/>
        <v>0</v>
      </c>
      <c r="AC19">
        <f t="shared" si="27"/>
        <v>1.9142719374985292E-8</v>
      </c>
      <c r="AD19">
        <f t="shared" si="27"/>
        <v>6.2000827686133422E-8</v>
      </c>
      <c r="AE19">
        <f t="shared" si="28"/>
        <v>7.824607730885721E-8</v>
      </c>
      <c r="AF19">
        <f t="shared" si="28"/>
        <v>8.2781456953642373E-3</v>
      </c>
      <c r="AG19">
        <f t="shared" si="28"/>
        <v>1.2833531135853043E-6</v>
      </c>
      <c r="AH19">
        <f t="shared" si="29"/>
        <v>2.6583445810165258E-2</v>
      </c>
      <c r="AI19">
        <f t="shared" si="29"/>
        <v>3.1000413843066711E-8</v>
      </c>
      <c r="AJ19">
        <f t="shared" si="29"/>
        <v>0</v>
      </c>
      <c r="AK19">
        <f t="shared" si="29"/>
        <v>0.11186683372113834</v>
      </c>
      <c r="AL19">
        <f t="shared" si="29"/>
        <v>6.4653159696761489E-7</v>
      </c>
      <c r="AM19">
        <f t="shared" si="29"/>
        <v>0.23986571033253726</v>
      </c>
      <c r="AN19">
        <f t="shared" si="29"/>
        <v>1.5520162858322421E-2</v>
      </c>
      <c r="AO19">
        <f t="shared" si="29"/>
        <v>1.6160333100099101E-4</v>
      </c>
      <c r="AP19">
        <f t="shared" si="29"/>
        <v>0</v>
      </c>
      <c r="AQ19">
        <f t="shared" si="29"/>
        <v>0</v>
      </c>
      <c r="AR19">
        <f t="shared" si="29"/>
        <v>1.7820303856517998E-4</v>
      </c>
      <c r="AS19">
        <f t="shared" si="29"/>
        <v>0</v>
      </c>
      <c r="AT19">
        <f t="shared" si="29"/>
        <v>0</v>
      </c>
      <c r="AU19">
        <f t="shared" si="29"/>
        <v>7.8675622898982476E-3</v>
      </c>
      <c r="AV19">
        <f t="shared" si="29"/>
        <v>2.4019807536300011E-6</v>
      </c>
      <c r="AW19">
        <f t="shared" si="29"/>
        <v>0.18291305837705388</v>
      </c>
      <c r="AX19">
        <f t="shared" si="29"/>
        <v>2.3397181642348448E-2</v>
      </c>
      <c r="AY19">
        <f t="shared" si="29"/>
        <v>0</v>
      </c>
      <c r="AZ19">
        <f t="shared" si="29"/>
        <v>5.4911176573869489E-5</v>
      </c>
      <c r="BA19">
        <f t="shared" si="29"/>
        <v>1.2836381229148497E-3</v>
      </c>
      <c r="BB19">
        <f t="shared" si="29"/>
        <v>0</v>
      </c>
      <c r="BC19">
        <f t="shared" si="29"/>
        <v>3.9854524172676782E-4</v>
      </c>
      <c r="BD19">
        <f t="shared" si="29"/>
        <v>8.1283746626012671E-5</v>
      </c>
      <c r="BE19">
        <f t="shared" si="29"/>
        <v>3.7984747475661636E-9</v>
      </c>
      <c r="BF19">
        <f t="shared" si="29"/>
        <v>0</v>
      </c>
      <c r="BG19">
        <f t="shared" si="29"/>
        <v>1.1247006550185181E-2</v>
      </c>
      <c r="BH19">
        <f t="shared" si="29"/>
        <v>4.7606814552953302E-7</v>
      </c>
      <c r="BI19">
        <f t="shared" si="29"/>
        <v>1.2038153369694064E-7</v>
      </c>
      <c r="BJ19">
        <f t="shared" si="29"/>
        <v>0</v>
      </c>
      <c r="BK19">
        <f t="shared" si="29"/>
        <v>8.2781456953642373E-3</v>
      </c>
      <c r="BL19">
        <f t="shared" si="29"/>
        <v>0</v>
      </c>
      <c r="BM19">
        <f t="shared" si="29"/>
        <v>3.1756239028124758E-2</v>
      </c>
      <c r="BN19">
        <f t="shared" si="29"/>
        <v>0.12886804676627353</v>
      </c>
      <c r="BO19">
        <f t="shared" si="29"/>
        <v>1.2296942218560099E-8</v>
      </c>
      <c r="BP19">
        <f t="shared" si="29"/>
        <v>238.59947182539281</v>
      </c>
      <c r="BQ19">
        <f t="shared" si="29"/>
        <v>2.0000725980053083E-3</v>
      </c>
      <c r="BR19">
        <f t="shared" si="29"/>
        <v>3.7334437086092714E-2</v>
      </c>
      <c r="BS19">
        <f t="shared" si="29"/>
        <v>1.6054585591009432E-2</v>
      </c>
      <c r="BT19">
        <f t="shared" si="29"/>
        <v>1.1706468660111044E-3</v>
      </c>
      <c r="BU19">
        <f t="shared" si="29"/>
        <v>4.4018711237254282E-3</v>
      </c>
      <c r="BV19" s="366">
        <f t="shared" si="29"/>
        <v>9.7022000539797232E-2</v>
      </c>
      <c r="BW19" s="366">
        <f t="shared" si="29"/>
        <v>1.0808345859325544E-6</v>
      </c>
      <c r="BX19" s="366">
        <f t="shared" si="30"/>
        <v>6.953708313651394E-7</v>
      </c>
      <c r="BY19" s="366">
        <f t="shared" si="30"/>
        <v>1.428537011080489E-6</v>
      </c>
      <c r="BZ19" s="366">
        <f t="shared" si="30"/>
        <v>1.7042020970651392E-8</v>
      </c>
      <c r="CA19">
        <f t="shared" si="30"/>
        <v>1.5208684107655089E-5</v>
      </c>
      <c r="CB19">
        <f t="shared" si="30"/>
        <v>0.15759025886021125</v>
      </c>
      <c r="CC19">
        <f t="shared" si="30"/>
        <v>0.24341171405725959</v>
      </c>
      <c r="CD19">
        <f t="shared" si="30"/>
        <v>8.2781456953642373E-3</v>
      </c>
      <c r="CE19">
        <f t="shared" si="30"/>
        <v>6.2000827686133422E-8</v>
      </c>
      <c r="CF19">
        <f t="shared" si="30"/>
        <v>8.0321084267812509E-7</v>
      </c>
      <c r="CG19">
        <f t="shared" si="30"/>
        <v>8.3872690631031165E-9</v>
      </c>
      <c r="CH19">
        <f t="shared" si="30"/>
        <v>6.2124152409152858E-3</v>
      </c>
      <c r="CI19">
        <f t="shared" si="30"/>
        <v>7.9344912625178801E-2</v>
      </c>
      <c r="CK19">
        <f t="shared" si="30"/>
        <v>1.3495954123606063E-3</v>
      </c>
      <c r="CL19">
        <f t="shared" si="30"/>
        <v>0.8365545855520331</v>
      </c>
      <c r="CM19">
        <f t="shared" si="30"/>
        <v>3.9803188179813938E-2</v>
      </c>
      <c r="CN19">
        <f t="shared" si="30"/>
        <v>1.6964549783449997E-7</v>
      </c>
      <c r="CO19">
        <f t="shared" si="30"/>
        <v>3.7705338216917234E-5</v>
      </c>
      <c r="CP19">
        <f t="shared" si="30"/>
        <v>0.23905281713018481</v>
      </c>
      <c r="CQ19">
        <f t="shared" si="30"/>
        <v>1.5955973340279753E-6</v>
      </c>
      <c r="CS19" t="s">
        <v>2117</v>
      </c>
      <c r="CT19" t="s">
        <v>2127</v>
      </c>
      <c r="CU19">
        <f t="shared" si="18"/>
        <v>4</v>
      </c>
      <c r="CV19">
        <f t="shared" si="19"/>
        <v>1</v>
      </c>
      <c r="CW19" t="str">
        <f t="shared" si="20"/>
        <v>w_124TRIMET_HiC</v>
      </c>
      <c r="CX19">
        <f t="shared" si="21"/>
        <v>15</v>
      </c>
      <c r="CY19" t="str">
        <f t="shared" si="22"/>
        <v>[kg/bbl] kg of 1,2,4-TRIMETHYLBENZENE emissions to water per bbl of crude throughput - High Complexity Coking</v>
      </c>
      <c r="DF19" t="s">
        <v>2122</v>
      </c>
    </row>
    <row r="20" spans="1:110" x14ac:dyDescent="0.25">
      <c r="A20" t="s">
        <v>2019</v>
      </c>
      <c r="B20" s="364" t="s">
        <v>1473</v>
      </c>
      <c r="C20" s="496"/>
      <c r="E20">
        <f t="shared" si="23"/>
        <v>1.1205478269773932E-2</v>
      </c>
      <c r="F20">
        <f t="shared" si="23"/>
        <v>3.1000413843066711E-8</v>
      </c>
      <c r="G20">
        <f t="shared" si="23"/>
        <v>0</v>
      </c>
      <c r="H20">
        <f t="shared" si="23"/>
        <v>2.1107301599823037E-2</v>
      </c>
      <c r="I20">
        <f t="shared" si="23"/>
        <v>8.441651154178101E-7</v>
      </c>
      <c r="J20">
        <f t="shared" si="23"/>
        <v>0.47652826208338644</v>
      </c>
      <c r="K20">
        <f t="shared" si="24"/>
        <v>1.2789749190736763E-3</v>
      </c>
      <c r="L20">
        <f t="shared" si="24"/>
        <v>5.0624091816328426E-4</v>
      </c>
      <c r="M20">
        <f t="shared" si="24"/>
        <v>3.1935214809741244E-4</v>
      </c>
      <c r="N20">
        <f t="shared" si="24"/>
        <v>4.4193269833607629E-3</v>
      </c>
      <c r="O20">
        <f t="shared" si="24"/>
        <v>4.4746631158674852E-6</v>
      </c>
      <c r="P20">
        <f t="shared" si="25"/>
        <v>1.4725560744755281E-5</v>
      </c>
      <c r="Q20">
        <f t="shared" si="25"/>
        <v>2.272439076880689E-2</v>
      </c>
      <c r="R20">
        <f t="shared" si="25"/>
        <v>1.8068474524081661E-3</v>
      </c>
      <c r="S20">
        <f t="shared" si="25"/>
        <v>2.4800331074453369E-8</v>
      </c>
      <c r="T20">
        <f t="shared" si="25"/>
        <v>2.6869301306810534E-3</v>
      </c>
      <c r="U20">
        <f t="shared" si="26"/>
        <v>1.1379144115179657E-4</v>
      </c>
      <c r="V20">
        <f t="shared" si="26"/>
        <v>0</v>
      </c>
      <c r="W20">
        <f t="shared" si="26"/>
        <v>1.5416510018032962E-2</v>
      </c>
      <c r="X20">
        <f t="shared" si="26"/>
        <v>9.9411066654509203E-2</v>
      </c>
      <c r="Y20">
        <f t="shared" si="26"/>
        <v>1.4005622020085887E-2</v>
      </c>
      <c r="Z20">
        <f t="shared" si="26"/>
        <v>8.7060548846274819E-3</v>
      </c>
      <c r="AA20">
        <f t="shared" si="26"/>
        <v>1.2873010610902621E-2</v>
      </c>
      <c r="AB20">
        <f t="shared" si="27"/>
        <v>9.0877824215475741E-5</v>
      </c>
      <c r="AC20">
        <f t="shared" si="27"/>
        <v>1.6829279089554333E-7</v>
      </c>
      <c r="AD20">
        <f t="shared" si="27"/>
        <v>6.2000827686133422E-8</v>
      </c>
      <c r="AE20">
        <f t="shared" si="28"/>
        <v>3.6215433755366733E-7</v>
      </c>
      <c r="AF20">
        <f t="shared" si="28"/>
        <v>0.61981273436174578</v>
      </c>
      <c r="AG20">
        <f t="shared" si="28"/>
        <v>2.0691439290748301E-6</v>
      </c>
      <c r="AH20">
        <f t="shared" si="29"/>
        <v>8.2357828308421022E-3</v>
      </c>
      <c r="AI20">
        <f t="shared" si="29"/>
        <v>3.1000413843066711E-8</v>
      </c>
      <c r="AJ20">
        <f t="shared" si="29"/>
        <v>0</v>
      </c>
      <c r="AK20">
        <f t="shared" si="29"/>
        <v>7.702255599571617E-3</v>
      </c>
      <c r="AL20">
        <f t="shared" si="29"/>
        <v>3.2848402114211737E-7</v>
      </c>
      <c r="AM20">
        <f t="shared" si="29"/>
        <v>0</v>
      </c>
      <c r="AN20">
        <f t="shared" si="29"/>
        <v>7.9175286921769634E-3</v>
      </c>
      <c r="AO20">
        <f t="shared" si="29"/>
        <v>1.6160333100099101E-4</v>
      </c>
      <c r="AP20">
        <f t="shared" si="29"/>
        <v>2.1231811324789316</v>
      </c>
      <c r="AQ20">
        <f t="shared" si="29"/>
        <v>0</v>
      </c>
      <c r="AR20">
        <f t="shared" si="29"/>
        <v>1.8349893131435865E-4</v>
      </c>
      <c r="AS20">
        <f t="shared" si="29"/>
        <v>0</v>
      </c>
      <c r="AT20">
        <f t="shared" si="29"/>
        <v>0</v>
      </c>
      <c r="AU20">
        <f t="shared" si="29"/>
        <v>7.8675622898982476E-3</v>
      </c>
      <c r="AV20">
        <f t="shared" si="29"/>
        <v>2.4019807536300011E-6</v>
      </c>
      <c r="AW20">
        <f t="shared" si="29"/>
        <v>0</v>
      </c>
      <c r="AX20">
        <f t="shared" si="29"/>
        <v>0</v>
      </c>
      <c r="AY20">
        <f t="shared" si="29"/>
        <v>0</v>
      </c>
      <c r="AZ20">
        <f t="shared" si="29"/>
        <v>4.9765650903813409E-4</v>
      </c>
      <c r="BA20">
        <f t="shared" si="29"/>
        <v>7.1225797811630071E-3</v>
      </c>
      <c r="BB20">
        <f t="shared" si="29"/>
        <v>7.290086545961478E-8</v>
      </c>
      <c r="BC20">
        <f t="shared" si="29"/>
        <v>3.9854524172676782E-4</v>
      </c>
      <c r="BD20">
        <f t="shared" si="29"/>
        <v>8.1283746626012671E-5</v>
      </c>
      <c r="BE20">
        <f t="shared" si="29"/>
        <v>1.8164140211906252E-9</v>
      </c>
      <c r="BF20">
        <f t="shared" si="29"/>
        <v>5.2155545418481104</v>
      </c>
      <c r="BG20">
        <f t="shared" si="29"/>
        <v>1.1247006550185181E-2</v>
      </c>
      <c r="BH20">
        <f t="shared" si="29"/>
        <v>1.6184136507375578E-4</v>
      </c>
      <c r="BI20">
        <f t="shared" si="29"/>
        <v>1.2038153369694064E-7</v>
      </c>
      <c r="BJ20">
        <f t="shared" si="29"/>
        <v>0.22096634916803815</v>
      </c>
      <c r="BK20">
        <f t="shared" si="29"/>
        <v>8.2781456953642373E-3</v>
      </c>
      <c r="BL20">
        <f t="shared" si="29"/>
        <v>0</v>
      </c>
      <c r="BM20">
        <f t="shared" si="29"/>
        <v>5.1360770343088094E-3</v>
      </c>
      <c r="BN20">
        <f t="shared" si="29"/>
        <v>8.0158033545361645E-3</v>
      </c>
      <c r="BO20">
        <f t="shared" si="29"/>
        <v>3.5903445179327423E-6</v>
      </c>
      <c r="BP20">
        <f t="shared" si="29"/>
        <v>172.53719697713487</v>
      </c>
      <c r="BQ20">
        <f t="shared" si="29"/>
        <v>8.4984302101103512E-4</v>
      </c>
      <c r="BR20">
        <f t="shared" si="29"/>
        <v>3.7334437086092714E-2</v>
      </c>
      <c r="BS20">
        <f t="shared" si="29"/>
        <v>1.6054585591009432E-2</v>
      </c>
      <c r="BT20">
        <f t="shared" si="29"/>
        <v>6.5194431773101381E-4</v>
      </c>
      <c r="BU20">
        <f t="shared" si="29"/>
        <v>4.4193269833607629E-3</v>
      </c>
      <c r="BV20" s="366">
        <f t="shared" si="29"/>
        <v>0.7582154708829697</v>
      </c>
      <c r="BW20" s="366">
        <f t="shared" ref="BW20:CQ32" si="31">IF(GETPIVOTDATA(T($A20),$A$3,"Unit Index",T($B20),"Substance Name",BW$17)="",GETPIVOTDATA(T($A20),$A$3,"Substance Name",BW$17),GETPIVOTDATA(T($A20),$A$3,"Unit Index",T($B20),"Substance Name",BW$17))</f>
        <v>1.0808345859325544E-6</v>
      </c>
      <c r="BX20" s="366">
        <f t="shared" si="30"/>
        <v>6.953708313651394E-7</v>
      </c>
      <c r="BY20" s="366">
        <f t="shared" si="30"/>
        <v>1.1011427844724215E-6</v>
      </c>
      <c r="BZ20" s="366">
        <f t="shared" si="30"/>
        <v>1.8560223674160692E-6</v>
      </c>
      <c r="CA20">
        <f t="shared" si="30"/>
        <v>2.9738070492026965E-5</v>
      </c>
      <c r="CB20">
        <f t="shared" si="30"/>
        <v>9.6160096228360709E-3</v>
      </c>
      <c r="CC20">
        <f t="shared" si="30"/>
        <v>4.7809249966941003E-3</v>
      </c>
      <c r="CD20">
        <f t="shared" si="30"/>
        <v>8.2781456953642373E-3</v>
      </c>
      <c r="CE20">
        <f t="shared" si="30"/>
        <v>6.2000827686133422E-8</v>
      </c>
      <c r="CF20">
        <f t="shared" si="30"/>
        <v>1.62580978114954E-6</v>
      </c>
      <c r="CG20">
        <f t="shared" si="30"/>
        <v>2.7957563543677055E-9</v>
      </c>
      <c r="CH20">
        <f t="shared" si="30"/>
        <v>6.2124152409152858E-3</v>
      </c>
      <c r="CI20">
        <f t="shared" si="30"/>
        <v>0.17128966160542075</v>
      </c>
      <c r="CK20">
        <f t="shared" si="30"/>
        <v>2.339829802087209E-3</v>
      </c>
      <c r="CL20">
        <f t="shared" si="30"/>
        <v>0.12166670328983972</v>
      </c>
      <c r="CM20">
        <f t="shared" si="30"/>
        <v>2.9485059890253931E-2</v>
      </c>
      <c r="CN20">
        <f t="shared" si="30"/>
        <v>1.6964549783449997E-7</v>
      </c>
      <c r="CO20">
        <f t="shared" si="30"/>
        <v>3.7705338216917234E-5</v>
      </c>
      <c r="CP20">
        <f t="shared" si="30"/>
        <v>4.142135862414649E-2</v>
      </c>
      <c r="CQ20">
        <f t="shared" si="30"/>
        <v>5.6065862596137576E-6</v>
      </c>
      <c r="CS20" t="s">
        <v>2118</v>
      </c>
      <c r="CT20" t="s">
        <v>2128</v>
      </c>
      <c r="CU20">
        <f t="shared" si="18"/>
        <v>5</v>
      </c>
      <c r="CV20">
        <f t="shared" si="19"/>
        <v>1</v>
      </c>
      <c r="CW20" t="str">
        <f t="shared" si="20"/>
        <v>w_124TRIMET_HiB</v>
      </c>
      <c r="CX20">
        <f t="shared" si="21"/>
        <v>15</v>
      </c>
      <c r="CY20" t="str">
        <f t="shared" si="22"/>
        <v>[kg/bbl] kg of 1,2,4-TRIMETHYLBENZENE emissions to water per bbl of crude throughput - High Complexity Hydro Cracking and Coking</v>
      </c>
      <c r="DF20" t="s">
        <v>2123</v>
      </c>
    </row>
    <row r="21" spans="1:110" x14ac:dyDescent="0.25">
      <c r="A21" t="s">
        <v>2019</v>
      </c>
      <c r="B21" s="364" t="s">
        <v>1412</v>
      </c>
      <c r="C21" s="496"/>
      <c r="E21">
        <f t="shared" si="23"/>
        <v>0.1037475969641979</v>
      </c>
      <c r="F21">
        <f t="shared" si="23"/>
        <v>3.1000413843066711E-8</v>
      </c>
      <c r="G21">
        <f t="shared" si="23"/>
        <v>1.4830811563080887E-4</v>
      </c>
      <c r="H21">
        <f t="shared" si="23"/>
        <v>2.1107301599823037E-2</v>
      </c>
      <c r="I21">
        <f t="shared" si="23"/>
        <v>8.441651154178101E-7</v>
      </c>
      <c r="J21">
        <f t="shared" si="23"/>
        <v>0.47652826208338644</v>
      </c>
      <c r="K21">
        <f t="shared" si="24"/>
        <v>2.9637434748025553E-4</v>
      </c>
      <c r="L21">
        <f t="shared" si="24"/>
        <v>0.54802049011146237</v>
      </c>
      <c r="M21">
        <f t="shared" si="24"/>
        <v>3.1935214809741244E-4</v>
      </c>
      <c r="N21">
        <f t="shared" si="24"/>
        <v>0</v>
      </c>
      <c r="O21">
        <f t="shared" si="24"/>
        <v>4.9820231922497068E-8</v>
      </c>
      <c r="P21">
        <f t="shared" si="25"/>
        <v>1.4679544242759596E-5</v>
      </c>
      <c r="Q21">
        <f t="shared" si="25"/>
        <v>1.9689759876309301E-2</v>
      </c>
      <c r="R21">
        <f t="shared" si="25"/>
        <v>6.415338784506279E-3</v>
      </c>
      <c r="S21">
        <f t="shared" si="25"/>
        <v>2.4800331074453369E-8</v>
      </c>
      <c r="T21">
        <f t="shared" si="25"/>
        <v>0</v>
      </c>
      <c r="U21">
        <f t="shared" si="26"/>
        <v>1.1379144115179657E-4</v>
      </c>
      <c r="V21">
        <f t="shared" si="26"/>
        <v>0</v>
      </c>
      <c r="W21">
        <f t="shared" si="26"/>
        <v>0</v>
      </c>
      <c r="X21">
        <f t="shared" si="26"/>
        <v>0</v>
      </c>
      <c r="Y21">
        <f t="shared" si="26"/>
        <v>1.4005622020085887E-2</v>
      </c>
      <c r="Z21">
        <f t="shared" si="26"/>
        <v>8.988509310163862E-3</v>
      </c>
      <c r="AA21">
        <f t="shared" si="26"/>
        <v>1.5057871772366501E-2</v>
      </c>
      <c r="AB21">
        <f t="shared" si="27"/>
        <v>5.4245711707616647E-6</v>
      </c>
      <c r="AC21">
        <f t="shared" si="27"/>
        <v>1.1830983978077867E-7</v>
      </c>
      <c r="AD21">
        <f t="shared" si="27"/>
        <v>6.2000827686133422E-8</v>
      </c>
      <c r="AE21">
        <f t="shared" si="28"/>
        <v>4.2405681201119118E-6</v>
      </c>
      <c r="AF21">
        <f t="shared" si="28"/>
        <v>3.0321640784059974E-2</v>
      </c>
      <c r="AG21">
        <f t="shared" si="28"/>
        <v>7.1794577169290308E-7</v>
      </c>
      <c r="AH21">
        <f t="shared" ref="AH21:BV24" si="32">IF(GETPIVOTDATA(T($A21),$A$3,"Unit Index",T($B21),"Substance Name",AH$17)="",GETPIVOTDATA(T($A21),$A$3,"Substance Name",AH$17),GETPIVOTDATA(T($A21),$A$3,"Unit Index",T($B21),"Substance Name",AH$17))</f>
        <v>3.2096944678732836E-2</v>
      </c>
      <c r="AI21">
        <f t="shared" si="32"/>
        <v>0</v>
      </c>
      <c r="AJ21">
        <f t="shared" si="32"/>
        <v>0</v>
      </c>
      <c r="AK21">
        <f t="shared" si="32"/>
        <v>6.0237942651442056E-2</v>
      </c>
      <c r="AL21">
        <f t="shared" si="32"/>
        <v>4.0742002550049479E-7</v>
      </c>
      <c r="AM21">
        <f t="shared" si="32"/>
        <v>0</v>
      </c>
      <c r="AN21">
        <f t="shared" si="32"/>
        <v>2.6412769261868151E-2</v>
      </c>
      <c r="AO21">
        <f t="shared" si="32"/>
        <v>1.6160333100099101E-4</v>
      </c>
      <c r="AP21">
        <f t="shared" si="32"/>
        <v>4.5647688571160078E-6</v>
      </c>
      <c r="AQ21">
        <f t="shared" si="32"/>
        <v>0</v>
      </c>
      <c r="AR21">
        <f t="shared" si="32"/>
        <v>2.1327348323437723E-4</v>
      </c>
      <c r="AS21">
        <f t="shared" si="32"/>
        <v>0</v>
      </c>
      <c r="AT21">
        <f t="shared" si="32"/>
        <v>0</v>
      </c>
      <c r="AU21">
        <f t="shared" si="32"/>
        <v>7.8675622898982476E-3</v>
      </c>
      <c r="AV21">
        <f t="shared" si="32"/>
        <v>2.4019807536300011E-6</v>
      </c>
      <c r="AW21">
        <f t="shared" si="32"/>
        <v>0</v>
      </c>
      <c r="AX21">
        <f t="shared" si="32"/>
        <v>8.1890135748219572E-2</v>
      </c>
      <c r="AY21">
        <f t="shared" si="32"/>
        <v>0</v>
      </c>
      <c r="AZ21">
        <f t="shared" si="32"/>
        <v>1.9346720520252588E-4</v>
      </c>
      <c r="BA21">
        <f t="shared" si="32"/>
        <v>1.1702769076332328E-2</v>
      </c>
      <c r="BB21">
        <f t="shared" si="32"/>
        <v>2.3749258128995225E-7</v>
      </c>
      <c r="BC21">
        <f t="shared" si="32"/>
        <v>3.9854524172676782E-4</v>
      </c>
      <c r="BD21">
        <f t="shared" si="32"/>
        <v>8.1283746626012671E-5</v>
      </c>
      <c r="BE21">
        <f t="shared" si="32"/>
        <v>7.6446340416744564E-10</v>
      </c>
      <c r="BF21">
        <f t="shared" si="32"/>
        <v>8.5635995824387995E-2</v>
      </c>
      <c r="BG21">
        <f t="shared" si="32"/>
        <v>1.1247006550185181E-2</v>
      </c>
      <c r="BH21">
        <f t="shared" si="32"/>
        <v>1.6184136507375578E-4</v>
      </c>
      <c r="BI21">
        <f t="shared" si="32"/>
        <v>1.2038153369694064E-7</v>
      </c>
      <c r="BJ21">
        <f t="shared" si="32"/>
        <v>0.38883154464498643</v>
      </c>
      <c r="BK21">
        <f t="shared" si="32"/>
        <v>0</v>
      </c>
      <c r="BL21">
        <f t="shared" si="32"/>
        <v>0</v>
      </c>
      <c r="BM21">
        <f t="shared" si="32"/>
        <v>1.3266701934533482E-2</v>
      </c>
      <c r="BN21">
        <f t="shared" si="32"/>
        <v>1.2925599698799851E-2</v>
      </c>
      <c r="BO21">
        <f t="shared" si="32"/>
        <v>3.8163750236645661E-6</v>
      </c>
      <c r="BP21">
        <f t="shared" si="32"/>
        <v>199.20689431331888</v>
      </c>
      <c r="BQ21">
        <f t="shared" si="32"/>
        <v>1.3563855793684971E-4</v>
      </c>
      <c r="BR21">
        <f t="shared" si="32"/>
        <v>3.7334437086092714E-2</v>
      </c>
      <c r="BS21">
        <f t="shared" si="32"/>
        <v>0</v>
      </c>
      <c r="BT21">
        <f t="shared" si="32"/>
        <v>3.902117349011378E-3</v>
      </c>
      <c r="BU21">
        <f t="shared" si="32"/>
        <v>0</v>
      </c>
      <c r="BV21" s="366">
        <f t="shared" si="32"/>
        <v>0.11109031352951186</v>
      </c>
      <c r="BW21" s="366">
        <f t="shared" si="31"/>
        <v>8.5912037588270041E-7</v>
      </c>
      <c r="BX21" s="366">
        <f t="shared" si="30"/>
        <v>6.953708313651394E-7</v>
      </c>
      <c r="BY21" s="366">
        <f t="shared" si="30"/>
        <v>8.2241735821299303E-7</v>
      </c>
      <c r="BZ21" s="366">
        <f t="shared" si="30"/>
        <v>2.8908978974904429E-7</v>
      </c>
      <c r="CA21">
        <f t="shared" si="30"/>
        <v>3.6285141608981488E-5</v>
      </c>
      <c r="CB21">
        <f t="shared" si="30"/>
        <v>2.0266983619620888E-2</v>
      </c>
      <c r="CC21">
        <f t="shared" si="30"/>
        <v>0</v>
      </c>
      <c r="CD21">
        <f t="shared" si="30"/>
        <v>0</v>
      </c>
      <c r="CE21">
        <f t="shared" si="30"/>
        <v>6.2000827686133422E-8</v>
      </c>
      <c r="CF21">
        <f t="shared" si="30"/>
        <v>3.440310253121333E-6</v>
      </c>
      <c r="CG21">
        <f t="shared" si="30"/>
        <v>0</v>
      </c>
      <c r="CH21">
        <f t="shared" si="30"/>
        <v>7.7216782071129328E-3</v>
      </c>
      <c r="CI21">
        <f t="shared" si="30"/>
        <v>0.31861195620888361</v>
      </c>
      <c r="CK21">
        <f t="shared" si="30"/>
        <v>9.7383948196411163E-4</v>
      </c>
      <c r="CL21">
        <f t="shared" si="30"/>
        <v>6.6638990480491576E-4</v>
      </c>
      <c r="CM21">
        <f t="shared" si="30"/>
        <v>0.15016124438795322</v>
      </c>
      <c r="CN21">
        <f t="shared" si="30"/>
        <v>5.0893649350349993E-7</v>
      </c>
      <c r="CO21">
        <f t="shared" si="30"/>
        <v>3.7705338216917234E-5</v>
      </c>
      <c r="CP21">
        <f t="shared" si="30"/>
        <v>0.39024239992323084</v>
      </c>
      <c r="CQ21">
        <f t="shared" si="30"/>
        <v>1.1570676081964576E-4</v>
      </c>
      <c r="CT21" t="s">
        <v>2047</v>
      </c>
      <c r="CU21">
        <f t="shared" si="18"/>
        <v>6</v>
      </c>
      <c r="CV21">
        <f t="shared" si="19"/>
        <v>1</v>
      </c>
      <c r="CW21" t="str">
        <f t="shared" si="20"/>
        <v>w_124TRIMET</v>
      </c>
      <c r="CX21">
        <f t="shared" si="21"/>
        <v>11</v>
      </c>
      <c r="CY21" t="str">
        <f t="shared" si="22"/>
        <v>[kg/bbl] kg of 1,2,4-TRIMETHYLBENZENE emissions to water per bbl of crude throughput</v>
      </c>
    </row>
    <row r="22" spans="1:110" x14ac:dyDescent="0.25">
      <c r="A22" t="s">
        <v>2019</v>
      </c>
      <c r="B22" s="364" t="s">
        <v>1346</v>
      </c>
      <c r="C22" s="496"/>
      <c r="E22">
        <f t="shared" si="23"/>
        <v>9.2833076378490906E-3</v>
      </c>
      <c r="F22">
        <f t="shared" si="23"/>
        <v>3.1000413843066711E-8</v>
      </c>
      <c r="G22">
        <f t="shared" si="23"/>
        <v>4.6962558930663196E-3</v>
      </c>
      <c r="H22">
        <f t="shared" si="23"/>
        <v>2.1107301599823037E-2</v>
      </c>
      <c r="I22">
        <f t="shared" si="23"/>
        <v>8.441651154178101E-7</v>
      </c>
      <c r="J22">
        <f t="shared" si="23"/>
        <v>0.47652826208338644</v>
      </c>
      <c r="K22">
        <f t="shared" si="24"/>
        <v>4.0250626042913964E-6</v>
      </c>
      <c r="L22">
        <f t="shared" si="24"/>
        <v>2.3850020355224304</v>
      </c>
      <c r="M22">
        <f t="shared" si="24"/>
        <v>3.1935214809741244E-4</v>
      </c>
      <c r="N22">
        <f t="shared" si="24"/>
        <v>5.4306448019694207E-3</v>
      </c>
      <c r="O22">
        <f t="shared" si="24"/>
        <v>9.2051660318018254E-7</v>
      </c>
      <c r="P22">
        <f t="shared" si="25"/>
        <v>1.4725560744755281E-5</v>
      </c>
      <c r="Q22">
        <f t="shared" si="25"/>
        <v>6.175249877704206E-3</v>
      </c>
      <c r="R22">
        <f t="shared" si="25"/>
        <v>1.9944413254061261E-3</v>
      </c>
      <c r="S22">
        <f t="shared" si="25"/>
        <v>2.4800331074453369E-8</v>
      </c>
      <c r="T22">
        <f t="shared" si="25"/>
        <v>6.9803064426757957E-3</v>
      </c>
      <c r="U22">
        <f t="shared" si="26"/>
        <v>1.1379144115179657E-4</v>
      </c>
      <c r="V22">
        <f t="shared" si="26"/>
        <v>0</v>
      </c>
      <c r="W22">
        <f t="shared" si="26"/>
        <v>3.2546247791773071E-2</v>
      </c>
      <c r="X22">
        <f t="shared" si="26"/>
        <v>0.19882213330901841</v>
      </c>
      <c r="Y22">
        <f t="shared" si="26"/>
        <v>4.201686606025766E-2</v>
      </c>
      <c r="Z22">
        <f t="shared" si="26"/>
        <v>7.8133457041855113E-3</v>
      </c>
      <c r="AA22">
        <f t="shared" si="26"/>
        <v>1.5527584250586248E-2</v>
      </c>
      <c r="AB22">
        <f t="shared" si="27"/>
        <v>1.1833932233745384E-5</v>
      </c>
      <c r="AC22">
        <f t="shared" si="27"/>
        <v>7.5932454855894249E-8</v>
      </c>
      <c r="AD22">
        <f t="shared" si="27"/>
        <v>6.2000827686133422E-8</v>
      </c>
      <c r="AE22">
        <f t="shared" si="28"/>
        <v>4.7449120088033031E-7</v>
      </c>
      <c r="AF22">
        <f t="shared" si="28"/>
        <v>2.4117080206093929E-2</v>
      </c>
      <c r="AG22">
        <f t="shared" si="28"/>
        <v>1.3082811925249345E-6</v>
      </c>
      <c r="AH22">
        <f t="shared" si="32"/>
        <v>3.9577678444469855E-3</v>
      </c>
      <c r="AI22">
        <f t="shared" si="32"/>
        <v>6.2000827686133422E-8</v>
      </c>
      <c r="AJ22">
        <f t="shared" si="32"/>
        <v>0</v>
      </c>
      <c r="AK22">
        <f t="shared" si="32"/>
        <v>0.45846119616089265</v>
      </c>
      <c r="AL22">
        <f t="shared" si="32"/>
        <v>1.6431110091447664E-7</v>
      </c>
      <c r="AM22">
        <f t="shared" si="32"/>
        <v>1.0117733627667403E-2</v>
      </c>
      <c r="AN22">
        <f t="shared" si="32"/>
        <v>6.8922118282100748E-3</v>
      </c>
      <c r="AO22">
        <f t="shared" si="32"/>
        <v>1.6160333100099101E-4</v>
      </c>
      <c r="AP22">
        <f t="shared" si="32"/>
        <v>3.3970888990125188</v>
      </c>
      <c r="AQ22">
        <f t="shared" si="32"/>
        <v>0</v>
      </c>
      <c r="AR22">
        <f t="shared" si="32"/>
        <v>5.0513849961801837E-5</v>
      </c>
      <c r="AS22">
        <f t="shared" si="32"/>
        <v>0</v>
      </c>
      <c r="AT22">
        <f t="shared" si="32"/>
        <v>0</v>
      </c>
      <c r="AU22">
        <f t="shared" si="32"/>
        <v>7.8675622898982476E-3</v>
      </c>
      <c r="AV22">
        <f t="shared" si="32"/>
        <v>2.4019807536300011E-6</v>
      </c>
      <c r="AW22">
        <f t="shared" si="32"/>
        <v>0</v>
      </c>
      <c r="AX22">
        <f t="shared" si="32"/>
        <v>0</v>
      </c>
      <c r="AY22">
        <f t="shared" si="32"/>
        <v>0</v>
      </c>
      <c r="AZ22">
        <f t="shared" si="32"/>
        <v>1.9346720520252588E-4</v>
      </c>
      <c r="BA22">
        <f t="shared" si="32"/>
        <v>3.2097033390435735E-3</v>
      </c>
      <c r="BB22">
        <f t="shared" si="32"/>
        <v>3.9710055596757646E-7</v>
      </c>
      <c r="BC22">
        <f t="shared" si="32"/>
        <v>3.9854524172676782E-4</v>
      </c>
      <c r="BD22">
        <f t="shared" si="32"/>
        <v>8.1283746626012671E-5</v>
      </c>
      <c r="BE22">
        <f t="shared" si="32"/>
        <v>6.0403653143910594E-10</v>
      </c>
      <c r="BF22">
        <f t="shared" si="32"/>
        <v>2.2146629970383285</v>
      </c>
      <c r="BG22">
        <f t="shared" si="32"/>
        <v>1.1247006550185181E-2</v>
      </c>
      <c r="BH22">
        <f t="shared" si="32"/>
        <v>3.2320666200198202E-4</v>
      </c>
      <c r="BI22">
        <f t="shared" si="32"/>
        <v>1.2038153369694064E-7</v>
      </c>
      <c r="BJ22">
        <f t="shared" si="32"/>
        <v>0.14858629940369114</v>
      </c>
      <c r="BK22">
        <f t="shared" si="32"/>
        <v>1.6556291390728475E-2</v>
      </c>
      <c r="BL22">
        <f t="shared" si="32"/>
        <v>0</v>
      </c>
      <c r="BM22">
        <f t="shared" si="32"/>
        <v>5.9247560175539025E-3</v>
      </c>
      <c r="BN22">
        <f t="shared" si="32"/>
        <v>3.8803855031965084E-3</v>
      </c>
      <c r="BO22">
        <f t="shared" si="32"/>
        <v>4.8239021704590238E-6</v>
      </c>
      <c r="BP22">
        <f t="shared" si="32"/>
        <v>308.12912790559653</v>
      </c>
      <c r="BQ22">
        <f t="shared" si="32"/>
        <v>4.0216799833017497E-4</v>
      </c>
      <c r="BR22">
        <f t="shared" si="32"/>
        <v>0</v>
      </c>
      <c r="BS22">
        <f t="shared" si="32"/>
        <v>3.2109171182018864E-2</v>
      </c>
      <c r="BT22">
        <f t="shared" si="32"/>
        <v>6.8364152457422635E-3</v>
      </c>
      <c r="BU22">
        <f t="shared" si="32"/>
        <v>4.6858882971654364E-3</v>
      </c>
      <c r="BV22" s="366">
        <f t="shared" si="32"/>
        <v>6.9409619420425381E-2</v>
      </c>
      <c r="BW22" s="366">
        <f t="shared" si="31"/>
        <v>1.4134059010073351E-6</v>
      </c>
      <c r="BX22" s="366">
        <f t="shared" si="30"/>
        <v>6.953708313651394E-7</v>
      </c>
      <c r="BY22" s="366">
        <f t="shared" si="30"/>
        <v>9.4179421092330285E-7</v>
      </c>
      <c r="BZ22" s="366">
        <f t="shared" si="30"/>
        <v>1.6059044147092288E-6</v>
      </c>
      <c r="CA22">
        <f t="shared" si="30"/>
        <v>4.1711543393152985E-5</v>
      </c>
      <c r="CB22">
        <f t="shared" si="30"/>
        <v>7.2552143156756985E-3</v>
      </c>
      <c r="CC22">
        <f t="shared" si="30"/>
        <v>3.6791758646063286E-3</v>
      </c>
      <c r="CD22">
        <f t="shared" si="30"/>
        <v>1.6556291390728475E-2</v>
      </c>
      <c r="CE22">
        <f t="shared" si="30"/>
        <v>6.2000827686133422E-8</v>
      </c>
      <c r="CF22">
        <f t="shared" si="30"/>
        <v>3.5705126647898452E-6</v>
      </c>
      <c r="CG22">
        <f t="shared" si="30"/>
        <v>0</v>
      </c>
      <c r="CH22">
        <f t="shared" si="30"/>
        <v>4.7031522747176388E-3</v>
      </c>
      <c r="CI22">
        <f t="shared" si="30"/>
        <v>5.157024735758243E-3</v>
      </c>
      <c r="CK22">
        <f t="shared" si="30"/>
        <v>2.192587599636248E-3</v>
      </c>
      <c r="CL22">
        <f t="shared" si="30"/>
        <v>5.511823066894051E-3</v>
      </c>
      <c r="CM22">
        <f t="shared" si="30"/>
        <v>9.7212848876530554E-3</v>
      </c>
      <c r="CN22">
        <f t="shared" si="30"/>
        <v>0</v>
      </c>
      <c r="CO22">
        <f t="shared" si="30"/>
        <v>3.7705338216917234E-5</v>
      </c>
      <c r="CP22">
        <f t="shared" si="30"/>
        <v>1.3524636329093851E-2</v>
      </c>
      <c r="CQ22">
        <f t="shared" si="30"/>
        <v>3.4868011147968527E-5</v>
      </c>
      <c r="CT22" t="s">
        <v>2048</v>
      </c>
      <c r="CU22">
        <f t="shared" si="18"/>
        <v>1</v>
      </c>
      <c r="CV22">
        <f t="shared" si="19"/>
        <v>2</v>
      </c>
      <c r="CW22" t="str">
        <f t="shared" si="20"/>
        <v>w_12DICHLOR_L</v>
      </c>
      <c r="CX22">
        <f t="shared" si="21"/>
        <v>13</v>
      </c>
      <c r="CY22" t="str">
        <f t="shared" si="22"/>
        <v>[kg/bbl] kg of 1,2-DICHLOROETHANE emissions to water per bbl of crude throughput - Low Complexity</v>
      </c>
    </row>
    <row r="23" spans="1:110" x14ac:dyDescent="0.25">
      <c r="A23" t="s">
        <v>2023</v>
      </c>
      <c r="B23" s="364" t="s">
        <v>1333</v>
      </c>
      <c r="C23" s="496"/>
      <c r="E23">
        <f t="shared" si="23"/>
        <v>0</v>
      </c>
      <c r="F23">
        <f t="shared" si="23"/>
        <v>0</v>
      </c>
      <c r="G23">
        <f t="shared" si="23"/>
        <v>0</v>
      </c>
      <c r="H23">
        <f t="shared" si="23"/>
        <v>1.0011828909095978E-2</v>
      </c>
      <c r="I23">
        <f t="shared" si="23"/>
        <v>8.441651154178101E-7</v>
      </c>
      <c r="J23">
        <f t="shared" si="23"/>
        <v>0.47652826208338644</v>
      </c>
      <c r="K23">
        <f t="shared" si="24"/>
        <v>0</v>
      </c>
      <c r="L23">
        <f t="shared" si="24"/>
        <v>0</v>
      </c>
      <c r="M23">
        <f t="shared" si="24"/>
        <v>3.1935214809741244E-4</v>
      </c>
      <c r="N23">
        <f t="shared" si="24"/>
        <v>0</v>
      </c>
      <c r="O23">
        <f t="shared" si="24"/>
        <v>2.026472835709589E-5</v>
      </c>
      <c r="P23">
        <f t="shared" si="25"/>
        <v>1.4679544242759596E-5</v>
      </c>
      <c r="Q23">
        <f t="shared" si="25"/>
        <v>0</v>
      </c>
      <c r="R23">
        <f t="shared" si="25"/>
        <v>0</v>
      </c>
      <c r="S23">
        <f t="shared" si="25"/>
        <v>2.4800331074453369E-8</v>
      </c>
      <c r="T23">
        <f t="shared" si="25"/>
        <v>0</v>
      </c>
      <c r="U23">
        <f t="shared" si="26"/>
        <v>1.1379144115179657E-4</v>
      </c>
      <c r="V23">
        <f t="shared" si="26"/>
        <v>0</v>
      </c>
      <c r="W23">
        <f t="shared" si="26"/>
        <v>0</v>
      </c>
      <c r="X23">
        <f t="shared" si="26"/>
        <v>0</v>
      </c>
      <c r="Y23">
        <f t="shared" si="26"/>
        <v>0</v>
      </c>
      <c r="Z23">
        <f t="shared" si="26"/>
        <v>5.7839286375485025E-5</v>
      </c>
      <c r="AA23">
        <f t="shared" si="26"/>
        <v>1.1556314526181988E-3</v>
      </c>
      <c r="AB23">
        <f t="shared" si="27"/>
        <v>0</v>
      </c>
      <c r="AC23">
        <f t="shared" si="27"/>
        <v>1.7367157294131241E-8</v>
      </c>
      <c r="AD23">
        <f t="shared" si="27"/>
        <v>6.2000827686133422E-8</v>
      </c>
      <c r="AE23">
        <f t="shared" si="28"/>
        <v>3.6117926893762606E-8</v>
      </c>
      <c r="AF23">
        <f t="shared" si="28"/>
        <v>0</v>
      </c>
      <c r="AG23">
        <f t="shared" si="28"/>
        <v>0</v>
      </c>
      <c r="AH23">
        <f t="shared" si="32"/>
        <v>0</v>
      </c>
      <c r="AI23">
        <f t="shared" si="32"/>
        <v>0</v>
      </c>
      <c r="AJ23">
        <f t="shared" si="32"/>
        <v>0</v>
      </c>
      <c r="AK23">
        <f t="shared" si="32"/>
        <v>0</v>
      </c>
      <c r="AL23">
        <f t="shared" si="32"/>
        <v>0</v>
      </c>
      <c r="AM23">
        <f t="shared" si="32"/>
        <v>0</v>
      </c>
      <c r="AN23">
        <f t="shared" si="32"/>
        <v>0</v>
      </c>
      <c r="AO23">
        <f t="shared" si="32"/>
        <v>0</v>
      </c>
      <c r="AP23">
        <f t="shared" si="32"/>
        <v>0</v>
      </c>
      <c r="AQ23">
        <f t="shared" si="32"/>
        <v>0</v>
      </c>
      <c r="AR23">
        <f t="shared" si="32"/>
        <v>5.0513849961801837E-5</v>
      </c>
      <c r="AS23">
        <f t="shared" si="32"/>
        <v>0</v>
      </c>
      <c r="AT23">
        <f t="shared" si="32"/>
        <v>0</v>
      </c>
      <c r="AU23">
        <f t="shared" si="32"/>
        <v>7.8675622898982476E-3</v>
      </c>
      <c r="AV23">
        <f t="shared" si="32"/>
        <v>2.4019807536300011E-6</v>
      </c>
      <c r="AW23">
        <f t="shared" si="32"/>
        <v>0</v>
      </c>
      <c r="AX23">
        <f t="shared" si="32"/>
        <v>0</v>
      </c>
      <c r="AY23">
        <f t="shared" si="32"/>
        <v>0</v>
      </c>
      <c r="AZ23">
        <f t="shared" si="32"/>
        <v>2.7833929995574067E-5</v>
      </c>
      <c r="BA23">
        <f t="shared" si="32"/>
        <v>0</v>
      </c>
      <c r="BB23">
        <f t="shared" si="32"/>
        <v>4.7538515152792409E-7</v>
      </c>
      <c r="BC23">
        <f t="shared" si="32"/>
        <v>3.9854524172676782E-4</v>
      </c>
      <c r="BD23">
        <f t="shared" si="32"/>
        <v>8.1283746626012671E-5</v>
      </c>
      <c r="BE23">
        <f t="shared" si="32"/>
        <v>1.9484781335743697E-10</v>
      </c>
      <c r="BF23">
        <f t="shared" si="32"/>
        <v>0</v>
      </c>
      <c r="BG23">
        <f t="shared" si="32"/>
        <v>3.2320666200198202E-4</v>
      </c>
      <c r="BH23">
        <f t="shared" si="32"/>
        <v>4.7606814552953302E-7</v>
      </c>
      <c r="BI23">
        <f t="shared" si="32"/>
        <v>1.2038153369694064E-7</v>
      </c>
      <c r="BJ23">
        <f t="shared" si="32"/>
        <v>0</v>
      </c>
      <c r="BK23">
        <f t="shared" si="32"/>
        <v>0</v>
      </c>
      <c r="BL23">
        <f t="shared" si="32"/>
        <v>0</v>
      </c>
      <c r="BM23">
        <f t="shared" si="32"/>
        <v>0</v>
      </c>
      <c r="BN23">
        <f t="shared" si="32"/>
        <v>0</v>
      </c>
      <c r="BO23">
        <f t="shared" si="32"/>
        <v>1.2296942218560099E-8</v>
      </c>
      <c r="BP23">
        <f t="shared" si="32"/>
        <v>1.0878261689738378E-3</v>
      </c>
      <c r="BQ23">
        <f t="shared" si="32"/>
        <v>1.0926106924045399E-6</v>
      </c>
      <c r="BR23">
        <f t="shared" si="32"/>
        <v>7.4668874172185429E-2</v>
      </c>
      <c r="BS23">
        <f t="shared" si="32"/>
        <v>0</v>
      </c>
      <c r="BT23">
        <f t="shared" si="32"/>
        <v>0</v>
      </c>
      <c r="BU23">
        <f t="shared" si="32"/>
        <v>0</v>
      </c>
      <c r="BV23" s="366">
        <f t="shared" si="32"/>
        <v>3.8908904338435684E-8</v>
      </c>
      <c r="BW23" s="366">
        <f t="shared" si="31"/>
        <v>4.6970231023594143E-8</v>
      </c>
      <c r="BX23" s="366">
        <f t="shared" si="31"/>
        <v>6.953708313651394E-7</v>
      </c>
      <c r="BY23" s="366">
        <f t="shared" si="31"/>
        <v>5.6517509480989151E-8</v>
      </c>
      <c r="BZ23" s="366">
        <f t="shared" si="31"/>
        <v>3.6393858517737967E-7</v>
      </c>
      <c r="CA23">
        <f t="shared" si="31"/>
        <v>5.7455881547234903E-6</v>
      </c>
      <c r="CB23">
        <f t="shared" si="31"/>
        <v>0</v>
      </c>
      <c r="CC23">
        <f t="shared" si="31"/>
        <v>0</v>
      </c>
      <c r="CD23">
        <f t="shared" si="31"/>
        <v>0</v>
      </c>
      <c r="CE23">
        <f t="shared" si="31"/>
        <v>6.2000827686133422E-8</v>
      </c>
      <c r="CF23">
        <f t="shared" ref="CF23:CQ28" si="33">IF(GETPIVOTDATA(T($A23),$A$3,"Unit Index",T($B23),"Substance Name",CF$17)="",GETPIVOTDATA(T($A23),$A$3,"Substance Name",CF$17),GETPIVOTDATA(T($A23),$A$3,"Unit Index",T($B23),"Substance Name",CF$17))</f>
        <v>6.6236265691224976E-8</v>
      </c>
      <c r="CG23">
        <f t="shared" si="33"/>
        <v>0</v>
      </c>
      <c r="CH23">
        <f t="shared" si="33"/>
        <v>4.7031522747176388E-3</v>
      </c>
      <c r="CI23">
        <f t="shared" si="33"/>
        <v>5.157024735758243E-3</v>
      </c>
      <c r="CK23">
        <f t="shared" si="33"/>
        <v>0</v>
      </c>
      <c r="CL23">
        <f t="shared" si="33"/>
        <v>0</v>
      </c>
      <c r="CM23">
        <f t="shared" si="33"/>
        <v>0</v>
      </c>
      <c r="CN23">
        <f t="shared" si="33"/>
        <v>0</v>
      </c>
      <c r="CO23">
        <f t="shared" si="33"/>
        <v>3.7705338216917234E-5</v>
      </c>
      <c r="CP23">
        <f t="shared" si="33"/>
        <v>0</v>
      </c>
      <c r="CQ23">
        <f t="shared" si="33"/>
        <v>3.238210077639621E-5</v>
      </c>
      <c r="CT23" t="s">
        <v>2036</v>
      </c>
      <c r="CU23">
        <f t="shared" si="18"/>
        <v>2</v>
      </c>
      <c r="CV23">
        <f t="shared" si="19"/>
        <v>2</v>
      </c>
      <c r="CW23" t="str">
        <f t="shared" si="20"/>
        <v>w_12DICHLOR_M</v>
      </c>
      <c r="CX23">
        <f t="shared" si="21"/>
        <v>13</v>
      </c>
      <c r="CY23" t="str">
        <f t="shared" si="22"/>
        <v>[kg/bbl] kg of 1,2-DICHLOROETHANE emissions to water per bbl of crude throughput - Med Complexity</v>
      </c>
    </row>
    <row r="24" spans="1:110" x14ac:dyDescent="0.25">
      <c r="A24" t="s">
        <v>2023</v>
      </c>
      <c r="B24" s="364" t="s">
        <v>1270</v>
      </c>
      <c r="C24" s="496"/>
      <c r="E24">
        <f t="shared" si="23"/>
        <v>0</v>
      </c>
      <c r="F24">
        <f t="shared" si="23"/>
        <v>0</v>
      </c>
      <c r="G24">
        <f t="shared" si="23"/>
        <v>0</v>
      </c>
      <c r="H24">
        <f t="shared" si="23"/>
        <v>1.0011828909095978E-2</v>
      </c>
      <c r="I24">
        <f t="shared" si="23"/>
        <v>8.441651154178101E-7</v>
      </c>
      <c r="J24">
        <f t="shared" si="23"/>
        <v>0.47652826208338644</v>
      </c>
      <c r="K24">
        <f t="shared" si="24"/>
        <v>0</v>
      </c>
      <c r="L24">
        <f t="shared" si="24"/>
        <v>2.7534313625945723E-7</v>
      </c>
      <c r="M24">
        <f t="shared" si="24"/>
        <v>3.1935214809741244E-4</v>
      </c>
      <c r="N24">
        <f t="shared" si="24"/>
        <v>0</v>
      </c>
      <c r="O24">
        <f t="shared" si="24"/>
        <v>5.9908180039138945E-8</v>
      </c>
      <c r="P24">
        <f t="shared" si="25"/>
        <v>1.4771577246750967E-5</v>
      </c>
      <c r="Q24">
        <f t="shared" si="25"/>
        <v>0</v>
      </c>
      <c r="R24">
        <f t="shared" si="25"/>
        <v>0</v>
      </c>
      <c r="S24">
        <f t="shared" si="25"/>
        <v>2.4800331074453369E-8</v>
      </c>
      <c r="T24">
        <f t="shared" si="25"/>
        <v>0</v>
      </c>
      <c r="U24">
        <f t="shared" si="26"/>
        <v>1.1379144115179657E-4</v>
      </c>
      <c r="V24">
        <f t="shared" si="26"/>
        <v>0</v>
      </c>
      <c r="W24">
        <f t="shared" si="26"/>
        <v>0</v>
      </c>
      <c r="X24">
        <f t="shared" si="26"/>
        <v>0</v>
      </c>
      <c r="Y24">
        <f t="shared" si="26"/>
        <v>0</v>
      </c>
      <c r="Z24">
        <f t="shared" si="26"/>
        <v>4.0812958422976279E-5</v>
      </c>
      <c r="AA24">
        <f t="shared" si="26"/>
        <v>4.1547450109158659E-3</v>
      </c>
      <c r="AB24">
        <f t="shared" si="27"/>
        <v>0</v>
      </c>
      <c r="AC24">
        <f t="shared" si="27"/>
        <v>0</v>
      </c>
      <c r="AD24">
        <f t="shared" si="27"/>
        <v>6.2000827686133422E-8</v>
      </c>
      <c r="AE24">
        <f t="shared" si="28"/>
        <v>1.2612248429292409E-9</v>
      </c>
      <c r="AF24">
        <f t="shared" si="28"/>
        <v>0</v>
      </c>
      <c r="AG24">
        <f t="shared" si="28"/>
        <v>0</v>
      </c>
      <c r="AH24">
        <f t="shared" si="32"/>
        <v>0</v>
      </c>
      <c r="AI24">
        <f t="shared" si="32"/>
        <v>0</v>
      </c>
      <c r="AJ24">
        <f t="shared" si="32"/>
        <v>0</v>
      </c>
      <c r="AK24">
        <f t="shared" ref="AK24:BV27" si="34">IF(GETPIVOTDATA(T($A24),$A$3,"Unit Index",T($B24),"Substance Name",AK$17)="",GETPIVOTDATA(T($A24),$A$3,"Substance Name",AK$17),GETPIVOTDATA(T($A24),$A$3,"Unit Index",T($B24),"Substance Name",AK$17))</f>
        <v>0</v>
      </c>
      <c r="AL24">
        <f t="shared" si="34"/>
        <v>0</v>
      </c>
      <c r="AM24">
        <f t="shared" si="34"/>
        <v>0</v>
      </c>
      <c r="AN24">
        <f t="shared" si="34"/>
        <v>0</v>
      </c>
      <c r="AO24">
        <f t="shared" si="34"/>
        <v>0</v>
      </c>
      <c r="AP24">
        <f t="shared" si="34"/>
        <v>0</v>
      </c>
      <c r="AQ24">
        <f t="shared" si="34"/>
        <v>0</v>
      </c>
      <c r="AR24">
        <f t="shared" si="34"/>
        <v>1.3527959255356517E-4</v>
      </c>
      <c r="AS24">
        <f t="shared" si="34"/>
        <v>0</v>
      </c>
      <c r="AT24">
        <f t="shared" si="34"/>
        <v>0</v>
      </c>
      <c r="AU24">
        <f t="shared" si="34"/>
        <v>7.8675622898982476E-3</v>
      </c>
      <c r="AV24">
        <f t="shared" si="34"/>
        <v>2.4019807536300011E-6</v>
      </c>
      <c r="AW24">
        <f t="shared" si="34"/>
        <v>0</v>
      </c>
      <c r="AX24">
        <f t="shared" si="34"/>
        <v>0</v>
      </c>
      <c r="AY24">
        <f t="shared" si="34"/>
        <v>0</v>
      </c>
      <c r="AZ24">
        <f t="shared" si="34"/>
        <v>5.4911176573869489E-5</v>
      </c>
      <c r="BA24">
        <f t="shared" si="34"/>
        <v>0</v>
      </c>
      <c r="BB24">
        <f t="shared" si="34"/>
        <v>0</v>
      </c>
      <c r="BC24">
        <f t="shared" si="34"/>
        <v>3.9854524172676782E-4</v>
      </c>
      <c r="BD24">
        <f t="shared" si="34"/>
        <v>8.1283746626012671E-5</v>
      </c>
      <c r="BE24">
        <f t="shared" si="34"/>
        <v>0</v>
      </c>
      <c r="BF24">
        <f t="shared" si="34"/>
        <v>0</v>
      </c>
      <c r="BG24">
        <f t="shared" si="34"/>
        <v>3.2320666200198202E-4</v>
      </c>
      <c r="BH24">
        <f t="shared" si="34"/>
        <v>4.7606814552953302E-7</v>
      </c>
      <c r="BI24">
        <f t="shared" si="34"/>
        <v>1.2038153369694064E-7</v>
      </c>
      <c r="BJ24">
        <f t="shared" si="34"/>
        <v>0</v>
      </c>
      <c r="BK24">
        <f t="shared" si="34"/>
        <v>0</v>
      </c>
      <c r="BL24">
        <f t="shared" si="34"/>
        <v>0</v>
      </c>
      <c r="BM24">
        <f t="shared" si="34"/>
        <v>0</v>
      </c>
      <c r="BN24">
        <f t="shared" si="34"/>
        <v>0</v>
      </c>
      <c r="BO24">
        <f t="shared" si="34"/>
        <v>1.2296942218560099E-8</v>
      </c>
      <c r="BP24">
        <f t="shared" si="34"/>
        <v>9.6372615696460642</v>
      </c>
      <c r="BQ24">
        <f t="shared" si="34"/>
        <v>8.0043094044393698E-5</v>
      </c>
      <c r="BR24">
        <f t="shared" si="34"/>
        <v>0</v>
      </c>
      <c r="BS24">
        <f t="shared" si="34"/>
        <v>0</v>
      </c>
      <c r="BT24">
        <f t="shared" si="34"/>
        <v>0</v>
      </c>
      <c r="BU24">
        <f t="shared" si="34"/>
        <v>0</v>
      </c>
      <c r="BV24" s="366">
        <f t="shared" si="34"/>
        <v>0</v>
      </c>
      <c r="BW24" s="366">
        <f t="shared" si="31"/>
        <v>4.6970231023594143E-8</v>
      </c>
      <c r="BX24" s="366">
        <f t="shared" si="31"/>
        <v>6.953708313651394E-7</v>
      </c>
      <c r="BY24" s="366">
        <f t="shared" si="31"/>
        <v>0</v>
      </c>
      <c r="BZ24" s="366">
        <f t="shared" si="31"/>
        <v>4.633707089455145E-9</v>
      </c>
      <c r="CA24">
        <f t="shared" si="31"/>
        <v>5.7455881547234903E-6</v>
      </c>
      <c r="CB24">
        <f t="shared" si="31"/>
        <v>0</v>
      </c>
      <c r="CC24">
        <f t="shared" si="31"/>
        <v>0</v>
      </c>
      <c r="CD24">
        <f t="shared" si="31"/>
        <v>0</v>
      </c>
      <c r="CE24">
        <f t="shared" si="31"/>
        <v>6.2000827686133422E-8</v>
      </c>
      <c r="CF24">
        <f t="shared" si="33"/>
        <v>6.6236265691224976E-8</v>
      </c>
      <c r="CG24">
        <f t="shared" si="33"/>
        <v>8.3872690631031165E-9</v>
      </c>
      <c r="CH24">
        <f t="shared" si="33"/>
        <v>4.7031522747176388E-3</v>
      </c>
      <c r="CI24">
        <f t="shared" si="33"/>
        <v>1.4770498240297959E-2</v>
      </c>
      <c r="CK24">
        <f t="shared" si="33"/>
        <v>2.2719460821457389E-5</v>
      </c>
      <c r="CL24">
        <f t="shared" si="33"/>
        <v>7.6120879957372308E-4</v>
      </c>
      <c r="CM24">
        <f t="shared" si="33"/>
        <v>0</v>
      </c>
      <c r="CN24">
        <f t="shared" si="33"/>
        <v>0</v>
      </c>
      <c r="CO24">
        <f t="shared" si="33"/>
        <v>3.7705338216917234E-5</v>
      </c>
      <c r="CP24">
        <f t="shared" si="33"/>
        <v>0</v>
      </c>
      <c r="CQ24">
        <f t="shared" si="33"/>
        <v>5.0796919230212463E-8</v>
      </c>
      <c r="CT24" t="s">
        <v>2049</v>
      </c>
      <c r="CU24">
        <f t="shared" si="18"/>
        <v>3</v>
      </c>
      <c r="CV24">
        <f t="shared" si="19"/>
        <v>2</v>
      </c>
      <c r="CW24" t="str">
        <f t="shared" si="20"/>
        <v>w_12DICHLOR_HiH</v>
      </c>
      <c r="CX24">
        <f t="shared" si="21"/>
        <v>15</v>
      </c>
      <c r="CY24" t="str">
        <f t="shared" si="22"/>
        <v>[kg/bbl] kg of 1,2-DICHLOROETHANE emissions to water per bbl of crude throughput - High Complexity Hydro Cracking</v>
      </c>
    </row>
    <row r="25" spans="1:110" x14ac:dyDescent="0.25">
      <c r="A25" t="s">
        <v>2023</v>
      </c>
      <c r="B25" s="364" t="s">
        <v>1473</v>
      </c>
      <c r="C25" s="496"/>
      <c r="E25">
        <f t="shared" si="23"/>
        <v>0</v>
      </c>
      <c r="F25">
        <f t="shared" si="23"/>
        <v>0</v>
      </c>
      <c r="G25">
        <f t="shared" si="23"/>
        <v>0</v>
      </c>
      <c r="H25">
        <f t="shared" si="23"/>
        <v>1.0011828909095978E-2</v>
      </c>
      <c r="I25">
        <f t="shared" si="23"/>
        <v>8.441651154178101E-7</v>
      </c>
      <c r="J25">
        <f t="shared" si="23"/>
        <v>0.47652826208338644</v>
      </c>
      <c r="K25">
        <f t="shared" si="24"/>
        <v>1.2789749190736763E-3</v>
      </c>
      <c r="L25">
        <f t="shared" si="24"/>
        <v>5.489078846290646E-5</v>
      </c>
      <c r="M25">
        <f t="shared" si="24"/>
        <v>3.1935214809741244E-4</v>
      </c>
      <c r="N25">
        <f t="shared" si="24"/>
        <v>0</v>
      </c>
      <c r="O25">
        <f t="shared" si="24"/>
        <v>4.9820231922497068E-8</v>
      </c>
      <c r="P25">
        <f t="shared" si="25"/>
        <v>1.4679544242759596E-5</v>
      </c>
      <c r="Q25">
        <f t="shared" si="25"/>
        <v>2.6077772709240553E-3</v>
      </c>
      <c r="R25">
        <f t="shared" si="25"/>
        <v>0</v>
      </c>
      <c r="S25">
        <f t="shared" si="25"/>
        <v>2.4800331074453369E-8</v>
      </c>
      <c r="T25">
        <f t="shared" si="25"/>
        <v>0</v>
      </c>
      <c r="U25">
        <f t="shared" si="26"/>
        <v>1.1379144115179657E-4</v>
      </c>
      <c r="V25">
        <f t="shared" si="26"/>
        <v>0</v>
      </c>
      <c r="W25">
        <f t="shared" si="26"/>
        <v>0</v>
      </c>
      <c r="X25">
        <f t="shared" si="26"/>
        <v>0</v>
      </c>
      <c r="Y25">
        <f t="shared" si="26"/>
        <v>0</v>
      </c>
      <c r="Z25">
        <f t="shared" si="26"/>
        <v>1.084291050022641E-3</v>
      </c>
      <c r="AA25">
        <f t="shared" si="26"/>
        <v>1.1556314526181988E-3</v>
      </c>
      <c r="AB25">
        <f t="shared" si="27"/>
        <v>9.0877824215475741E-5</v>
      </c>
      <c r="AC25">
        <f t="shared" si="27"/>
        <v>0</v>
      </c>
      <c r="AD25">
        <f t="shared" si="27"/>
        <v>6.2000827686133422E-8</v>
      </c>
      <c r="AE25">
        <f t="shared" si="28"/>
        <v>8.7587114105886707E-8</v>
      </c>
      <c r="AF25">
        <f t="shared" si="28"/>
        <v>0.46939990876632992</v>
      </c>
      <c r="AG25">
        <f t="shared" si="28"/>
        <v>5.8612844615410329E-7</v>
      </c>
      <c r="AH25">
        <f t="shared" ref="AH25:AX32" si="35">IF(GETPIVOTDATA(T($A25),$A$3,"Unit Index",T($B25),"Substance Name",AH$17)="",GETPIVOTDATA(T($A25),$A$3,"Substance Name",AH$17),GETPIVOTDATA(T($A25),$A$3,"Unit Index",T($B25),"Substance Name",AH$17))</f>
        <v>6.5194431773101381E-4</v>
      </c>
      <c r="AI25">
        <f t="shared" si="35"/>
        <v>0</v>
      </c>
      <c r="AJ25">
        <f t="shared" si="35"/>
        <v>0</v>
      </c>
      <c r="AK25">
        <f t="shared" si="34"/>
        <v>0</v>
      </c>
      <c r="AL25">
        <f t="shared" si="34"/>
        <v>0</v>
      </c>
      <c r="AM25">
        <f t="shared" si="34"/>
        <v>0</v>
      </c>
      <c r="AN25">
        <f t="shared" si="34"/>
        <v>6.5194431773101381E-4</v>
      </c>
      <c r="AO25">
        <f t="shared" si="34"/>
        <v>0</v>
      </c>
      <c r="AP25">
        <f t="shared" si="34"/>
        <v>0</v>
      </c>
      <c r="AQ25">
        <f t="shared" si="34"/>
        <v>0</v>
      </c>
      <c r="AR25">
        <f t="shared" si="34"/>
        <v>5.0513849961801837E-5</v>
      </c>
      <c r="AS25">
        <f t="shared" si="34"/>
        <v>0</v>
      </c>
      <c r="AT25">
        <f t="shared" si="34"/>
        <v>0</v>
      </c>
      <c r="AU25">
        <f t="shared" si="34"/>
        <v>7.8675622898982476E-3</v>
      </c>
      <c r="AV25">
        <f t="shared" si="34"/>
        <v>2.4019807536300011E-6</v>
      </c>
      <c r="AW25">
        <f t="shared" si="34"/>
        <v>0</v>
      </c>
      <c r="AX25">
        <f t="shared" si="34"/>
        <v>0</v>
      </c>
      <c r="AY25">
        <f t="shared" si="34"/>
        <v>0</v>
      </c>
      <c r="AZ25">
        <f t="shared" si="34"/>
        <v>4.9765650903813409E-4</v>
      </c>
      <c r="BA25">
        <f t="shared" si="34"/>
        <v>0</v>
      </c>
      <c r="BB25">
        <f t="shared" si="34"/>
        <v>3.9823632776153434E-9</v>
      </c>
      <c r="BC25">
        <f t="shared" si="34"/>
        <v>3.9854524172676782E-4</v>
      </c>
      <c r="BD25">
        <f t="shared" si="34"/>
        <v>8.1283746626012671E-5</v>
      </c>
      <c r="BE25">
        <f t="shared" si="34"/>
        <v>8.9312002173275189E-11</v>
      </c>
      <c r="BF25">
        <f t="shared" si="34"/>
        <v>5.2155545418481104</v>
      </c>
      <c r="BG25">
        <f t="shared" si="34"/>
        <v>3.2320666200198202E-4</v>
      </c>
      <c r="BH25">
        <f t="shared" si="34"/>
        <v>4.7606814552953302E-7</v>
      </c>
      <c r="BI25">
        <f t="shared" si="34"/>
        <v>1.2038153369694064E-7</v>
      </c>
      <c r="BJ25">
        <f t="shared" si="34"/>
        <v>0</v>
      </c>
      <c r="BK25">
        <f t="shared" si="34"/>
        <v>0</v>
      </c>
      <c r="BL25">
        <f t="shared" si="34"/>
        <v>0</v>
      </c>
      <c r="BM25">
        <f t="shared" si="34"/>
        <v>0</v>
      </c>
      <c r="BN25">
        <f t="shared" si="34"/>
        <v>0</v>
      </c>
      <c r="BO25">
        <f t="shared" si="34"/>
        <v>3.5903445179327423E-6</v>
      </c>
      <c r="BP25">
        <f t="shared" si="34"/>
        <v>2.3106766798714853</v>
      </c>
      <c r="BQ25">
        <f t="shared" si="34"/>
        <v>-5.2001945086924035E-6</v>
      </c>
      <c r="BR25">
        <f t="shared" si="34"/>
        <v>0</v>
      </c>
      <c r="BS25">
        <f t="shared" si="34"/>
        <v>0</v>
      </c>
      <c r="BT25">
        <f t="shared" si="34"/>
        <v>6.5194431773101381E-4</v>
      </c>
      <c r="BU25">
        <f t="shared" si="34"/>
        <v>0</v>
      </c>
      <c r="BV25" s="366">
        <f t="shared" si="34"/>
        <v>6.2645426883837477E-4</v>
      </c>
      <c r="BW25" s="366">
        <f t="shared" si="31"/>
        <v>4.6970231023594143E-8</v>
      </c>
      <c r="BX25" s="366">
        <f t="shared" si="31"/>
        <v>6.953708313651394E-7</v>
      </c>
      <c r="BY25" s="366">
        <f t="shared" si="31"/>
        <v>0</v>
      </c>
      <c r="BZ25" s="366">
        <f t="shared" si="31"/>
        <v>3.9931727910206269E-7</v>
      </c>
      <c r="CA25">
        <f t="shared" si="31"/>
        <v>5.7455881547234903E-6</v>
      </c>
      <c r="CB25">
        <f t="shared" si="31"/>
        <v>0</v>
      </c>
      <c r="CC25">
        <f t="shared" si="31"/>
        <v>0</v>
      </c>
      <c r="CD25">
        <f t="shared" si="31"/>
        <v>0</v>
      </c>
      <c r="CE25">
        <f t="shared" si="31"/>
        <v>6.2000827686133422E-8</v>
      </c>
      <c r="CF25">
        <f t="shared" si="33"/>
        <v>6.4358346293965188E-7</v>
      </c>
      <c r="CG25">
        <f t="shared" si="33"/>
        <v>0</v>
      </c>
      <c r="CH25">
        <f t="shared" si="33"/>
        <v>4.7031522747176388E-3</v>
      </c>
      <c r="CI25">
        <f t="shared" si="33"/>
        <v>5.157024735758243E-3</v>
      </c>
      <c r="CK25">
        <f t="shared" si="33"/>
        <v>2.3080939018175795E-4</v>
      </c>
      <c r="CL25">
        <f t="shared" si="33"/>
        <v>0</v>
      </c>
      <c r="CM25">
        <f t="shared" si="33"/>
        <v>3.9116659063860824E-3</v>
      </c>
      <c r="CN25">
        <f t="shared" si="33"/>
        <v>0</v>
      </c>
      <c r="CO25">
        <f t="shared" si="33"/>
        <v>3.7705338216917234E-5</v>
      </c>
      <c r="CP25">
        <f t="shared" si="33"/>
        <v>6.7978184651343995E-3</v>
      </c>
      <c r="CQ25">
        <f t="shared" si="33"/>
        <v>5.8010185212884113E-7</v>
      </c>
      <c r="CT25" t="s">
        <v>2050</v>
      </c>
      <c r="CU25">
        <f t="shared" si="18"/>
        <v>4</v>
      </c>
      <c r="CV25">
        <f t="shared" si="19"/>
        <v>2</v>
      </c>
      <c r="CW25" t="str">
        <f t="shared" si="20"/>
        <v>w_12DICHLOR_HiC</v>
      </c>
      <c r="CX25">
        <f t="shared" si="21"/>
        <v>15</v>
      </c>
      <c r="CY25" t="str">
        <f t="shared" si="22"/>
        <v>[kg/bbl] kg of 1,2-DICHLOROETHANE emissions to water per bbl of crude throughput - High Complexity Coking</v>
      </c>
    </row>
    <row r="26" spans="1:110" x14ac:dyDescent="0.25">
      <c r="A26" t="s">
        <v>2023</v>
      </c>
      <c r="B26" s="364" t="s">
        <v>1412</v>
      </c>
      <c r="C26" s="496"/>
      <c r="E26">
        <f t="shared" ref="E26:J32" si="36">IF(GETPIVOTDATA(T($A26),$A$3,"Unit Index",T($B26),"Substance Name",E$17)="",GETPIVOTDATA(T($A26),$A$3,"Substance Name",E$17),GETPIVOTDATA(T($A26),$A$3,"Unit Index",T($B26),"Substance Name",E$17))</f>
        <v>0</v>
      </c>
      <c r="F26">
        <f t="shared" si="36"/>
        <v>0</v>
      </c>
      <c r="G26">
        <f t="shared" si="36"/>
        <v>0</v>
      </c>
      <c r="H26">
        <f t="shared" si="36"/>
        <v>1.0011828909095978E-2</v>
      </c>
      <c r="I26">
        <f t="shared" si="36"/>
        <v>8.441651154178101E-7</v>
      </c>
      <c r="J26">
        <f t="shared" si="36"/>
        <v>0.47652826208338644</v>
      </c>
      <c r="K26">
        <f t="shared" ref="K26:O32" si="37">IF(GETPIVOTDATA(T($A26),$A$3,"Unit Index",T($B26),"Substance Name",K$17)="",GETPIVOTDATA(T($A26),$A$3,"Substance Name",K$17),GETPIVOTDATA(T($A26),$A$3,"Unit Index",T($B26),"Substance Name",K$17))</f>
        <v>0</v>
      </c>
      <c r="L26">
        <f t="shared" si="37"/>
        <v>0</v>
      </c>
      <c r="M26">
        <f t="shared" si="37"/>
        <v>3.1935214809741244E-4</v>
      </c>
      <c r="N26">
        <f t="shared" si="37"/>
        <v>0</v>
      </c>
      <c r="O26">
        <f t="shared" si="37"/>
        <v>4.9820231922497068E-8</v>
      </c>
      <c r="P26">
        <f t="shared" ref="P26:T32" si="38">IF(GETPIVOTDATA(T($A26),$A$3,"Unit Index",T($B26),"Substance Name",P$17)="",GETPIVOTDATA(T($A26),$A$3,"Substance Name",P$17),GETPIVOTDATA(T($A26),$A$3,"Unit Index",T($B26),"Substance Name",P$17))</f>
        <v>1.4679544242759596E-5</v>
      </c>
      <c r="Q26">
        <f t="shared" si="38"/>
        <v>0</v>
      </c>
      <c r="R26">
        <f t="shared" si="38"/>
        <v>0</v>
      </c>
      <c r="S26">
        <f t="shared" si="38"/>
        <v>2.4800331074453369E-8</v>
      </c>
      <c r="T26">
        <f t="shared" si="38"/>
        <v>0</v>
      </c>
      <c r="U26">
        <f t="shared" ref="U26:AA32" si="39">IF(GETPIVOTDATA(T($A26),$A$3,"Unit Index",T($B26),"Substance Name",U$17)="",GETPIVOTDATA(T($A26),$A$3,"Substance Name",U$17),GETPIVOTDATA(T($A26),$A$3,"Unit Index",T($B26),"Substance Name",U$17))</f>
        <v>1.1379144115179657E-4</v>
      </c>
      <c r="V26">
        <f t="shared" si="39"/>
        <v>0</v>
      </c>
      <c r="W26">
        <f t="shared" si="39"/>
        <v>0</v>
      </c>
      <c r="X26">
        <f t="shared" si="39"/>
        <v>0</v>
      </c>
      <c r="Y26">
        <f t="shared" si="39"/>
        <v>0</v>
      </c>
      <c r="Z26">
        <f t="shared" si="39"/>
        <v>-1.7887629070983809E-3</v>
      </c>
      <c r="AA26">
        <f t="shared" si="39"/>
        <v>5.5521064427271902E-3</v>
      </c>
      <c r="AB26">
        <f t="shared" ref="AB26:AD32" si="40">IF(GETPIVOTDATA(T($A26),$A$3,"Unit Index",T($B26),"Substance Name",AB$17)="",GETPIVOTDATA(T($A26),$A$3,"Substance Name",AB$17),GETPIVOTDATA(T($A26),$A$3,"Unit Index",T($B26),"Substance Name",AB$17))</f>
        <v>0</v>
      </c>
      <c r="AC26">
        <f t="shared" si="40"/>
        <v>0</v>
      </c>
      <c r="AD26">
        <f t="shared" si="40"/>
        <v>6.2000827686133422E-8</v>
      </c>
      <c r="AE26">
        <f t="shared" ref="AE26:AG32" si="41">IF(GETPIVOTDATA(T($A26),$A$3,"Unit Index",T($B26),"Substance Name",AE$17)="",GETPIVOTDATA(T($A26),$A$3,"Substance Name",AE$17),GETPIVOTDATA(T($A26),$A$3,"Unit Index",T($B26),"Substance Name",AE$17))</f>
        <v>9.8980753018467405E-8</v>
      </c>
      <c r="AF26">
        <f t="shared" si="41"/>
        <v>0</v>
      </c>
      <c r="AG26">
        <f t="shared" si="41"/>
        <v>9.8089499121094169E-8</v>
      </c>
      <c r="AH26">
        <f t="shared" si="35"/>
        <v>0</v>
      </c>
      <c r="AI26">
        <f t="shared" si="35"/>
        <v>0</v>
      </c>
      <c r="AJ26">
        <f t="shared" si="35"/>
        <v>0</v>
      </c>
      <c r="AK26">
        <f t="shared" si="34"/>
        <v>0</v>
      </c>
      <c r="AL26">
        <f t="shared" si="34"/>
        <v>0</v>
      </c>
      <c r="AM26">
        <f t="shared" si="34"/>
        <v>0</v>
      </c>
      <c r="AN26">
        <f t="shared" si="34"/>
        <v>0</v>
      </c>
      <c r="AO26">
        <f t="shared" si="34"/>
        <v>0</v>
      </c>
      <c r="AP26">
        <f t="shared" si="34"/>
        <v>4.5647688571160078E-6</v>
      </c>
      <c r="AQ26">
        <f t="shared" si="34"/>
        <v>0</v>
      </c>
      <c r="AR26">
        <f t="shared" si="34"/>
        <v>1.0656658831801115E-4</v>
      </c>
      <c r="AS26">
        <f t="shared" si="34"/>
        <v>0</v>
      </c>
      <c r="AT26">
        <f t="shared" si="34"/>
        <v>0</v>
      </c>
      <c r="AU26">
        <f t="shared" si="34"/>
        <v>7.8675622898982476E-3</v>
      </c>
      <c r="AV26">
        <f t="shared" si="34"/>
        <v>2.4019807536300011E-6</v>
      </c>
      <c r="AW26">
        <f t="shared" si="34"/>
        <v>0</v>
      </c>
      <c r="AX26">
        <f t="shared" si="34"/>
        <v>0</v>
      </c>
      <c r="AY26">
        <f t="shared" si="34"/>
        <v>0</v>
      </c>
      <c r="AZ26">
        <f t="shared" si="34"/>
        <v>2.7833929995574067E-5</v>
      </c>
      <c r="BA26">
        <f t="shared" si="34"/>
        <v>0</v>
      </c>
      <c r="BB26">
        <f t="shared" si="34"/>
        <v>0</v>
      </c>
      <c r="BC26">
        <f t="shared" si="34"/>
        <v>3.9854524172676782E-4</v>
      </c>
      <c r="BD26">
        <f t="shared" si="34"/>
        <v>8.1283746626012671E-5</v>
      </c>
      <c r="BE26">
        <f t="shared" si="34"/>
        <v>0</v>
      </c>
      <c r="BF26">
        <f t="shared" si="34"/>
        <v>0</v>
      </c>
      <c r="BG26">
        <f t="shared" si="34"/>
        <v>3.2320666200198202E-4</v>
      </c>
      <c r="BH26">
        <f t="shared" si="34"/>
        <v>4.7606814552953302E-7</v>
      </c>
      <c r="BI26">
        <f t="shared" si="34"/>
        <v>1.2038153369694064E-7</v>
      </c>
      <c r="BJ26">
        <f t="shared" si="34"/>
        <v>0</v>
      </c>
      <c r="BK26">
        <f t="shared" si="34"/>
        <v>0</v>
      </c>
      <c r="BL26">
        <f t="shared" si="34"/>
        <v>0</v>
      </c>
      <c r="BM26">
        <f t="shared" si="34"/>
        <v>0</v>
      </c>
      <c r="BN26">
        <f t="shared" si="34"/>
        <v>0</v>
      </c>
      <c r="BO26">
        <f t="shared" si="34"/>
        <v>1.2296942218560099E-8</v>
      </c>
      <c r="BP26">
        <f t="shared" si="34"/>
        <v>1.3471579733881278E-3</v>
      </c>
      <c r="BQ26">
        <f t="shared" si="34"/>
        <v>-5.2001945086924035E-6</v>
      </c>
      <c r="BR26">
        <f t="shared" si="34"/>
        <v>0</v>
      </c>
      <c r="BS26">
        <f t="shared" si="34"/>
        <v>0</v>
      </c>
      <c r="BT26">
        <f t="shared" si="34"/>
        <v>0</v>
      </c>
      <c r="BU26">
        <f t="shared" si="34"/>
        <v>0</v>
      </c>
      <c r="BV26" s="366">
        <f t="shared" si="34"/>
        <v>0</v>
      </c>
      <c r="BW26" s="366">
        <f t="shared" si="31"/>
        <v>4.6970231023594143E-8</v>
      </c>
      <c r="BX26" s="366">
        <f t="shared" si="31"/>
        <v>6.953708313651394E-7</v>
      </c>
      <c r="BY26" s="366">
        <f t="shared" si="31"/>
        <v>0</v>
      </c>
      <c r="BZ26" s="366">
        <f t="shared" si="31"/>
        <v>0</v>
      </c>
      <c r="CA26">
        <f t="shared" si="31"/>
        <v>1.7299578055707764E-5</v>
      </c>
      <c r="CB26">
        <f t="shared" si="31"/>
        <v>0</v>
      </c>
      <c r="CC26">
        <f t="shared" si="31"/>
        <v>0</v>
      </c>
      <c r="CD26">
        <f t="shared" si="31"/>
        <v>0</v>
      </c>
      <c r="CE26">
        <f t="shared" si="31"/>
        <v>6.2000827686133422E-8</v>
      </c>
      <c r="CF26">
        <f t="shared" si="33"/>
        <v>1.1566888422348313E-6</v>
      </c>
      <c r="CG26">
        <f t="shared" si="33"/>
        <v>0</v>
      </c>
      <c r="CH26">
        <f t="shared" si="33"/>
        <v>7.7216782071129328E-3</v>
      </c>
      <c r="CI26">
        <f t="shared" si="33"/>
        <v>8.4668501442551041E-3</v>
      </c>
      <c r="CK26">
        <f t="shared" si="33"/>
        <v>-1.0123218650062266E-2</v>
      </c>
      <c r="CL26">
        <f t="shared" si="33"/>
        <v>0</v>
      </c>
      <c r="CM26">
        <f t="shared" si="33"/>
        <v>0</v>
      </c>
      <c r="CN26">
        <f t="shared" si="33"/>
        <v>5.0893649350349993E-7</v>
      </c>
      <c r="CO26">
        <f t="shared" si="33"/>
        <v>3.7705338216917234E-5</v>
      </c>
      <c r="CP26">
        <f t="shared" si="33"/>
        <v>0</v>
      </c>
      <c r="CQ26">
        <f t="shared" si="33"/>
        <v>3.8449327517329716E-6</v>
      </c>
      <c r="CT26" t="s">
        <v>2051</v>
      </c>
      <c r="CU26">
        <f t="shared" si="18"/>
        <v>5</v>
      </c>
      <c r="CV26">
        <f t="shared" si="19"/>
        <v>2</v>
      </c>
      <c r="CW26" t="str">
        <f t="shared" si="20"/>
        <v>w_12DICHLOR_HiB</v>
      </c>
      <c r="CX26">
        <f t="shared" si="21"/>
        <v>15</v>
      </c>
      <c r="CY26" t="str">
        <f t="shared" si="22"/>
        <v>[kg/bbl] kg of 1,2-DICHLOROETHANE emissions to water per bbl of crude throughput - High Complexity Hydro Cracking and Coking</v>
      </c>
    </row>
    <row r="27" spans="1:110" x14ac:dyDescent="0.25">
      <c r="A27" t="s">
        <v>2023</v>
      </c>
      <c r="B27" s="364" t="s">
        <v>1346</v>
      </c>
      <c r="C27" s="496"/>
      <c r="E27">
        <f t="shared" si="36"/>
        <v>0</v>
      </c>
      <c r="F27">
        <f t="shared" si="36"/>
        <v>0</v>
      </c>
      <c r="G27">
        <f t="shared" si="36"/>
        <v>0</v>
      </c>
      <c r="H27">
        <f t="shared" si="36"/>
        <v>1.0011828909095978E-2</v>
      </c>
      <c r="I27">
        <f t="shared" si="36"/>
        <v>8.441651154178101E-7</v>
      </c>
      <c r="J27">
        <f t="shared" si="36"/>
        <v>0.47652826208338644</v>
      </c>
      <c r="K27">
        <f t="shared" si="37"/>
        <v>2.3435964639045176E-6</v>
      </c>
      <c r="L27">
        <f t="shared" si="37"/>
        <v>0</v>
      </c>
      <c r="M27">
        <f t="shared" si="37"/>
        <v>3.1935214809741244E-4</v>
      </c>
      <c r="N27">
        <f t="shared" si="37"/>
        <v>0</v>
      </c>
      <c r="O27">
        <f t="shared" si="37"/>
        <v>9.2051660318018254E-7</v>
      </c>
      <c r="P27">
        <f t="shared" si="38"/>
        <v>1.4679544242759596E-5</v>
      </c>
      <c r="Q27">
        <f t="shared" si="38"/>
        <v>0</v>
      </c>
      <c r="R27">
        <f t="shared" si="38"/>
        <v>0</v>
      </c>
      <c r="S27">
        <f t="shared" si="38"/>
        <v>2.4800331074453369E-8</v>
      </c>
      <c r="T27">
        <f t="shared" si="38"/>
        <v>0</v>
      </c>
      <c r="U27">
        <f t="shared" si="39"/>
        <v>1.1379144115179657E-4</v>
      </c>
      <c r="V27">
        <f t="shared" si="39"/>
        <v>0</v>
      </c>
      <c r="W27">
        <f t="shared" si="39"/>
        <v>0</v>
      </c>
      <c r="X27">
        <f t="shared" si="39"/>
        <v>0</v>
      </c>
      <c r="Y27">
        <f t="shared" si="39"/>
        <v>4.201686606025766E-2</v>
      </c>
      <c r="Z27">
        <f t="shared" si="39"/>
        <v>9.2466477460431218E-4</v>
      </c>
      <c r="AA27">
        <f t="shared" si="39"/>
        <v>5.1967248977261493E-3</v>
      </c>
      <c r="AB27">
        <f t="shared" si="40"/>
        <v>5.9591672221879397E-8</v>
      </c>
      <c r="AC27">
        <f t="shared" si="40"/>
        <v>0</v>
      </c>
      <c r="AD27">
        <f t="shared" si="40"/>
        <v>6.2000827686133422E-8</v>
      </c>
      <c r="AE27">
        <f t="shared" si="41"/>
        <v>0</v>
      </c>
      <c r="AF27">
        <f t="shared" si="41"/>
        <v>0</v>
      </c>
      <c r="AG27">
        <f t="shared" si="41"/>
        <v>0</v>
      </c>
      <c r="AH27">
        <f t="shared" si="35"/>
        <v>0</v>
      </c>
      <c r="AI27">
        <f t="shared" si="35"/>
        <v>6.2000827686133422E-8</v>
      </c>
      <c r="AJ27">
        <f t="shared" si="35"/>
        <v>0</v>
      </c>
      <c r="AK27">
        <f t="shared" si="34"/>
        <v>0</v>
      </c>
      <c r="AL27">
        <f t="shared" si="34"/>
        <v>0</v>
      </c>
      <c r="AM27">
        <f t="shared" si="34"/>
        <v>0</v>
      </c>
      <c r="AN27">
        <f t="shared" si="34"/>
        <v>0</v>
      </c>
      <c r="AO27">
        <f t="shared" si="34"/>
        <v>0</v>
      </c>
      <c r="AP27">
        <f t="shared" si="34"/>
        <v>0</v>
      </c>
      <c r="AQ27">
        <f t="shared" si="34"/>
        <v>0</v>
      </c>
      <c r="AR27">
        <f t="shared" si="34"/>
        <v>5.0513849961801837E-5</v>
      </c>
      <c r="AS27">
        <f t="shared" si="34"/>
        <v>0</v>
      </c>
      <c r="AT27">
        <f t="shared" si="34"/>
        <v>0</v>
      </c>
      <c r="AU27">
        <f t="shared" si="34"/>
        <v>7.8675622898982476E-3</v>
      </c>
      <c r="AV27">
        <f t="shared" si="34"/>
        <v>2.4019807536300011E-6</v>
      </c>
      <c r="AW27">
        <f t="shared" si="34"/>
        <v>0</v>
      </c>
      <c r="AX27">
        <f t="shared" si="34"/>
        <v>0</v>
      </c>
      <c r="AY27">
        <f t="shared" si="34"/>
        <v>0</v>
      </c>
      <c r="AZ27">
        <f t="shared" si="34"/>
        <v>2.7833929995574067E-5</v>
      </c>
      <c r="BA27">
        <f t="shared" si="34"/>
        <v>0</v>
      </c>
      <c r="BB27">
        <f t="shared" si="34"/>
        <v>4.0043914430634136E-9</v>
      </c>
      <c r="BC27">
        <f t="shared" si="34"/>
        <v>3.9854524172676782E-4</v>
      </c>
      <c r="BD27">
        <f t="shared" si="34"/>
        <v>8.1283746626012671E-5</v>
      </c>
      <c r="BE27">
        <f t="shared" si="34"/>
        <v>0</v>
      </c>
      <c r="BF27">
        <f t="shared" si="34"/>
        <v>0</v>
      </c>
      <c r="BG27">
        <f t="shared" si="34"/>
        <v>3.2320666200198202E-4</v>
      </c>
      <c r="BH27">
        <f t="shared" si="34"/>
        <v>3.2320666200198202E-4</v>
      </c>
      <c r="BI27">
        <f t="shared" si="34"/>
        <v>1.2038153369694064E-7</v>
      </c>
      <c r="BJ27">
        <f t="shared" si="34"/>
        <v>0</v>
      </c>
      <c r="BK27">
        <f t="shared" si="34"/>
        <v>1.6556291390728475E-2</v>
      </c>
      <c r="BL27">
        <f t="shared" si="34"/>
        <v>0</v>
      </c>
      <c r="BM27">
        <f t="shared" si="34"/>
        <v>0</v>
      </c>
      <c r="BN27">
        <f t="shared" si="34"/>
        <v>0</v>
      </c>
      <c r="BO27">
        <f t="shared" si="34"/>
        <v>4.3868992226774108E-7</v>
      </c>
      <c r="BP27">
        <f t="shared" si="34"/>
        <v>0</v>
      </c>
      <c r="BQ27">
        <f t="shared" si="34"/>
        <v>3.0365328550509881E-4</v>
      </c>
      <c r="BR27">
        <f t="shared" si="34"/>
        <v>0</v>
      </c>
      <c r="BS27">
        <f t="shared" si="34"/>
        <v>3.2109171182018864E-2</v>
      </c>
      <c r="BT27">
        <f t="shared" si="34"/>
        <v>0</v>
      </c>
      <c r="BU27">
        <f t="shared" si="34"/>
        <v>0</v>
      </c>
      <c r="BV27" s="366">
        <f t="shared" si="34"/>
        <v>3.13410777314112E-8</v>
      </c>
      <c r="BW27" s="366">
        <f t="shared" si="31"/>
        <v>1.2787645396191069E-6</v>
      </c>
      <c r="BX27" s="366">
        <f t="shared" si="31"/>
        <v>6.953708313651394E-7</v>
      </c>
      <c r="BY27" s="366">
        <f t="shared" si="31"/>
        <v>0</v>
      </c>
      <c r="BZ27" s="366">
        <f t="shared" si="31"/>
        <v>1.9067677117902065E-8</v>
      </c>
      <c r="CA27">
        <f t="shared" si="31"/>
        <v>2.9861444572760544E-5</v>
      </c>
      <c r="CB27">
        <f t="shared" si="31"/>
        <v>0</v>
      </c>
      <c r="CC27">
        <f t="shared" si="31"/>
        <v>0</v>
      </c>
      <c r="CD27">
        <f t="shared" si="31"/>
        <v>1.6556291390728475E-2</v>
      </c>
      <c r="CE27">
        <f t="shared" si="31"/>
        <v>6.2000827686133422E-8</v>
      </c>
      <c r="CF27">
        <f t="shared" si="33"/>
        <v>4.2926351232720491E-7</v>
      </c>
      <c r="CG27">
        <f t="shared" si="33"/>
        <v>0</v>
      </c>
      <c r="CH27">
        <f t="shared" si="33"/>
        <v>4.7031522747176388E-3</v>
      </c>
      <c r="CI27">
        <f t="shared" si="33"/>
        <v>5.157024735758243E-3</v>
      </c>
      <c r="CK27">
        <f t="shared" si="33"/>
        <v>8.2092061508879342E-6</v>
      </c>
      <c r="CL27">
        <f t="shared" si="33"/>
        <v>0</v>
      </c>
      <c r="CM27">
        <f t="shared" si="33"/>
        <v>0</v>
      </c>
      <c r="CN27">
        <f t="shared" si="33"/>
        <v>0</v>
      </c>
      <c r="CO27">
        <f t="shared" si="33"/>
        <v>3.7705338216917234E-5</v>
      </c>
      <c r="CP27">
        <f t="shared" si="33"/>
        <v>0</v>
      </c>
      <c r="CQ27">
        <f t="shared" si="33"/>
        <v>1.3290838564867879E-6</v>
      </c>
      <c r="CT27" t="s">
        <v>2052</v>
      </c>
      <c r="CU27">
        <f t="shared" si="18"/>
        <v>6</v>
      </c>
      <c r="CV27">
        <f t="shared" si="19"/>
        <v>2</v>
      </c>
      <c r="CW27" t="str">
        <f t="shared" si="20"/>
        <v>w_12DICHLOR</v>
      </c>
      <c r="CX27">
        <f t="shared" si="21"/>
        <v>11</v>
      </c>
      <c r="CY27" t="str">
        <f t="shared" si="22"/>
        <v>[kg/bbl] kg of 1,2-DICHLOROETHANE emissions to water per bbl of crude throughput</v>
      </c>
    </row>
    <row r="28" spans="1:110" x14ac:dyDescent="0.25">
      <c r="A28" t="s">
        <v>2025</v>
      </c>
      <c r="B28" s="364" t="s">
        <v>1333</v>
      </c>
      <c r="C28" s="496"/>
      <c r="E28">
        <f t="shared" si="36"/>
        <v>4.8563668257760613E-8</v>
      </c>
      <c r="F28">
        <f t="shared" si="36"/>
        <v>6.2000827686133422E-8</v>
      </c>
      <c r="G28">
        <f t="shared" si="36"/>
        <v>0</v>
      </c>
      <c r="H28">
        <f t="shared" si="36"/>
        <v>3.6921544592927992E-2</v>
      </c>
      <c r="I28">
        <f t="shared" si="36"/>
        <v>8.441651154178101E-7</v>
      </c>
      <c r="J28">
        <f t="shared" si="36"/>
        <v>0.47652826208338644</v>
      </c>
      <c r="K28">
        <f t="shared" si="37"/>
        <v>1.2789749190736763E-3</v>
      </c>
      <c r="L28">
        <f t="shared" si="37"/>
        <v>6.6163240455890406E-4</v>
      </c>
      <c r="M28">
        <f t="shared" si="37"/>
        <v>3.1935214809741244E-4</v>
      </c>
      <c r="N28">
        <f t="shared" si="37"/>
        <v>8.5472056133658674E-7</v>
      </c>
      <c r="O28">
        <f t="shared" si="37"/>
        <v>2.026472835709589E-5</v>
      </c>
      <c r="P28">
        <f t="shared" si="38"/>
        <v>1.4771577246750967E-5</v>
      </c>
      <c r="Q28">
        <f t="shared" si="38"/>
        <v>1.8211920529801327E-2</v>
      </c>
      <c r="R28">
        <f t="shared" si="38"/>
        <v>8.5472056133658674E-7</v>
      </c>
      <c r="S28">
        <f t="shared" si="38"/>
        <v>2.4800331074453369E-8</v>
      </c>
      <c r="T28">
        <f t="shared" si="38"/>
        <v>0</v>
      </c>
      <c r="U28">
        <f t="shared" si="39"/>
        <v>1.1379144115179657E-4</v>
      </c>
      <c r="V28">
        <f t="shared" si="39"/>
        <v>0</v>
      </c>
      <c r="W28">
        <f t="shared" si="39"/>
        <v>8.5635989952043846E-3</v>
      </c>
      <c r="X28">
        <f t="shared" si="39"/>
        <v>0</v>
      </c>
      <c r="Y28">
        <f t="shared" si="39"/>
        <v>0</v>
      </c>
      <c r="Z28">
        <f t="shared" si="39"/>
        <v>1.9800577765342466E-2</v>
      </c>
      <c r="AA28">
        <f t="shared" si="39"/>
        <v>1.1556314526181988E-3</v>
      </c>
      <c r="AB28">
        <f t="shared" si="40"/>
        <v>9.0877824215475741E-5</v>
      </c>
      <c r="AC28">
        <f t="shared" si="40"/>
        <v>2.7309969440314915E-6</v>
      </c>
      <c r="AD28">
        <f t="shared" si="40"/>
        <v>6.2000827686133422E-8</v>
      </c>
      <c r="AE28">
        <f t="shared" si="41"/>
        <v>6.1515388774148212E-7</v>
      </c>
      <c r="AF28">
        <f t="shared" si="41"/>
        <v>2.4622176940057732E-2</v>
      </c>
      <c r="AG28">
        <f t="shared" si="41"/>
        <v>3.8651942848495443E-6</v>
      </c>
      <c r="AH28">
        <f t="shared" si="35"/>
        <v>1.8492562990681583E-3</v>
      </c>
      <c r="AI28">
        <f t="shared" si="35"/>
        <v>6.2000827686133422E-8</v>
      </c>
      <c r="AJ28">
        <f t="shared" si="35"/>
        <v>0</v>
      </c>
      <c r="AK28">
        <f t="shared" si="35"/>
        <v>1.801943604914328</v>
      </c>
      <c r="AL28">
        <f t="shared" si="35"/>
        <v>1.6359489464112897E-6</v>
      </c>
      <c r="AM28">
        <f t="shared" si="35"/>
        <v>0</v>
      </c>
      <c r="AN28">
        <f t="shared" si="35"/>
        <v>2.5817320655205287E-2</v>
      </c>
      <c r="AO28">
        <f t="shared" si="35"/>
        <v>3.2320666200198202E-4</v>
      </c>
      <c r="AP28">
        <f t="shared" si="35"/>
        <v>0</v>
      </c>
      <c r="AQ28">
        <f t="shared" si="35"/>
        <v>0</v>
      </c>
      <c r="AR28">
        <f t="shared" si="35"/>
        <v>2.916314211836164E-4</v>
      </c>
      <c r="AS28">
        <f t="shared" si="35"/>
        <v>0</v>
      </c>
      <c r="AT28">
        <f t="shared" si="35"/>
        <v>0</v>
      </c>
      <c r="AU28">
        <f t="shared" si="35"/>
        <v>7.8675622898982476E-3</v>
      </c>
      <c r="AV28">
        <f t="shared" si="35"/>
        <v>2.4019807536300011E-6</v>
      </c>
      <c r="AW28">
        <f t="shared" si="35"/>
        <v>0</v>
      </c>
      <c r="AX28">
        <f t="shared" si="35"/>
        <v>0.16378027149643914</v>
      </c>
      <c r="AY28">
        <f t="shared" ref="AY28:BV32" si="42">IF(GETPIVOTDATA(T($A28),$A$3,"Unit Index",T($B28),"Substance Name",AY$17)="",GETPIVOTDATA(T($A28),$A$3,"Substance Name",AY$17),GETPIVOTDATA(T($A28),$A$3,"Unit Index",T($B28),"Substance Name",AY$17))</f>
        <v>0</v>
      </c>
      <c r="AZ28">
        <f t="shared" si="42"/>
        <v>2.7833929995574067E-5</v>
      </c>
      <c r="BA28">
        <f t="shared" si="42"/>
        <v>0</v>
      </c>
      <c r="BB28">
        <f t="shared" si="42"/>
        <v>4.7538515152792409E-7</v>
      </c>
      <c r="BC28">
        <f t="shared" si="42"/>
        <v>3.9854524172676782E-4</v>
      </c>
      <c r="BD28">
        <f t="shared" si="42"/>
        <v>8.1283746626012671E-5</v>
      </c>
      <c r="BE28">
        <f t="shared" si="42"/>
        <v>1.9484781335743697E-10</v>
      </c>
      <c r="BF28">
        <f t="shared" si="42"/>
        <v>0</v>
      </c>
      <c r="BG28">
        <f t="shared" si="42"/>
        <v>2.2170806438368381E-2</v>
      </c>
      <c r="BH28">
        <f t="shared" si="42"/>
        <v>3.2320666200198202E-4</v>
      </c>
      <c r="BI28">
        <f t="shared" si="42"/>
        <v>1.2038153369694064E-7</v>
      </c>
      <c r="BJ28">
        <f t="shared" si="42"/>
        <v>1.2263919548687761</v>
      </c>
      <c r="BK28">
        <f t="shared" si="42"/>
        <v>1.6556291390728475E-2</v>
      </c>
      <c r="BL28">
        <f t="shared" si="42"/>
        <v>0</v>
      </c>
      <c r="BM28">
        <f t="shared" si="42"/>
        <v>5.1634641310410574E-2</v>
      </c>
      <c r="BN28">
        <f t="shared" si="42"/>
        <v>1.8492562990681583E-3</v>
      </c>
      <c r="BO28">
        <f t="shared" si="42"/>
        <v>1.2232383180301507E-5</v>
      </c>
      <c r="BP28">
        <f t="shared" si="42"/>
        <v>91.558976260297612</v>
      </c>
      <c r="BQ28">
        <f t="shared" si="42"/>
        <v>1.0926106924045399E-6</v>
      </c>
      <c r="BR28">
        <f t="shared" si="42"/>
        <v>7.4668874172185429E-2</v>
      </c>
      <c r="BS28">
        <f t="shared" si="42"/>
        <v>3.2109171182018864E-2</v>
      </c>
      <c r="BT28">
        <f t="shared" si="42"/>
        <v>0</v>
      </c>
      <c r="BU28">
        <f t="shared" si="42"/>
        <v>8.5635989952043846E-3</v>
      </c>
      <c r="BV28" s="366">
        <f t="shared" si="42"/>
        <v>6.5654258963233611E-2</v>
      </c>
      <c r="BW28" s="366">
        <f t="shared" si="31"/>
        <v>2.099487258936024E-6</v>
      </c>
      <c r="BX28" s="366">
        <f t="shared" si="31"/>
        <v>6.953708313651394E-7</v>
      </c>
      <c r="BY28" s="366">
        <f t="shared" si="31"/>
        <v>4.7529347279465281E-6</v>
      </c>
      <c r="BZ28" s="366">
        <f t="shared" si="31"/>
        <v>6.0241082671656306E-6</v>
      </c>
      <c r="CA28">
        <f t="shared" si="31"/>
        <v>6.2389404302812964E-5</v>
      </c>
      <c r="CB28">
        <f t="shared" si="31"/>
        <v>7.7451961965615851E-2</v>
      </c>
      <c r="CC28">
        <f t="shared" si="31"/>
        <v>0</v>
      </c>
      <c r="CD28">
        <f t="shared" si="31"/>
        <v>1.6556291390728475E-2</v>
      </c>
      <c r="CE28">
        <f t="shared" si="31"/>
        <v>6.2000827686133422E-8</v>
      </c>
      <c r="CF28">
        <f t="shared" si="33"/>
        <v>1.4525146495162623E-5</v>
      </c>
      <c r="CG28">
        <f t="shared" si="33"/>
        <v>8.3872690631031165E-9</v>
      </c>
      <c r="CH28">
        <f t="shared" si="33"/>
        <v>7.7216782071129328E-3</v>
      </c>
      <c r="CI28">
        <f t="shared" si="33"/>
        <v>0.66790524019760111</v>
      </c>
      <c r="CK28">
        <f t="shared" si="33"/>
        <v>2.1386809212545203E-2</v>
      </c>
      <c r="CL28">
        <f t="shared" si="33"/>
        <v>0</v>
      </c>
      <c r="CM28">
        <f t="shared" si="33"/>
        <v>1.8211920529801327E-2</v>
      </c>
      <c r="CN28">
        <f t="shared" si="33"/>
        <v>5.0893649350349993E-7</v>
      </c>
      <c r="CO28">
        <f t="shared" si="33"/>
        <v>3.7705338216917234E-5</v>
      </c>
      <c r="CP28">
        <f t="shared" si="33"/>
        <v>7.7451961965615851E-2</v>
      </c>
      <c r="CQ28">
        <f t="shared" si="33"/>
        <v>3.238210077639621E-5</v>
      </c>
      <c r="CT28" t="s">
        <v>2037</v>
      </c>
      <c r="CU28">
        <f t="shared" si="18"/>
        <v>1</v>
      </c>
      <c r="CV28">
        <f t="shared" si="19"/>
        <v>3</v>
      </c>
      <c r="CW28" t="str">
        <f t="shared" si="20"/>
        <v>w_13BUTADIE_L</v>
      </c>
      <c r="CX28">
        <f t="shared" si="21"/>
        <v>13</v>
      </c>
      <c r="CY28" t="str">
        <f t="shared" si="22"/>
        <v>[kg/bbl] kg of 1,3-BUTADIENE emissions to water per bbl of crude throughput - Low Complexity</v>
      </c>
    </row>
    <row r="29" spans="1:110" x14ac:dyDescent="0.25">
      <c r="A29" t="s">
        <v>2025</v>
      </c>
      <c r="B29" s="364" t="s">
        <v>1270</v>
      </c>
      <c r="C29" s="496"/>
      <c r="E29">
        <f t="shared" si="36"/>
        <v>5.8253617856266864E-2</v>
      </c>
      <c r="F29">
        <f t="shared" si="36"/>
        <v>6.2000827686133422E-8</v>
      </c>
      <c r="G29">
        <f t="shared" si="36"/>
        <v>4.4746733488455342E-3</v>
      </c>
      <c r="H29">
        <f t="shared" si="36"/>
        <v>3.6921544592927992E-2</v>
      </c>
      <c r="I29">
        <f t="shared" si="36"/>
        <v>8.441651154178101E-7</v>
      </c>
      <c r="J29">
        <f t="shared" si="36"/>
        <v>0.47652826208338644</v>
      </c>
      <c r="K29">
        <f t="shared" si="37"/>
        <v>1.2789749190736763E-3</v>
      </c>
      <c r="L29">
        <f t="shared" si="37"/>
        <v>55.2281399141186</v>
      </c>
      <c r="M29">
        <f t="shared" si="37"/>
        <v>3.1935214809741244E-4</v>
      </c>
      <c r="N29">
        <f t="shared" si="37"/>
        <v>1.3796909492273732E-3</v>
      </c>
      <c r="O29">
        <f t="shared" si="37"/>
        <v>1.0783422070997199E-6</v>
      </c>
      <c r="P29">
        <f t="shared" si="38"/>
        <v>1.4771577246750967E-5</v>
      </c>
      <c r="Q29">
        <f t="shared" si="38"/>
        <v>0.17246136865342163</v>
      </c>
      <c r="R29">
        <f t="shared" si="38"/>
        <v>9.1979396615158194E-4</v>
      </c>
      <c r="S29">
        <f t="shared" si="38"/>
        <v>2.4800331074453369E-8</v>
      </c>
      <c r="T29">
        <f t="shared" si="38"/>
        <v>6.247657128576784E-3</v>
      </c>
      <c r="U29">
        <f t="shared" si="39"/>
        <v>1.1379144115179657E-4</v>
      </c>
      <c r="V29">
        <f t="shared" si="39"/>
        <v>0</v>
      </c>
      <c r="W29">
        <f t="shared" si="39"/>
        <v>5.5152715061748257E-2</v>
      </c>
      <c r="X29">
        <f t="shared" si="39"/>
        <v>0.59646639992705519</v>
      </c>
      <c r="Y29">
        <f t="shared" si="39"/>
        <v>4.201686606025766E-2</v>
      </c>
      <c r="Z29">
        <f t="shared" si="39"/>
        <v>8.6760104446457036E-3</v>
      </c>
      <c r="AA29">
        <f t="shared" si="39"/>
        <v>2.0333470466430532E-2</v>
      </c>
      <c r="AB29">
        <f t="shared" si="40"/>
        <v>0</v>
      </c>
      <c r="AC29">
        <f t="shared" si="40"/>
        <v>6.0090954070482641E-8</v>
      </c>
      <c r="AD29">
        <f t="shared" si="40"/>
        <v>6.2000827686133422E-8</v>
      </c>
      <c r="AE29">
        <f t="shared" si="41"/>
        <v>1.5523092977478517E-7</v>
      </c>
      <c r="AF29">
        <f t="shared" si="41"/>
        <v>3.3112582781456949E-2</v>
      </c>
      <c r="AG29">
        <f t="shared" si="41"/>
        <v>3.8651942848495443E-6</v>
      </c>
      <c r="AH29">
        <f t="shared" si="35"/>
        <v>0.27304228680361803</v>
      </c>
      <c r="AI29">
        <f t="shared" si="35"/>
        <v>6.2000827686133422E-8</v>
      </c>
      <c r="AJ29">
        <f t="shared" si="35"/>
        <v>0</v>
      </c>
      <c r="AK29">
        <f t="shared" si="35"/>
        <v>0.22373366744227668</v>
      </c>
      <c r="AL29">
        <f t="shared" si="35"/>
        <v>1.6666368355110075E-6</v>
      </c>
      <c r="AM29">
        <f t="shared" si="35"/>
        <v>1.6723479623044926</v>
      </c>
      <c r="AN29">
        <f t="shared" si="35"/>
        <v>0.1010458807199585</v>
      </c>
      <c r="AO29">
        <f t="shared" si="35"/>
        <v>3.2320666200198202E-4</v>
      </c>
      <c r="AP29">
        <f t="shared" si="35"/>
        <v>0</v>
      </c>
      <c r="AQ29">
        <f t="shared" si="35"/>
        <v>0</v>
      </c>
      <c r="AR29">
        <f t="shared" si="35"/>
        <v>2.4385811913865389E-4</v>
      </c>
      <c r="AS29">
        <f t="shared" si="35"/>
        <v>0</v>
      </c>
      <c r="AT29">
        <f t="shared" si="35"/>
        <v>0</v>
      </c>
      <c r="AU29">
        <f t="shared" si="35"/>
        <v>7.8675622898982476E-3</v>
      </c>
      <c r="AV29">
        <f t="shared" si="35"/>
        <v>2.4019807536300011E-6</v>
      </c>
      <c r="AW29">
        <f t="shared" si="35"/>
        <v>0.54873917513116166</v>
      </c>
      <c r="AX29">
        <f t="shared" si="35"/>
        <v>0.16378027149643914</v>
      </c>
      <c r="AY29">
        <f t="shared" si="42"/>
        <v>0</v>
      </c>
      <c r="AZ29">
        <f t="shared" si="42"/>
        <v>5.4911176573869489E-5</v>
      </c>
      <c r="BA29">
        <f t="shared" si="42"/>
        <v>1.1825922421948911E-2</v>
      </c>
      <c r="BB29">
        <f t="shared" si="42"/>
        <v>0</v>
      </c>
      <c r="BC29">
        <f t="shared" si="42"/>
        <v>3.9854524172676782E-4</v>
      </c>
      <c r="BD29">
        <f t="shared" si="42"/>
        <v>8.1283746626012671E-5</v>
      </c>
      <c r="BE29">
        <f t="shared" si="42"/>
        <v>1.8686835690676092E-8</v>
      </c>
      <c r="BF29">
        <f t="shared" si="42"/>
        <v>0</v>
      </c>
      <c r="BG29">
        <f t="shared" si="42"/>
        <v>2.2170806438368381E-2</v>
      </c>
      <c r="BH29">
        <f t="shared" si="42"/>
        <v>4.7606814552953302E-7</v>
      </c>
      <c r="BI29">
        <f t="shared" si="42"/>
        <v>1.2038153369694064E-7</v>
      </c>
      <c r="BJ29">
        <f t="shared" si="42"/>
        <v>0</v>
      </c>
      <c r="BK29">
        <f t="shared" si="42"/>
        <v>1.6556291390728475E-2</v>
      </c>
      <c r="BL29">
        <f t="shared" si="42"/>
        <v>0</v>
      </c>
      <c r="BM29">
        <f t="shared" si="42"/>
        <v>0.15156882107993774</v>
      </c>
      <c r="BN29">
        <f t="shared" si="42"/>
        <v>1.6723479623044926</v>
      </c>
      <c r="BO29">
        <f t="shared" si="42"/>
        <v>1.2296942218560099E-8</v>
      </c>
      <c r="BP29">
        <f t="shared" si="42"/>
        <v>1313.5964493594604</v>
      </c>
      <c r="BQ29">
        <f t="shared" si="42"/>
        <v>6.6022128471490442E-3</v>
      </c>
      <c r="BR29">
        <f t="shared" si="42"/>
        <v>7.4668874172185429E-2</v>
      </c>
      <c r="BS29">
        <f t="shared" si="42"/>
        <v>3.2109171182018864E-2</v>
      </c>
      <c r="BT29">
        <f t="shared" si="42"/>
        <v>3.5119405980333133E-3</v>
      </c>
      <c r="BU29">
        <f t="shared" si="42"/>
        <v>1.1825922421948911E-2</v>
      </c>
      <c r="BV29" s="366">
        <f t="shared" si="42"/>
        <v>0.45583095500313425</v>
      </c>
      <c r="BW29" s="366">
        <f t="shared" si="31"/>
        <v>2.099487258936024E-6</v>
      </c>
      <c r="BX29" s="366">
        <f t="shared" si="31"/>
        <v>6.953708313651394E-7</v>
      </c>
      <c r="BY29" s="366">
        <f t="shared" si="31"/>
        <v>4.5589688667496888E-6</v>
      </c>
      <c r="BZ29" s="366">
        <f t="shared" si="31"/>
        <v>2.9450334851847641E-8</v>
      </c>
      <c r="CA29">
        <f t="shared" si="31"/>
        <v>3.0446071954831544E-5</v>
      </c>
      <c r="CB29">
        <f t="shared" si="31"/>
        <v>1.4167893058621537</v>
      </c>
      <c r="CC29">
        <f t="shared" si="31"/>
        <v>1.6723479623044926</v>
      </c>
      <c r="CD29">
        <f t="shared" si="31"/>
        <v>1.6556291390728475E-2</v>
      </c>
      <c r="CE29">
        <f t="shared" si="31"/>
        <v>6.2000827686133422E-8</v>
      </c>
      <c r="CF29">
        <f t="shared" si="31"/>
        <v>1.5519126180189676E-6</v>
      </c>
      <c r="CG29">
        <f t="shared" si="31"/>
        <v>8.3872690631031165E-9</v>
      </c>
      <c r="CH29">
        <f t="shared" si="31"/>
        <v>7.7216782071129328E-3</v>
      </c>
      <c r="CI29">
        <f t="shared" si="31"/>
        <v>0.1714120875134911</v>
      </c>
      <c r="CK29">
        <f t="shared" si="31"/>
        <v>5.7929123329880216E-3</v>
      </c>
      <c r="CL29">
        <f t="shared" si="31"/>
        <v>1.6723479623044926</v>
      </c>
      <c r="CM29">
        <f t="shared" si="31"/>
        <v>0.30313764215987549</v>
      </c>
      <c r="CN29">
        <f t="shared" si="31"/>
        <v>5.0893649350349993E-7</v>
      </c>
      <c r="CO29">
        <f t="shared" si="31"/>
        <v>3.7705338216917234E-5</v>
      </c>
      <c r="CP29">
        <f t="shared" si="31"/>
        <v>3.3417925427299844</v>
      </c>
      <c r="CQ29">
        <f t="shared" si="31"/>
        <v>3.2727303383146539E-6</v>
      </c>
      <c r="CT29" t="s">
        <v>2053</v>
      </c>
      <c r="CU29">
        <f t="shared" si="18"/>
        <v>2</v>
      </c>
      <c r="CV29">
        <f t="shared" si="19"/>
        <v>3</v>
      </c>
      <c r="CW29" t="str">
        <f t="shared" si="20"/>
        <v>w_13BUTADIE_M</v>
      </c>
      <c r="CX29">
        <f t="shared" si="21"/>
        <v>13</v>
      </c>
      <c r="CY29" t="str">
        <f t="shared" si="22"/>
        <v>[kg/bbl] kg of 1,3-BUTADIENE emissions to water per bbl of crude throughput - Med Complexity</v>
      </c>
    </row>
    <row r="30" spans="1:110" x14ac:dyDescent="0.25">
      <c r="A30" t="s">
        <v>2025</v>
      </c>
      <c r="B30" s="364" t="s">
        <v>1473</v>
      </c>
      <c r="C30" s="496"/>
      <c r="E30">
        <f t="shared" si="36"/>
        <v>3.2546910863599593E-2</v>
      </c>
      <c r="F30">
        <f t="shared" si="36"/>
        <v>6.2000827686133422E-8</v>
      </c>
      <c r="G30">
        <f t="shared" si="36"/>
        <v>0</v>
      </c>
      <c r="H30">
        <f t="shared" si="36"/>
        <v>3.6921544592927992E-2</v>
      </c>
      <c r="I30">
        <f t="shared" si="36"/>
        <v>8.441651154178101E-7</v>
      </c>
      <c r="J30">
        <f t="shared" si="36"/>
        <v>0.47652826208338644</v>
      </c>
      <c r="K30">
        <f t="shared" si="37"/>
        <v>1.2789749190736763E-3</v>
      </c>
      <c r="L30">
        <f t="shared" si="37"/>
        <v>2.4466426444239714E-3</v>
      </c>
      <c r="M30">
        <f t="shared" si="37"/>
        <v>3.1935214809741244E-4</v>
      </c>
      <c r="N30">
        <f t="shared" si="37"/>
        <v>8.8386539667215259E-3</v>
      </c>
      <c r="O30">
        <f t="shared" si="37"/>
        <v>2.026472835709589E-5</v>
      </c>
      <c r="P30">
        <f t="shared" si="38"/>
        <v>1.4771577246750967E-5</v>
      </c>
      <c r="Q30">
        <f t="shared" si="38"/>
        <v>6.0444263032399234E-2</v>
      </c>
      <c r="R30">
        <f t="shared" si="38"/>
        <v>8.8386539667215259E-3</v>
      </c>
      <c r="S30">
        <f t="shared" si="38"/>
        <v>2.4800331074453369E-8</v>
      </c>
      <c r="T30">
        <f t="shared" si="38"/>
        <v>2.7235908672468275E-2</v>
      </c>
      <c r="U30">
        <f t="shared" si="39"/>
        <v>1.1379144115179657E-4</v>
      </c>
      <c r="V30">
        <f t="shared" si="39"/>
        <v>0</v>
      </c>
      <c r="W30">
        <f t="shared" si="39"/>
        <v>5.5152715061748257E-2</v>
      </c>
      <c r="X30">
        <f t="shared" si="39"/>
        <v>0.59646639992705519</v>
      </c>
      <c r="Y30">
        <f t="shared" si="39"/>
        <v>4.201686606025766E-2</v>
      </c>
      <c r="Z30">
        <f t="shared" si="39"/>
        <v>3.6173128394373921E-2</v>
      </c>
      <c r="AA30">
        <f t="shared" si="39"/>
        <v>3.4640327004566207E-2</v>
      </c>
      <c r="AB30">
        <f t="shared" si="40"/>
        <v>9.0877824215475741E-5</v>
      </c>
      <c r="AC30">
        <f t="shared" si="40"/>
        <v>7.9449095469932192E-7</v>
      </c>
      <c r="AD30">
        <f t="shared" si="40"/>
        <v>6.2000827686133422E-8</v>
      </c>
      <c r="AE30">
        <f t="shared" si="41"/>
        <v>6.3672156100144795E-7</v>
      </c>
      <c r="AF30">
        <f t="shared" si="41"/>
        <v>0.77022555995716169</v>
      </c>
      <c r="AG30">
        <f t="shared" si="41"/>
        <v>3.5521594119955571E-6</v>
      </c>
      <c r="AH30">
        <f t="shared" si="35"/>
        <v>1.8598234779199765E-2</v>
      </c>
      <c r="AI30">
        <f t="shared" si="35"/>
        <v>6.2000827686133422E-8</v>
      </c>
      <c r="AJ30">
        <f t="shared" si="35"/>
        <v>0</v>
      </c>
      <c r="AK30">
        <f t="shared" si="35"/>
        <v>1.5404511199143234E-2</v>
      </c>
      <c r="AL30">
        <f t="shared" si="35"/>
        <v>7.4821857424487736E-7</v>
      </c>
      <c r="AM30">
        <f t="shared" si="35"/>
        <v>0</v>
      </c>
      <c r="AN30">
        <f t="shared" si="35"/>
        <v>1.5404511199143234E-2</v>
      </c>
      <c r="AO30">
        <f t="shared" si="35"/>
        <v>3.2320666200198202E-4</v>
      </c>
      <c r="AP30">
        <f t="shared" si="35"/>
        <v>8.080166550049551</v>
      </c>
      <c r="AQ30">
        <f t="shared" si="35"/>
        <v>0</v>
      </c>
      <c r="AR30">
        <f t="shared" si="35"/>
        <v>2.916314211836164E-4</v>
      </c>
      <c r="AS30">
        <f t="shared" si="35"/>
        <v>0</v>
      </c>
      <c r="AT30">
        <f t="shared" si="35"/>
        <v>0</v>
      </c>
      <c r="AU30">
        <f t="shared" si="35"/>
        <v>7.8675622898982476E-3</v>
      </c>
      <c r="AV30">
        <f t="shared" si="35"/>
        <v>2.4019807536300011E-6</v>
      </c>
      <c r="AW30">
        <f t="shared" si="35"/>
        <v>0</v>
      </c>
      <c r="AX30">
        <f t="shared" si="35"/>
        <v>0</v>
      </c>
      <c r="AY30">
        <f t="shared" si="42"/>
        <v>0</v>
      </c>
      <c r="AZ30">
        <f t="shared" si="42"/>
        <v>4.9765650903813409E-4</v>
      </c>
      <c r="BA30">
        <f t="shared" si="42"/>
        <v>1.2529085376767496E-2</v>
      </c>
      <c r="BB30">
        <f t="shared" si="42"/>
        <v>1.4181936764161421E-7</v>
      </c>
      <c r="BC30">
        <f t="shared" si="42"/>
        <v>3.9854524172676782E-4</v>
      </c>
      <c r="BD30">
        <f t="shared" si="42"/>
        <v>8.1283746626012671E-5</v>
      </c>
      <c r="BE30">
        <f t="shared" si="42"/>
        <v>3.5435160402079755E-9</v>
      </c>
      <c r="BF30">
        <f t="shared" si="42"/>
        <v>5.2155545418481104</v>
      </c>
      <c r="BG30">
        <f t="shared" si="42"/>
        <v>2.2170806438368381E-2</v>
      </c>
      <c r="BH30">
        <f t="shared" si="42"/>
        <v>3.2320666200198202E-4</v>
      </c>
      <c r="BI30">
        <f t="shared" si="42"/>
        <v>1.2038153369694064E-7</v>
      </c>
      <c r="BJ30">
        <f t="shared" si="42"/>
        <v>0.44193269833607629</v>
      </c>
      <c r="BK30">
        <f t="shared" si="42"/>
        <v>1.6556291390728475E-2</v>
      </c>
      <c r="BL30">
        <f t="shared" si="42"/>
        <v>0</v>
      </c>
      <c r="BM30">
        <f t="shared" si="42"/>
        <v>1.2529085376767496E-2</v>
      </c>
      <c r="BN30">
        <f t="shared" si="42"/>
        <v>2.3247793473999707E-2</v>
      </c>
      <c r="BO30">
        <f t="shared" si="42"/>
        <v>3.5903445179327423E-6</v>
      </c>
      <c r="BP30">
        <f t="shared" si="42"/>
        <v>473.18798064362363</v>
      </c>
      <c r="BQ30">
        <f t="shared" si="42"/>
        <v>6.6022128471490442E-3</v>
      </c>
      <c r="BR30">
        <f t="shared" si="42"/>
        <v>7.4668874172185429E-2</v>
      </c>
      <c r="BS30">
        <f t="shared" si="42"/>
        <v>3.2109171182018864E-2</v>
      </c>
      <c r="BT30">
        <f t="shared" si="42"/>
        <v>6.5194431773101381E-4</v>
      </c>
      <c r="BU30">
        <f t="shared" si="42"/>
        <v>8.8386539667215259E-3</v>
      </c>
      <c r="BV30" s="366">
        <f t="shared" si="42"/>
        <v>3.9156657959687444</v>
      </c>
      <c r="BW30" s="366">
        <f t="shared" si="31"/>
        <v>2.099487258936024E-6</v>
      </c>
      <c r="BX30" s="366">
        <f t="shared" si="31"/>
        <v>6.953708313651394E-7</v>
      </c>
      <c r="BY30" s="366">
        <f t="shared" si="31"/>
        <v>3.848427874179856E-6</v>
      </c>
      <c r="BZ30" s="366">
        <f t="shared" si="31"/>
        <v>3.6530004468439524E-6</v>
      </c>
      <c r="CA30">
        <f t="shared" si="31"/>
        <v>6.2389404302812964E-5</v>
      </c>
      <c r="CB30">
        <f t="shared" si="31"/>
        <v>3.6970826877943765E-2</v>
      </c>
      <c r="CC30">
        <f t="shared" si="31"/>
        <v>1.4342774990082302E-2</v>
      </c>
      <c r="CD30">
        <f t="shared" si="31"/>
        <v>1.6556291390728475E-2</v>
      </c>
      <c r="CE30">
        <f t="shared" si="31"/>
        <v>6.2000827686133422E-8</v>
      </c>
      <c r="CF30">
        <f t="shared" si="31"/>
        <v>2.6080360993594283E-6</v>
      </c>
      <c r="CG30">
        <f t="shared" si="31"/>
        <v>8.3872690631031165E-9</v>
      </c>
      <c r="CH30">
        <f t="shared" si="31"/>
        <v>7.7216782071129328E-3</v>
      </c>
      <c r="CI30">
        <f t="shared" si="31"/>
        <v>0.66790524019760111</v>
      </c>
      <c r="CK30">
        <f t="shared" si="31"/>
        <v>6.4655317352400555E-3</v>
      </c>
      <c r="CL30">
        <f t="shared" si="31"/>
        <v>1.6723479623044926</v>
      </c>
      <c r="CM30">
        <f t="shared" si="31"/>
        <v>0.15343543692839806</v>
      </c>
      <c r="CN30">
        <f t="shared" si="31"/>
        <v>5.0893649350349993E-7</v>
      </c>
      <c r="CO30">
        <f t="shared" si="31"/>
        <v>3.7705338216917234E-5</v>
      </c>
      <c r="CP30">
        <f t="shared" si="31"/>
        <v>0.12873363045994582</v>
      </c>
      <c r="CQ30">
        <f t="shared" si="31"/>
        <v>1.0633070667098675E-5</v>
      </c>
      <c r="CT30" t="s">
        <v>2136</v>
      </c>
      <c r="CU30">
        <f t="shared" si="18"/>
        <v>3</v>
      </c>
      <c r="CV30">
        <f t="shared" si="19"/>
        <v>3</v>
      </c>
      <c r="CW30" t="str">
        <f t="shared" si="20"/>
        <v>w_13BUTADIE_HiH</v>
      </c>
      <c r="CX30">
        <f t="shared" si="21"/>
        <v>15</v>
      </c>
      <c r="CY30" t="str">
        <f t="shared" si="22"/>
        <v>[kg/bbl] kg of 1,3-BUTADIENE emissions to water per bbl of crude throughput - High Complexity Hydro Cracking</v>
      </c>
    </row>
    <row r="31" spans="1:110" x14ac:dyDescent="0.25">
      <c r="A31" t="s">
        <v>2025</v>
      </c>
      <c r="B31" s="364" t="s">
        <v>1412</v>
      </c>
      <c r="C31" s="496"/>
      <c r="E31">
        <f t="shared" si="36"/>
        <v>0.91979396615158204</v>
      </c>
      <c r="F31">
        <f t="shared" si="36"/>
        <v>6.2000827686133422E-8</v>
      </c>
      <c r="G31">
        <f t="shared" si="36"/>
        <v>1.3347730406772799E-3</v>
      </c>
      <c r="H31">
        <f t="shared" si="36"/>
        <v>3.6921544592927992E-2</v>
      </c>
      <c r="I31">
        <f t="shared" si="36"/>
        <v>8.441651154178101E-7</v>
      </c>
      <c r="J31">
        <f t="shared" si="36"/>
        <v>0.47652826208338644</v>
      </c>
      <c r="K31">
        <f t="shared" si="37"/>
        <v>5.9274869496051105E-4</v>
      </c>
      <c r="L31">
        <f t="shared" si="37"/>
        <v>6.8999402814792363</v>
      </c>
      <c r="M31">
        <f t="shared" si="37"/>
        <v>3.1935214809741244E-4</v>
      </c>
      <c r="N31">
        <f t="shared" si="37"/>
        <v>0</v>
      </c>
      <c r="O31">
        <f t="shared" si="37"/>
        <v>4.9820231922497068E-8</v>
      </c>
      <c r="P31">
        <f t="shared" si="38"/>
        <v>1.4679544242759596E-5</v>
      </c>
      <c r="Q31">
        <f t="shared" si="38"/>
        <v>0.21216580819229827</v>
      </c>
      <c r="R31">
        <f t="shared" si="38"/>
        <v>8.7096087241105832E-2</v>
      </c>
      <c r="S31">
        <f t="shared" si="38"/>
        <v>2.4800331074453369E-8</v>
      </c>
      <c r="T31">
        <f t="shared" si="38"/>
        <v>0</v>
      </c>
      <c r="U31">
        <f t="shared" si="39"/>
        <v>1.1379144115179657E-4</v>
      </c>
      <c r="V31">
        <f t="shared" si="39"/>
        <v>0</v>
      </c>
      <c r="W31">
        <f t="shared" si="39"/>
        <v>0</v>
      </c>
      <c r="X31">
        <f t="shared" si="39"/>
        <v>0</v>
      </c>
      <c r="Y31">
        <f t="shared" si="39"/>
        <v>4.201686606025766E-2</v>
      </c>
      <c r="Z31">
        <f t="shared" si="39"/>
        <v>5.1727239136304871E-2</v>
      </c>
      <c r="AA31">
        <f t="shared" si="39"/>
        <v>3.4640327004566207E-2</v>
      </c>
      <c r="AB31">
        <f t="shared" si="40"/>
        <v>2.1288197202673777E-5</v>
      </c>
      <c r="AC31">
        <f t="shared" si="40"/>
        <v>5.6199881419864946E-7</v>
      </c>
      <c r="AD31">
        <f t="shared" si="40"/>
        <v>6.2000827686133422E-8</v>
      </c>
      <c r="AE31">
        <f t="shared" si="41"/>
        <v>8.3821554872053563E-6</v>
      </c>
      <c r="AF31">
        <f t="shared" si="41"/>
        <v>0.13440418911909505</v>
      </c>
      <c r="AG31">
        <f t="shared" si="41"/>
        <v>1.2029720164531312E-6</v>
      </c>
      <c r="AH31">
        <f t="shared" si="35"/>
        <v>0.16801569781702233</v>
      </c>
      <c r="AI31">
        <f t="shared" si="35"/>
        <v>0</v>
      </c>
      <c r="AJ31">
        <f t="shared" si="35"/>
        <v>0</v>
      </c>
      <c r="AK31">
        <f t="shared" si="35"/>
        <v>0.31798064255005415</v>
      </c>
      <c r="AL31">
        <f t="shared" si="35"/>
        <v>8.4681015452538645E-7</v>
      </c>
      <c r="AM31">
        <f t="shared" si="35"/>
        <v>0</v>
      </c>
      <c r="AN31">
        <f t="shared" si="35"/>
        <v>0.26980623007113075</v>
      </c>
      <c r="AO31">
        <f t="shared" si="35"/>
        <v>3.2320666200198202E-4</v>
      </c>
      <c r="AP31">
        <f t="shared" si="35"/>
        <v>4.5647688571160078E-6</v>
      </c>
      <c r="AQ31">
        <f t="shared" si="35"/>
        <v>0</v>
      </c>
      <c r="AR31">
        <f t="shared" si="35"/>
        <v>2.916314211836164E-4</v>
      </c>
      <c r="AS31">
        <f t="shared" si="35"/>
        <v>0</v>
      </c>
      <c r="AT31">
        <f t="shared" si="35"/>
        <v>0</v>
      </c>
      <c r="AU31">
        <f t="shared" si="35"/>
        <v>7.8675622898982476E-3</v>
      </c>
      <c r="AV31">
        <f t="shared" si="35"/>
        <v>2.4019807536300011E-6</v>
      </c>
      <c r="AW31">
        <f t="shared" si="35"/>
        <v>0</v>
      </c>
      <c r="AX31">
        <f t="shared" si="35"/>
        <v>0.16378027149643914</v>
      </c>
      <c r="AY31">
        <f t="shared" si="42"/>
        <v>0</v>
      </c>
      <c r="AZ31">
        <f t="shared" si="42"/>
        <v>4.9765650903813409E-4</v>
      </c>
      <c r="BA31">
        <f t="shared" si="42"/>
        <v>8.7096087241105832E-2</v>
      </c>
      <c r="BB31">
        <f t="shared" si="42"/>
        <v>6.0969122164635145E-7</v>
      </c>
      <c r="BC31">
        <f t="shared" si="42"/>
        <v>3.9854524172676782E-4</v>
      </c>
      <c r="BD31">
        <f t="shared" si="42"/>
        <v>8.1283746626012671E-5</v>
      </c>
      <c r="BE31">
        <f t="shared" si="42"/>
        <v>1.5289268083348913E-9</v>
      </c>
      <c r="BF31">
        <f t="shared" si="42"/>
        <v>0.34254395980817537</v>
      </c>
      <c r="BG31">
        <f t="shared" si="42"/>
        <v>2.2170806438368381E-2</v>
      </c>
      <c r="BH31">
        <f t="shared" si="42"/>
        <v>3.2320666200198202E-4</v>
      </c>
      <c r="BI31">
        <f t="shared" si="42"/>
        <v>1.2038153369694064E-7</v>
      </c>
      <c r="BJ31">
        <f t="shared" si="42"/>
        <v>1.2263919548687761</v>
      </c>
      <c r="BK31">
        <f t="shared" si="42"/>
        <v>0</v>
      </c>
      <c r="BL31">
        <f t="shared" si="42"/>
        <v>0</v>
      </c>
      <c r="BM31">
        <f t="shared" si="42"/>
        <v>8.7096087241105832E-2</v>
      </c>
      <c r="BN31">
        <f t="shared" si="42"/>
        <v>8.7096087241105832E-2</v>
      </c>
      <c r="BO31">
        <f t="shared" si="42"/>
        <v>1.2232383180301507E-5</v>
      </c>
      <c r="BP31">
        <f t="shared" si="42"/>
        <v>515.815527181844</v>
      </c>
      <c r="BQ31">
        <f t="shared" si="42"/>
        <v>2.8476290028244661E-4</v>
      </c>
      <c r="BR31">
        <f t="shared" si="42"/>
        <v>7.4668874172185429E-2</v>
      </c>
      <c r="BS31">
        <f t="shared" si="42"/>
        <v>0</v>
      </c>
      <c r="BT31">
        <f t="shared" si="42"/>
        <v>1.8395879323031643E-2</v>
      </c>
      <c r="BU31">
        <f t="shared" si="42"/>
        <v>0</v>
      </c>
      <c r="BV31" s="366">
        <f t="shared" si="42"/>
        <v>0.36544169422334727</v>
      </c>
      <c r="BW31" s="366">
        <f t="shared" si="31"/>
        <v>2.099487258936024E-6</v>
      </c>
      <c r="BX31" s="366">
        <f t="shared" si="31"/>
        <v>6.953708313651394E-7</v>
      </c>
      <c r="BY31" s="366">
        <f t="shared" si="31"/>
        <v>2.3436426828493148E-6</v>
      </c>
      <c r="BZ31" s="366">
        <f t="shared" si="31"/>
        <v>7.6068289142888249E-7</v>
      </c>
      <c r="CA31">
        <f t="shared" si="31"/>
        <v>6.2389404302812964E-5</v>
      </c>
      <c r="CB31">
        <f t="shared" si="31"/>
        <v>0.22422552526210004</v>
      </c>
      <c r="CC31">
        <f t="shared" si="31"/>
        <v>0</v>
      </c>
      <c r="CD31">
        <f t="shared" si="31"/>
        <v>0</v>
      </c>
      <c r="CE31">
        <f t="shared" si="31"/>
        <v>6.2000827686133422E-8</v>
      </c>
      <c r="CF31">
        <f t="shared" si="31"/>
        <v>7.0492133216816258E-6</v>
      </c>
      <c r="CG31">
        <f t="shared" si="31"/>
        <v>0</v>
      </c>
      <c r="CH31">
        <f t="shared" si="31"/>
        <v>7.7216782071129328E-3</v>
      </c>
      <c r="CI31">
        <f t="shared" si="31"/>
        <v>0.66790524019760111</v>
      </c>
      <c r="CK31">
        <f t="shared" si="31"/>
        <v>6.4223951459243863E-3</v>
      </c>
      <c r="CL31">
        <f t="shared" si="31"/>
        <v>1.998173098881023E-3</v>
      </c>
      <c r="CM31">
        <f t="shared" si="31"/>
        <v>2.5116507235712535</v>
      </c>
      <c r="CN31">
        <f t="shared" si="31"/>
        <v>5.0893649350349993E-7</v>
      </c>
      <c r="CO31">
        <f t="shared" si="31"/>
        <v>3.7705338216917234E-5</v>
      </c>
      <c r="CP31">
        <f t="shared" si="31"/>
        <v>5.1508462104488597</v>
      </c>
      <c r="CQ31">
        <f t="shared" si="31"/>
        <v>3.2278735158647591E-4</v>
      </c>
      <c r="CT31" t="s">
        <v>2054</v>
      </c>
      <c r="CU31">
        <f t="shared" si="18"/>
        <v>4</v>
      </c>
      <c r="CV31">
        <f t="shared" si="19"/>
        <v>3</v>
      </c>
      <c r="CW31" t="str">
        <f t="shared" si="20"/>
        <v>w_13BUTADIE_HiC</v>
      </c>
      <c r="CX31">
        <f t="shared" si="21"/>
        <v>15</v>
      </c>
      <c r="CY31" t="str">
        <f t="shared" si="22"/>
        <v>[kg/bbl] kg of 1,3-BUTADIENE emissions to water per bbl of crude throughput - High Complexity Coking</v>
      </c>
    </row>
    <row r="32" spans="1:110" x14ac:dyDescent="0.25">
      <c r="A32" t="s">
        <v>2025</v>
      </c>
      <c r="B32" s="364" t="s">
        <v>1346</v>
      </c>
      <c r="C32" s="496"/>
      <c r="E32">
        <f t="shared" si="36"/>
        <v>5.8893111229976335E-2</v>
      </c>
      <c r="F32">
        <f t="shared" si="36"/>
        <v>6.2000827686133422E-8</v>
      </c>
      <c r="G32">
        <f t="shared" si="36"/>
        <v>2.7235908672468275E-2</v>
      </c>
      <c r="H32">
        <f t="shared" si="36"/>
        <v>3.6921544592927992E-2</v>
      </c>
      <c r="I32">
        <f t="shared" si="36"/>
        <v>8.441651154178101E-7</v>
      </c>
      <c r="J32">
        <f t="shared" si="36"/>
        <v>0.47652826208338644</v>
      </c>
      <c r="K32">
        <f t="shared" si="37"/>
        <v>5.7065287446782756E-6</v>
      </c>
      <c r="L32">
        <f t="shared" si="37"/>
        <v>50.520340586565744</v>
      </c>
      <c r="M32">
        <f t="shared" si="37"/>
        <v>3.1935214809741244E-4</v>
      </c>
      <c r="N32">
        <f t="shared" si="37"/>
        <v>3.7448995229969827E-2</v>
      </c>
      <c r="O32">
        <f t="shared" si="37"/>
        <v>9.2051660318018254E-7</v>
      </c>
      <c r="P32">
        <f t="shared" si="38"/>
        <v>1.4771577246750967E-5</v>
      </c>
      <c r="Q32">
        <f t="shared" si="38"/>
        <v>5.5833612778559971E-2</v>
      </c>
      <c r="R32">
        <f t="shared" si="38"/>
        <v>1.7043202290616954E-2</v>
      </c>
      <c r="S32">
        <f t="shared" si="38"/>
        <v>2.4800331074453369E-8</v>
      </c>
      <c r="T32">
        <f t="shared" si="38"/>
        <v>2.7235908672468275E-2</v>
      </c>
      <c r="U32">
        <f t="shared" si="39"/>
        <v>1.1379144115179657E-4</v>
      </c>
      <c r="V32">
        <f t="shared" si="39"/>
        <v>0</v>
      </c>
      <c r="W32">
        <f t="shared" si="39"/>
        <v>5.5152715061748257E-2</v>
      </c>
      <c r="X32">
        <f t="shared" si="39"/>
        <v>0.59646639992705519</v>
      </c>
      <c r="Y32">
        <f t="shared" si="39"/>
        <v>4.201686606025766E-2</v>
      </c>
      <c r="Z32">
        <f t="shared" si="39"/>
        <v>2.3286371156140493E-2</v>
      </c>
      <c r="AA32">
        <f t="shared" si="39"/>
        <v>2.5858443603446347E-2</v>
      </c>
      <c r="AB32">
        <f t="shared" si="40"/>
        <v>2.3608272795268889E-5</v>
      </c>
      <c r="AC32">
        <f t="shared" si="40"/>
        <v>3.2621131539019146E-7</v>
      </c>
      <c r="AD32">
        <f t="shared" si="40"/>
        <v>6.2000827686133422E-8</v>
      </c>
      <c r="AE32">
        <f t="shared" si="41"/>
        <v>4.0015847114440317E-6</v>
      </c>
      <c r="AF32">
        <f t="shared" si="41"/>
        <v>9.505348152518181E-2</v>
      </c>
      <c r="AG32">
        <f t="shared" si="41"/>
        <v>3.8651942848495443E-6</v>
      </c>
      <c r="AH32">
        <f t="shared" si="35"/>
        <v>2.7235908672468275E-2</v>
      </c>
      <c r="AI32">
        <f t="shared" si="35"/>
        <v>6.2000827686133422E-8</v>
      </c>
      <c r="AJ32">
        <f t="shared" si="35"/>
        <v>0</v>
      </c>
      <c r="AK32">
        <f t="shared" si="35"/>
        <v>1.801943604914328</v>
      </c>
      <c r="AL32">
        <f t="shared" si="35"/>
        <v>8.6698374728096298E-7</v>
      </c>
      <c r="AM32">
        <f t="shared" si="35"/>
        <v>3.0353200883002206E-2</v>
      </c>
      <c r="AN32">
        <f t="shared" si="35"/>
        <v>5.5833612778559971E-2</v>
      </c>
      <c r="AO32">
        <f t="shared" si="35"/>
        <v>3.2320666200198202E-4</v>
      </c>
      <c r="AP32">
        <f t="shared" si="35"/>
        <v>8.080166550049551</v>
      </c>
      <c r="AQ32">
        <f t="shared" si="35"/>
        <v>0</v>
      </c>
      <c r="AR32">
        <f t="shared" si="35"/>
        <v>5.0513849961801837E-5</v>
      </c>
      <c r="AS32">
        <f t="shared" si="35"/>
        <v>0</v>
      </c>
      <c r="AT32">
        <f t="shared" si="35"/>
        <v>0</v>
      </c>
      <c r="AU32">
        <f t="shared" si="35"/>
        <v>7.8675622898982476E-3</v>
      </c>
      <c r="AV32">
        <f t="shared" si="35"/>
        <v>2.4019807536300011E-6</v>
      </c>
      <c r="AW32">
        <f t="shared" si="35"/>
        <v>0</v>
      </c>
      <c r="AX32">
        <f t="shared" si="35"/>
        <v>0</v>
      </c>
      <c r="AY32">
        <f t="shared" si="42"/>
        <v>0</v>
      </c>
      <c r="AZ32">
        <f t="shared" si="42"/>
        <v>4.9765650903813409E-4</v>
      </c>
      <c r="BA32">
        <f t="shared" si="42"/>
        <v>2.7235908672468275E-2</v>
      </c>
      <c r="BB32">
        <f t="shared" si="42"/>
        <v>1.0309098883339483E-6</v>
      </c>
      <c r="BC32">
        <f t="shared" si="42"/>
        <v>3.9854524172676782E-4</v>
      </c>
      <c r="BD32">
        <f t="shared" si="42"/>
        <v>8.1283746626012671E-5</v>
      </c>
      <c r="BE32">
        <f t="shared" si="42"/>
        <v>2.843169294778855E-9</v>
      </c>
      <c r="BF32">
        <f t="shared" si="42"/>
        <v>23.848363596345965</v>
      </c>
      <c r="BG32">
        <f t="shared" si="42"/>
        <v>2.2170806438368381E-2</v>
      </c>
      <c r="BH32">
        <f t="shared" si="42"/>
        <v>3.2320666200198202E-4</v>
      </c>
      <c r="BI32">
        <f t="shared" si="42"/>
        <v>1.2038153369694064E-7</v>
      </c>
      <c r="BJ32">
        <f t="shared" si="42"/>
        <v>0.71237862623069392</v>
      </c>
      <c r="BK32">
        <f t="shared" si="42"/>
        <v>1.6556291390728475E-2</v>
      </c>
      <c r="BL32">
        <f t="shared" si="42"/>
        <v>0</v>
      </c>
      <c r="BM32">
        <f t="shared" si="42"/>
        <v>5.5152715061748257E-2</v>
      </c>
      <c r="BN32">
        <f t="shared" si="42"/>
        <v>2.1209318406101099E-2</v>
      </c>
      <c r="BO32">
        <f t="shared" si="42"/>
        <v>1.2232383180301507E-5</v>
      </c>
      <c r="BP32">
        <f t="shared" si="42"/>
        <v>883.39666844964495</v>
      </c>
      <c r="BQ32">
        <f t="shared" si="42"/>
        <v>5.0068271115525113E-4</v>
      </c>
      <c r="BR32">
        <f t="shared" ref="BR32:BV32" si="43">IF(GETPIVOTDATA(T($A32),$A$3,"Unit Index",T($B32),"Substance Name",BR$17)="",GETPIVOTDATA(T($A32),$A$3,"Substance Name",BR$17),GETPIVOTDATA(T($A32),$A$3,"Unit Index",T($B32),"Substance Name",BR$17))</f>
        <v>0</v>
      </c>
      <c r="BS32">
        <f t="shared" si="43"/>
        <v>3.2109171182018864E-2</v>
      </c>
      <c r="BT32">
        <f t="shared" si="43"/>
        <v>5.5152715061748257E-2</v>
      </c>
      <c r="BU32">
        <f t="shared" si="43"/>
        <v>3.6921544592927992E-2</v>
      </c>
      <c r="BV32" s="366">
        <f t="shared" si="43"/>
        <v>0.29939852177565668</v>
      </c>
      <c r="BW32" s="366">
        <f t="shared" si="31"/>
        <v>1.5480472623955633E-6</v>
      </c>
      <c r="BX32" s="366">
        <f t="shared" si="31"/>
        <v>6.953708313651394E-7</v>
      </c>
      <c r="BY32" s="366">
        <f t="shared" si="31"/>
        <v>2.1361130157539581E-6</v>
      </c>
      <c r="BZ32" s="366">
        <f t="shared" si="31"/>
        <v>3.4062011711189579E-6</v>
      </c>
      <c r="CA32">
        <f t="shared" si="31"/>
        <v>5.3561642213545423E-5</v>
      </c>
      <c r="CB32">
        <f t="shared" si="31"/>
        <v>4.470198675496688E-2</v>
      </c>
      <c r="CC32">
        <f t="shared" si="31"/>
        <v>1.1037527593818985E-2</v>
      </c>
      <c r="CD32">
        <f t="shared" si="31"/>
        <v>1.6556291390728475E-2</v>
      </c>
      <c r="CE32">
        <f t="shared" si="31"/>
        <v>6.2000827686133422E-8</v>
      </c>
      <c r="CF32">
        <f t="shared" si="31"/>
        <v>1.4525146495162623E-5</v>
      </c>
      <c r="CG32">
        <f t="shared" si="31"/>
        <v>0</v>
      </c>
      <c r="CH32">
        <f t="shared" si="31"/>
        <v>4.7031522747176388E-3</v>
      </c>
      <c r="CI32">
        <f t="shared" si="31"/>
        <v>5.157024735758243E-3</v>
      </c>
      <c r="CK32">
        <f t="shared" si="31"/>
        <v>1.0355558279970156E-2</v>
      </c>
      <c r="CL32">
        <f t="shared" si="31"/>
        <v>2.7235908672468275E-2</v>
      </c>
      <c r="CM32">
        <f t="shared" si="31"/>
        <v>5.7876305928995085E-2</v>
      </c>
      <c r="CN32">
        <f t="shared" si="31"/>
        <v>0</v>
      </c>
      <c r="CO32">
        <f t="shared" si="31"/>
        <v>3.7705338216917234E-5</v>
      </c>
      <c r="CP32">
        <f t="shared" si="31"/>
        <v>6.3627955218303292E-2</v>
      </c>
      <c r="CQ32">
        <f t="shared" si="31"/>
        <v>9.7993210917175132E-5</v>
      </c>
      <c r="CT32" t="s">
        <v>2055</v>
      </c>
      <c r="CU32">
        <f t="shared" si="18"/>
        <v>5</v>
      </c>
      <c r="CV32">
        <f t="shared" si="19"/>
        <v>3</v>
      </c>
      <c r="CW32" t="str">
        <f t="shared" si="20"/>
        <v>w_13BUTADIE_HiB</v>
      </c>
      <c r="CX32">
        <f t="shared" si="21"/>
        <v>15</v>
      </c>
      <c r="CY32" t="str">
        <f t="shared" si="22"/>
        <v>[kg/bbl] kg of 1,3-BUTADIENE emissions to water per bbl of crude throughput - High Complexity Hydro Cracking and Coking</v>
      </c>
    </row>
    <row r="33" spans="98:103" x14ac:dyDescent="0.25">
      <c r="CT33" t="s">
        <v>2056</v>
      </c>
      <c r="CU33">
        <f t="shared" si="18"/>
        <v>6</v>
      </c>
      <c r="CV33">
        <f t="shared" si="19"/>
        <v>3</v>
      </c>
      <c r="CW33" t="str">
        <f t="shared" si="20"/>
        <v>w_13BUTADIE</v>
      </c>
      <c r="CX33">
        <f t="shared" si="21"/>
        <v>11</v>
      </c>
      <c r="CY33" t="str">
        <f t="shared" si="22"/>
        <v>[kg/bbl] kg of 1,3-BUTADIENE emissions to water per bbl of crude throughput</v>
      </c>
    </row>
    <row r="34" spans="98:103" x14ac:dyDescent="0.25">
      <c r="CT34" t="s">
        <v>2057</v>
      </c>
      <c r="CU34">
        <f t="shared" si="18"/>
        <v>1</v>
      </c>
      <c r="CV34">
        <f t="shared" si="19"/>
        <v>4</v>
      </c>
      <c r="CW34" t="str">
        <f t="shared" si="20"/>
        <v>w_24DIMETHY_L</v>
      </c>
      <c r="CX34">
        <f t="shared" si="21"/>
        <v>13</v>
      </c>
      <c r="CY34" t="str">
        <f t="shared" si="22"/>
        <v>[kg/bbl] kg of 2,4-DIMETHYLPHENOL emissions to water per bbl of crude throughput - Low Complexity</v>
      </c>
    </row>
    <row r="35" spans="98:103" x14ac:dyDescent="0.25">
      <c r="CT35" t="s">
        <v>2058</v>
      </c>
      <c r="CU35">
        <f t="shared" si="18"/>
        <v>2</v>
      </c>
      <c r="CV35">
        <f t="shared" si="19"/>
        <v>4</v>
      </c>
      <c r="CW35" t="str">
        <f t="shared" si="20"/>
        <v>w_24DIMETHY_M</v>
      </c>
      <c r="CX35">
        <f t="shared" si="21"/>
        <v>13</v>
      </c>
      <c r="CY35" t="str">
        <f t="shared" si="22"/>
        <v>[kg/bbl] kg of 2,4-DIMETHYLPHENOL emissions to water per bbl of crude throughput - Med Complexity</v>
      </c>
    </row>
    <row r="36" spans="98:103" x14ac:dyDescent="0.25">
      <c r="CT36" t="s">
        <v>2059</v>
      </c>
      <c r="CU36">
        <f t="shared" si="18"/>
        <v>3</v>
      </c>
      <c r="CV36">
        <f t="shared" si="19"/>
        <v>4</v>
      </c>
      <c r="CW36" t="str">
        <f t="shared" si="20"/>
        <v>w_24DIMETHY_HiH</v>
      </c>
      <c r="CX36">
        <f t="shared" si="21"/>
        <v>15</v>
      </c>
      <c r="CY36" t="str">
        <f t="shared" si="22"/>
        <v>[kg/bbl] kg of 2,4-DIMETHYLPHENOL emissions to water per bbl of crude throughput - High Complexity Hydro Cracking</v>
      </c>
    </row>
    <row r="37" spans="98:103" x14ac:dyDescent="0.25">
      <c r="CT37" t="s">
        <v>2060</v>
      </c>
      <c r="CU37">
        <f t="shared" si="18"/>
        <v>4</v>
      </c>
      <c r="CV37">
        <f t="shared" si="19"/>
        <v>4</v>
      </c>
      <c r="CW37" t="str">
        <f t="shared" si="20"/>
        <v>w_24DIMETHY_HiC</v>
      </c>
      <c r="CX37">
        <f t="shared" si="21"/>
        <v>15</v>
      </c>
      <c r="CY37" t="str">
        <f t="shared" si="22"/>
        <v>[kg/bbl] kg of 2,4-DIMETHYLPHENOL emissions to water per bbl of crude throughput - High Complexity Coking</v>
      </c>
    </row>
    <row r="38" spans="98:103" x14ac:dyDescent="0.25">
      <c r="CT38" t="s">
        <v>2061</v>
      </c>
      <c r="CU38">
        <f t="shared" si="18"/>
        <v>5</v>
      </c>
      <c r="CV38">
        <f t="shared" si="19"/>
        <v>4</v>
      </c>
      <c r="CW38" t="str">
        <f t="shared" si="20"/>
        <v>w_24DIMETHY_HiB</v>
      </c>
      <c r="CX38">
        <f t="shared" si="21"/>
        <v>15</v>
      </c>
      <c r="CY38" t="str">
        <f t="shared" si="22"/>
        <v>[kg/bbl] kg of 2,4-DIMETHYLPHENOL emissions to water per bbl of crude throughput - High Complexity Hydro Cracking and Coking</v>
      </c>
    </row>
    <row r="39" spans="98:103" x14ac:dyDescent="0.25">
      <c r="CT39" t="s">
        <v>2062</v>
      </c>
      <c r="CU39">
        <f t="shared" si="18"/>
        <v>6</v>
      </c>
      <c r="CV39">
        <f t="shared" si="19"/>
        <v>4</v>
      </c>
      <c r="CW39" t="str">
        <f t="shared" si="20"/>
        <v>w_24DIMETHY</v>
      </c>
      <c r="CX39">
        <f t="shared" si="21"/>
        <v>11</v>
      </c>
      <c r="CY39" t="str">
        <f t="shared" si="22"/>
        <v>[kg/bbl] kg of 2,4-DIMETHYLPHENOL emissions to water per bbl of crude throughput</v>
      </c>
    </row>
    <row r="40" spans="98:103" x14ac:dyDescent="0.25">
      <c r="CT40" t="s">
        <v>2063</v>
      </c>
      <c r="CU40">
        <f t="shared" si="18"/>
        <v>1</v>
      </c>
      <c r="CV40">
        <f t="shared" si="19"/>
        <v>5</v>
      </c>
      <c r="CW40" t="str">
        <f t="shared" si="20"/>
        <v>w_2METHYLNA_L</v>
      </c>
      <c r="CX40">
        <f t="shared" si="21"/>
        <v>13</v>
      </c>
      <c r="CY40" t="str">
        <f t="shared" si="22"/>
        <v>[kg/bbl] kg of 2-METHYLNAPHTHALENE emissions to water per bbl of crude throughput - Low Complexity</v>
      </c>
    </row>
    <row r="41" spans="98:103" x14ac:dyDescent="0.25">
      <c r="CT41" t="s">
        <v>2064</v>
      </c>
      <c r="CU41">
        <f t="shared" si="18"/>
        <v>2</v>
      </c>
      <c r="CV41">
        <f t="shared" si="19"/>
        <v>5</v>
      </c>
      <c r="CW41" t="str">
        <f t="shared" si="20"/>
        <v>w_2METHYLNA_M</v>
      </c>
      <c r="CX41">
        <f t="shared" si="21"/>
        <v>13</v>
      </c>
      <c r="CY41" t="str">
        <f t="shared" si="22"/>
        <v>[kg/bbl] kg of 2-METHYLNAPHTHALENE emissions to water per bbl of crude throughput - Med Complexity</v>
      </c>
    </row>
    <row r="42" spans="98:103" x14ac:dyDescent="0.25">
      <c r="CT42" t="s">
        <v>2065</v>
      </c>
      <c r="CU42">
        <f t="shared" si="18"/>
        <v>3</v>
      </c>
      <c r="CV42">
        <f t="shared" si="19"/>
        <v>5</v>
      </c>
      <c r="CW42" t="str">
        <f t="shared" si="20"/>
        <v>w_2METHYLNA_HiH</v>
      </c>
      <c r="CX42">
        <f t="shared" si="21"/>
        <v>15</v>
      </c>
      <c r="CY42" t="str">
        <f t="shared" si="22"/>
        <v>[kg/bbl] kg of 2-METHYLNAPHTHALENE emissions to water per bbl of crude throughput - High Complexity Hydro Cracking</v>
      </c>
    </row>
    <row r="43" spans="98:103" x14ac:dyDescent="0.25">
      <c r="CT43" t="s">
        <v>2066</v>
      </c>
      <c r="CU43">
        <f t="shared" si="18"/>
        <v>4</v>
      </c>
      <c r="CV43">
        <f t="shared" si="19"/>
        <v>5</v>
      </c>
      <c r="CW43" t="str">
        <f t="shared" si="20"/>
        <v>w_2METHYLNA_HiC</v>
      </c>
      <c r="CX43">
        <f t="shared" si="21"/>
        <v>15</v>
      </c>
      <c r="CY43" t="str">
        <f t="shared" si="22"/>
        <v>[kg/bbl] kg of 2-METHYLNAPHTHALENE emissions to water per bbl of crude throughput - High Complexity Coking</v>
      </c>
    </row>
    <row r="44" spans="98:103" x14ac:dyDescent="0.25">
      <c r="CT44" t="s">
        <v>2067</v>
      </c>
      <c r="CU44">
        <f t="shared" si="18"/>
        <v>5</v>
      </c>
      <c r="CV44">
        <f t="shared" si="19"/>
        <v>5</v>
      </c>
      <c r="CW44" t="str">
        <f t="shared" si="20"/>
        <v>w_2METHYLNA_HiB</v>
      </c>
      <c r="CX44">
        <f t="shared" si="21"/>
        <v>15</v>
      </c>
      <c r="CY44" t="str">
        <f t="shared" si="22"/>
        <v>[kg/bbl] kg of 2-METHYLNAPHTHALENE emissions to water per bbl of crude throughput - High Complexity Hydro Cracking and Coking</v>
      </c>
    </row>
    <row r="45" spans="98:103" x14ac:dyDescent="0.25">
      <c r="CT45" t="s">
        <v>2068</v>
      </c>
      <c r="CU45">
        <f t="shared" si="18"/>
        <v>6</v>
      </c>
      <c r="CV45">
        <f t="shared" si="19"/>
        <v>5</v>
      </c>
      <c r="CW45" t="str">
        <f t="shared" si="20"/>
        <v>w_2METHYLNA</v>
      </c>
      <c r="CX45">
        <f t="shared" si="21"/>
        <v>11</v>
      </c>
      <c r="CY45" t="str">
        <f t="shared" si="22"/>
        <v>[kg/bbl] kg of 2-METHYLNAPHTHALENE emissions to water per bbl of crude throughput</v>
      </c>
    </row>
    <row r="46" spans="98:103" x14ac:dyDescent="0.25">
      <c r="CT46" t="s">
        <v>2069</v>
      </c>
      <c r="CU46">
        <f t="shared" si="18"/>
        <v>1</v>
      </c>
      <c r="CV46">
        <f t="shared" si="19"/>
        <v>6</v>
      </c>
      <c r="CW46" t="str">
        <f t="shared" si="20"/>
        <v>w_ACETONITR_L</v>
      </c>
      <c r="CX46">
        <f t="shared" si="21"/>
        <v>13</v>
      </c>
      <c r="CY46" t="str">
        <f t="shared" si="22"/>
        <v>[kg/bbl] kg of ACETONITRILE emissions to water per bbl of crude throughput - Low Complexity</v>
      </c>
    </row>
    <row r="47" spans="98:103" x14ac:dyDescent="0.25">
      <c r="CT47" t="s">
        <v>2070</v>
      </c>
      <c r="CU47">
        <f t="shared" si="18"/>
        <v>2</v>
      </c>
      <c r="CV47">
        <f t="shared" si="19"/>
        <v>6</v>
      </c>
      <c r="CW47" t="str">
        <f t="shared" si="20"/>
        <v>w_ACETONITR_M</v>
      </c>
      <c r="CX47">
        <f t="shared" si="21"/>
        <v>13</v>
      </c>
      <c r="CY47" t="str">
        <f t="shared" si="22"/>
        <v>[kg/bbl] kg of ACETONITRILE emissions to water per bbl of crude throughput - Med Complexity</v>
      </c>
    </row>
    <row r="48" spans="98:103" x14ac:dyDescent="0.25">
      <c r="CT48" t="s">
        <v>2071</v>
      </c>
      <c r="CU48">
        <f t="shared" si="18"/>
        <v>3</v>
      </c>
      <c r="CV48">
        <f t="shared" si="19"/>
        <v>6</v>
      </c>
      <c r="CW48" t="str">
        <f t="shared" si="20"/>
        <v>w_ACETONITR_HiH</v>
      </c>
      <c r="CX48">
        <f t="shared" si="21"/>
        <v>15</v>
      </c>
      <c r="CY48" t="str">
        <f t="shared" si="22"/>
        <v>[kg/bbl] kg of ACETONITRILE emissions to water per bbl of crude throughput - High Complexity Hydro Cracking</v>
      </c>
    </row>
    <row r="49" spans="98:103" x14ac:dyDescent="0.25">
      <c r="CT49" t="s">
        <v>2072</v>
      </c>
      <c r="CU49">
        <f t="shared" si="18"/>
        <v>4</v>
      </c>
      <c r="CV49">
        <f t="shared" si="19"/>
        <v>6</v>
      </c>
      <c r="CW49" t="str">
        <f t="shared" si="20"/>
        <v>w_ACETONITR_HiC</v>
      </c>
      <c r="CX49">
        <f t="shared" si="21"/>
        <v>15</v>
      </c>
      <c r="CY49" t="str">
        <f t="shared" si="22"/>
        <v>[kg/bbl] kg of ACETONITRILE emissions to water per bbl of crude throughput - High Complexity Coking</v>
      </c>
    </row>
    <row r="50" spans="98:103" x14ac:dyDescent="0.25">
      <c r="CT50" t="s">
        <v>2038</v>
      </c>
      <c r="CU50">
        <f t="shared" si="18"/>
        <v>5</v>
      </c>
      <c r="CV50">
        <f t="shared" si="19"/>
        <v>6</v>
      </c>
      <c r="CW50" t="str">
        <f t="shared" si="20"/>
        <v>w_ACETONITR_HiB</v>
      </c>
      <c r="CX50">
        <f t="shared" si="21"/>
        <v>15</v>
      </c>
      <c r="CY50" t="str">
        <f t="shared" si="22"/>
        <v>[kg/bbl] kg of ACETONITRILE emissions to water per bbl of crude throughput - High Complexity Hydro Cracking and Coking</v>
      </c>
    </row>
    <row r="51" spans="98:103" x14ac:dyDescent="0.25">
      <c r="CT51" t="s">
        <v>2073</v>
      </c>
      <c r="CU51">
        <f t="shared" si="18"/>
        <v>6</v>
      </c>
      <c r="CV51">
        <f t="shared" si="19"/>
        <v>6</v>
      </c>
      <c r="CW51" t="str">
        <f t="shared" si="20"/>
        <v>w_ACETONITR</v>
      </c>
      <c r="CX51">
        <f t="shared" si="21"/>
        <v>11</v>
      </c>
      <c r="CY51" t="str">
        <f t="shared" si="22"/>
        <v>[kg/bbl] kg of ACETONITRILE emissions to water per bbl of crude throughput</v>
      </c>
    </row>
    <row r="52" spans="98:103" x14ac:dyDescent="0.25">
      <c r="CT52" t="s">
        <v>2074</v>
      </c>
      <c r="CU52">
        <f t="shared" si="18"/>
        <v>1</v>
      </c>
      <c r="CV52">
        <f t="shared" si="19"/>
        <v>7</v>
      </c>
      <c r="CW52" t="str">
        <f t="shared" si="20"/>
        <v>w_Aluminumt_L</v>
      </c>
      <c r="CX52">
        <f t="shared" si="21"/>
        <v>13</v>
      </c>
      <c r="CY52" t="str">
        <f t="shared" si="22"/>
        <v>[kg/bbl] kg of Aluminum, total (as Al) emissions to water per bbl of crude throughput - Low Complexity</v>
      </c>
    </row>
    <row r="53" spans="98:103" x14ac:dyDescent="0.25">
      <c r="CT53" t="s">
        <v>2075</v>
      </c>
      <c r="CU53">
        <f t="shared" si="18"/>
        <v>2</v>
      </c>
      <c r="CV53">
        <f t="shared" si="19"/>
        <v>7</v>
      </c>
      <c r="CW53" t="str">
        <f t="shared" si="20"/>
        <v>w_Aluminumt_M</v>
      </c>
      <c r="CX53">
        <f t="shared" si="21"/>
        <v>13</v>
      </c>
      <c r="CY53" t="str">
        <f t="shared" si="22"/>
        <v>[kg/bbl] kg of Aluminum, total (as Al) emissions to water per bbl of crude throughput - Med Complexity</v>
      </c>
    </row>
    <row r="54" spans="98:103" x14ac:dyDescent="0.25">
      <c r="CT54" t="s">
        <v>2076</v>
      </c>
      <c r="CU54">
        <f t="shared" si="18"/>
        <v>3</v>
      </c>
      <c r="CV54">
        <f t="shared" si="19"/>
        <v>7</v>
      </c>
      <c r="CW54" t="str">
        <f t="shared" si="20"/>
        <v>w_Aluminumt_HiH</v>
      </c>
      <c r="CX54">
        <f t="shared" si="21"/>
        <v>15</v>
      </c>
      <c r="CY54" t="str">
        <f t="shared" si="22"/>
        <v>[kg/bbl] kg of Aluminum, total (as Al) emissions to water per bbl of crude throughput - High Complexity Hydro Cracking</v>
      </c>
    </row>
    <row r="55" spans="98:103" x14ac:dyDescent="0.25">
      <c r="CT55" t="s">
        <v>2077</v>
      </c>
      <c r="CU55">
        <f t="shared" si="18"/>
        <v>4</v>
      </c>
      <c r="CV55">
        <f t="shared" si="19"/>
        <v>7</v>
      </c>
      <c r="CW55" t="str">
        <f t="shared" si="20"/>
        <v>w_Aluminumt_HiC</v>
      </c>
      <c r="CX55">
        <f t="shared" si="21"/>
        <v>15</v>
      </c>
      <c r="CY55" t="str">
        <f t="shared" si="22"/>
        <v>[kg/bbl] kg of Aluminum, total (as Al) emissions to water per bbl of crude throughput - High Complexity Coking</v>
      </c>
    </row>
    <row r="56" spans="98:103" x14ac:dyDescent="0.25">
      <c r="CT56" t="s">
        <v>2078</v>
      </c>
      <c r="CU56">
        <f t="shared" si="18"/>
        <v>5</v>
      </c>
      <c r="CV56">
        <f t="shared" si="19"/>
        <v>7</v>
      </c>
      <c r="CW56" t="str">
        <f t="shared" si="20"/>
        <v>w_Aluminumt_HiB</v>
      </c>
      <c r="CX56">
        <f t="shared" si="21"/>
        <v>15</v>
      </c>
      <c r="CY56" t="str">
        <f t="shared" si="22"/>
        <v>[kg/bbl] kg of Aluminum, total (as Al) emissions to water per bbl of crude throughput - High Complexity Hydro Cracking and Coking</v>
      </c>
    </row>
    <row r="57" spans="98:103" x14ac:dyDescent="0.25">
      <c r="CT57" t="s">
        <v>2079</v>
      </c>
      <c r="CU57">
        <f t="shared" si="18"/>
        <v>6</v>
      </c>
      <c r="CV57">
        <f t="shared" si="19"/>
        <v>7</v>
      </c>
      <c r="CW57" t="str">
        <f t="shared" si="20"/>
        <v>w_Aluminumt</v>
      </c>
      <c r="CX57">
        <f t="shared" si="21"/>
        <v>11</v>
      </c>
      <c r="CY57" t="str">
        <f t="shared" si="22"/>
        <v>[kg/bbl] kg of Aluminum, total (as Al) emissions to water per bbl of crude throughput</v>
      </c>
    </row>
    <row r="58" spans="98:103" x14ac:dyDescent="0.25">
      <c r="CT58" t="s">
        <v>2080</v>
      </c>
      <c r="CU58">
        <f t="shared" si="18"/>
        <v>1</v>
      </c>
      <c r="CV58">
        <f t="shared" si="19"/>
        <v>8</v>
      </c>
      <c r="CW58" t="str">
        <f t="shared" si="20"/>
        <v>w_AMMONIA_L</v>
      </c>
      <c r="CX58">
        <f t="shared" si="21"/>
        <v>11</v>
      </c>
      <c r="CY58" t="str">
        <f t="shared" si="22"/>
        <v>[kg/bbl] kg of AMMONIA emissions to water per bbl of crude throughput - Low Complexity</v>
      </c>
    </row>
    <row r="59" spans="98:103" x14ac:dyDescent="0.25">
      <c r="CT59" t="s">
        <v>2081</v>
      </c>
      <c r="CU59">
        <f t="shared" si="18"/>
        <v>2</v>
      </c>
      <c r="CV59">
        <f t="shared" si="19"/>
        <v>8</v>
      </c>
      <c r="CW59" t="str">
        <f t="shared" si="20"/>
        <v>w_AMMONIA_M</v>
      </c>
      <c r="CX59">
        <f t="shared" si="21"/>
        <v>11</v>
      </c>
      <c r="CY59" t="str">
        <f t="shared" si="22"/>
        <v>[kg/bbl] kg of AMMONIA emissions to water per bbl of crude throughput - Med Complexity</v>
      </c>
    </row>
    <row r="60" spans="98:103" x14ac:dyDescent="0.25">
      <c r="CT60" t="s">
        <v>2082</v>
      </c>
      <c r="CU60">
        <f t="shared" si="18"/>
        <v>3</v>
      </c>
      <c r="CV60">
        <f t="shared" si="19"/>
        <v>8</v>
      </c>
      <c r="CW60" t="str">
        <f t="shared" si="20"/>
        <v>w_AMMONIA_HiH</v>
      </c>
      <c r="CX60">
        <f t="shared" si="21"/>
        <v>13</v>
      </c>
      <c r="CY60" t="str">
        <f t="shared" si="22"/>
        <v>[kg/bbl] kg of AMMONIA emissions to water per bbl of crude throughput - High Complexity Hydro Cracking</v>
      </c>
    </row>
    <row r="61" spans="98:103" x14ac:dyDescent="0.25">
      <c r="CT61" t="s">
        <v>2083</v>
      </c>
      <c r="CU61">
        <f t="shared" si="18"/>
        <v>4</v>
      </c>
      <c r="CV61">
        <f t="shared" si="19"/>
        <v>8</v>
      </c>
      <c r="CW61" t="str">
        <f t="shared" si="20"/>
        <v>w_AMMONIA_HiC</v>
      </c>
      <c r="CX61">
        <f t="shared" si="21"/>
        <v>13</v>
      </c>
      <c r="CY61" t="str">
        <f t="shared" si="22"/>
        <v>[kg/bbl] kg of AMMONIA emissions to water per bbl of crude throughput - High Complexity Coking</v>
      </c>
    </row>
    <row r="62" spans="98:103" x14ac:dyDescent="0.25">
      <c r="CT62" t="s">
        <v>2084</v>
      </c>
      <c r="CU62">
        <f t="shared" si="18"/>
        <v>5</v>
      </c>
      <c r="CV62">
        <f t="shared" si="19"/>
        <v>8</v>
      </c>
      <c r="CW62" t="str">
        <f t="shared" si="20"/>
        <v>w_AMMONIA_HiB</v>
      </c>
      <c r="CX62">
        <f t="shared" si="21"/>
        <v>13</v>
      </c>
      <c r="CY62" t="str">
        <f t="shared" si="22"/>
        <v>[kg/bbl] kg of AMMONIA emissions to water per bbl of crude throughput - High Complexity Hydro Cracking and Coking</v>
      </c>
    </row>
    <row r="63" spans="98:103" x14ac:dyDescent="0.25">
      <c r="CT63" t="s">
        <v>2085</v>
      </c>
      <c r="CU63">
        <f t="shared" si="18"/>
        <v>6</v>
      </c>
      <c r="CV63">
        <f t="shared" si="19"/>
        <v>8</v>
      </c>
      <c r="CW63" t="str">
        <f t="shared" si="20"/>
        <v>w_AMMONIA</v>
      </c>
      <c r="CX63">
        <f t="shared" si="21"/>
        <v>9</v>
      </c>
      <c r="CY63" t="str">
        <f t="shared" si="22"/>
        <v>[kg/bbl] kg of AMMONIA emissions to water per bbl of crude throughput</v>
      </c>
    </row>
    <row r="64" spans="98:103" x14ac:dyDescent="0.25">
      <c r="CT64" t="s">
        <v>2086</v>
      </c>
      <c r="CU64">
        <f t="shared" si="18"/>
        <v>1</v>
      </c>
      <c r="CV64">
        <f t="shared" si="19"/>
        <v>9</v>
      </c>
      <c r="CW64" t="str">
        <f t="shared" si="20"/>
        <v>w_AMMONIUM_L</v>
      </c>
      <c r="CX64">
        <f t="shared" si="21"/>
        <v>12</v>
      </c>
      <c r="CY64" t="str">
        <f t="shared" si="22"/>
        <v>[kg/bbl] kg of AMMONIUM emissions to water per bbl of crude throughput - Low Complexity</v>
      </c>
    </row>
    <row r="65" spans="98:103" x14ac:dyDescent="0.25">
      <c r="CT65" t="s">
        <v>2087</v>
      </c>
      <c r="CU65">
        <f t="shared" si="18"/>
        <v>2</v>
      </c>
      <c r="CV65">
        <f t="shared" si="19"/>
        <v>9</v>
      </c>
      <c r="CW65" t="str">
        <f t="shared" si="20"/>
        <v>w_AMMONIUM_M</v>
      </c>
      <c r="CX65">
        <f t="shared" si="21"/>
        <v>12</v>
      </c>
      <c r="CY65" t="str">
        <f t="shared" si="22"/>
        <v>[kg/bbl] kg of AMMONIUM emissions to water per bbl of crude throughput - Med Complexity</v>
      </c>
    </row>
    <row r="66" spans="98:103" x14ac:dyDescent="0.25">
      <c r="CT66" t="s">
        <v>2088</v>
      </c>
      <c r="CU66">
        <f t="shared" si="18"/>
        <v>3</v>
      </c>
      <c r="CV66">
        <f t="shared" si="19"/>
        <v>9</v>
      </c>
      <c r="CW66" t="str">
        <f t="shared" si="20"/>
        <v>w_AMMONIUM_HiH</v>
      </c>
      <c r="CX66">
        <f t="shared" si="21"/>
        <v>14</v>
      </c>
      <c r="CY66" t="str">
        <f t="shared" si="22"/>
        <v>[kg/bbl] kg of AMMONIUM emissions to water per bbl of crude throughput - High Complexity Hydro Cracking</v>
      </c>
    </row>
    <row r="67" spans="98:103" x14ac:dyDescent="0.25">
      <c r="CT67" t="s">
        <v>2089</v>
      </c>
      <c r="CU67">
        <f t="shared" si="18"/>
        <v>4</v>
      </c>
      <c r="CV67">
        <f t="shared" si="19"/>
        <v>9</v>
      </c>
      <c r="CW67" t="str">
        <f t="shared" si="20"/>
        <v>w_AMMONIUM_HiC</v>
      </c>
      <c r="CX67">
        <f t="shared" si="21"/>
        <v>14</v>
      </c>
      <c r="CY67" t="str">
        <f t="shared" si="22"/>
        <v>[kg/bbl] kg of AMMONIUM emissions to water per bbl of crude throughput - High Complexity Coking</v>
      </c>
    </row>
    <row r="68" spans="98:103" x14ac:dyDescent="0.25">
      <c r="CT68" t="s">
        <v>2090</v>
      </c>
      <c r="CU68">
        <f t="shared" si="18"/>
        <v>5</v>
      </c>
      <c r="CV68">
        <f t="shared" si="19"/>
        <v>9</v>
      </c>
      <c r="CW68" t="str">
        <f t="shared" si="20"/>
        <v>w_AMMONIUM_HiB</v>
      </c>
      <c r="CX68">
        <f t="shared" si="21"/>
        <v>14</v>
      </c>
      <c r="CY68" t="str">
        <f t="shared" si="22"/>
        <v>[kg/bbl] kg of AMMONIUM emissions to water per bbl of crude throughput - High Complexity Hydro Cracking and Coking</v>
      </c>
    </row>
    <row r="69" spans="98:103" x14ac:dyDescent="0.25">
      <c r="CT69" t="s">
        <v>2091</v>
      </c>
      <c r="CU69">
        <f t="shared" si="18"/>
        <v>6</v>
      </c>
      <c r="CV69">
        <f t="shared" si="19"/>
        <v>9</v>
      </c>
      <c r="CW69" t="str">
        <f t="shared" si="20"/>
        <v>w_AMMONIUM</v>
      </c>
      <c r="CX69">
        <f t="shared" si="21"/>
        <v>10</v>
      </c>
      <c r="CY69" t="str">
        <f t="shared" si="22"/>
        <v>[kg/bbl] kg of AMMONIUM emissions to water per bbl of crude throughput</v>
      </c>
    </row>
    <row r="70" spans="98:103" x14ac:dyDescent="0.25">
      <c r="CT70" t="s">
        <v>2092</v>
      </c>
      <c r="CU70">
        <f t="shared" si="18"/>
        <v>1</v>
      </c>
      <c r="CV70">
        <f t="shared" si="19"/>
        <v>10</v>
      </c>
      <c r="CW70" t="str">
        <f t="shared" si="20"/>
        <v>w_ANTHRACEN_L</v>
      </c>
      <c r="CX70">
        <f t="shared" si="21"/>
        <v>13</v>
      </c>
      <c r="CY70" t="str">
        <f t="shared" si="22"/>
        <v>[kg/bbl] kg of ANTHRACENE emissions to water per bbl of crude throughput - Low Complexity</v>
      </c>
    </row>
    <row r="71" spans="98:103" x14ac:dyDescent="0.25">
      <c r="CT71" t="s">
        <v>2129</v>
      </c>
      <c r="CU71">
        <f t="shared" si="18"/>
        <v>2</v>
      </c>
      <c r="CV71">
        <f t="shared" si="19"/>
        <v>10</v>
      </c>
      <c r="CW71" t="str">
        <f t="shared" si="20"/>
        <v>w_ANTHRACEN_M</v>
      </c>
      <c r="CX71">
        <f t="shared" si="21"/>
        <v>13</v>
      </c>
      <c r="CY71" t="str">
        <f t="shared" si="22"/>
        <v>[kg/bbl] kg of ANTHRACENE emissions to water per bbl of crude throughput - Med Complexity</v>
      </c>
    </row>
    <row r="72" spans="98:103" x14ac:dyDescent="0.25">
      <c r="CT72" t="s">
        <v>2039</v>
      </c>
      <c r="CU72">
        <f t="shared" si="18"/>
        <v>3</v>
      </c>
      <c r="CV72">
        <f t="shared" si="19"/>
        <v>10</v>
      </c>
      <c r="CW72" t="str">
        <f t="shared" si="20"/>
        <v>w_ANTHRACEN_HiH</v>
      </c>
      <c r="CX72">
        <f t="shared" si="21"/>
        <v>15</v>
      </c>
      <c r="CY72" t="str">
        <f t="shared" si="22"/>
        <v>[kg/bbl] kg of ANTHRACENE emissions to water per bbl of crude throughput - High Complexity Hydro Cracking</v>
      </c>
    </row>
    <row r="73" spans="98:103" x14ac:dyDescent="0.25">
      <c r="CT73" t="s">
        <v>2093</v>
      </c>
      <c r="CU73">
        <f t="shared" si="18"/>
        <v>4</v>
      </c>
      <c r="CV73">
        <f t="shared" si="19"/>
        <v>10</v>
      </c>
      <c r="CW73" t="str">
        <f t="shared" si="20"/>
        <v>w_ANTHRACEN_HiC</v>
      </c>
      <c r="CX73">
        <f t="shared" si="21"/>
        <v>15</v>
      </c>
      <c r="CY73" t="str">
        <f t="shared" si="22"/>
        <v>[kg/bbl] kg of ANTHRACENE emissions to water per bbl of crude throughput - High Complexity Coking</v>
      </c>
    </row>
    <row r="74" spans="98:103" x14ac:dyDescent="0.25">
      <c r="CT74" t="s">
        <v>2130</v>
      </c>
      <c r="CU74">
        <f t="shared" si="18"/>
        <v>5</v>
      </c>
      <c r="CV74">
        <f t="shared" si="19"/>
        <v>10</v>
      </c>
      <c r="CW74" t="str">
        <f t="shared" si="20"/>
        <v>w_ANTHRACEN_HiB</v>
      </c>
      <c r="CX74">
        <f t="shared" si="21"/>
        <v>15</v>
      </c>
      <c r="CY74" t="str">
        <f t="shared" si="22"/>
        <v>[kg/bbl] kg of ANTHRACENE emissions to water per bbl of crude throughput - High Complexity Hydro Cracking and Coking</v>
      </c>
    </row>
    <row r="75" spans="98:103" x14ac:dyDescent="0.25">
      <c r="CT75" t="s">
        <v>2131</v>
      </c>
      <c r="CU75">
        <f t="shared" si="18"/>
        <v>6</v>
      </c>
      <c r="CV75">
        <f t="shared" si="19"/>
        <v>10</v>
      </c>
      <c r="CW75" t="str">
        <f t="shared" si="20"/>
        <v>w_ANTHRACEN</v>
      </c>
      <c r="CX75">
        <f t="shared" si="21"/>
        <v>11</v>
      </c>
      <c r="CY75" t="str">
        <f t="shared" si="22"/>
        <v>[kg/bbl] kg of ANTHRACENE emissions to water per bbl of crude throughput</v>
      </c>
    </row>
    <row r="76" spans="98:103" x14ac:dyDescent="0.25">
      <c r="CT76" t="s">
        <v>2094</v>
      </c>
      <c r="CU76">
        <f t="shared" si="18"/>
        <v>1</v>
      </c>
      <c r="CV76">
        <f t="shared" si="19"/>
        <v>11</v>
      </c>
      <c r="CW76" t="str">
        <f t="shared" si="20"/>
        <v>w_Arsenicto_L</v>
      </c>
      <c r="CX76">
        <f t="shared" si="21"/>
        <v>13</v>
      </c>
      <c r="CY76" t="str">
        <f t="shared" si="22"/>
        <v>[kg/bbl] kg of Arsenic, total (as As) emissions to water per bbl of crude throughput - Low Complexity</v>
      </c>
    </row>
    <row r="77" spans="98:103" x14ac:dyDescent="0.25">
      <c r="CT77" t="s">
        <v>2132</v>
      </c>
      <c r="CU77">
        <f t="shared" si="18"/>
        <v>2</v>
      </c>
      <c r="CV77">
        <f t="shared" si="19"/>
        <v>11</v>
      </c>
      <c r="CW77" t="str">
        <f t="shared" si="20"/>
        <v>w_Arsenicto_M</v>
      </c>
      <c r="CX77">
        <f t="shared" si="21"/>
        <v>13</v>
      </c>
      <c r="CY77" t="str">
        <f t="shared" si="22"/>
        <v>[kg/bbl] kg of Arsenic, total (as As) emissions to water per bbl of crude throughput - Med Complexity</v>
      </c>
    </row>
    <row r="78" spans="98:103" x14ac:dyDescent="0.25">
      <c r="CT78" t="s">
        <v>2095</v>
      </c>
      <c r="CU78">
        <f t="shared" si="18"/>
        <v>3</v>
      </c>
      <c r="CV78">
        <f t="shared" si="19"/>
        <v>11</v>
      </c>
      <c r="CW78" t="str">
        <f t="shared" si="20"/>
        <v>w_Arsenicto_HiH</v>
      </c>
      <c r="CX78">
        <f t="shared" ref="CX78:CX141" si="44">LEN(CW78)</f>
        <v>15</v>
      </c>
      <c r="CY78" t="str">
        <f t="shared" si="22"/>
        <v>[kg/bbl] kg of Arsenic, total (as As) emissions to water per bbl of crude throughput - High Complexity Hydro Cracking</v>
      </c>
    </row>
    <row r="79" spans="98:103" x14ac:dyDescent="0.25">
      <c r="CT79" t="s">
        <v>2040</v>
      </c>
      <c r="CU79">
        <f t="shared" si="18"/>
        <v>4</v>
      </c>
      <c r="CV79">
        <f t="shared" si="19"/>
        <v>11</v>
      </c>
      <c r="CW79" t="str">
        <f t="shared" si="20"/>
        <v>w_Arsenicto_HiC</v>
      </c>
      <c r="CX79">
        <f t="shared" si="44"/>
        <v>15</v>
      </c>
      <c r="CY79" t="str">
        <f t="shared" si="22"/>
        <v>[kg/bbl] kg of Arsenic, total (as As) emissions to water per bbl of crude throughput - High Complexity Coking</v>
      </c>
    </row>
    <row r="80" spans="98:103" x14ac:dyDescent="0.25">
      <c r="CT80" t="s">
        <v>2096</v>
      </c>
      <c r="CU80">
        <f t="shared" si="18"/>
        <v>5</v>
      </c>
      <c r="CV80">
        <f t="shared" si="19"/>
        <v>11</v>
      </c>
      <c r="CW80" t="str">
        <f t="shared" si="20"/>
        <v>w_Arsenicto_HiB</v>
      </c>
      <c r="CX80">
        <f t="shared" si="44"/>
        <v>15</v>
      </c>
      <c r="CY80" t="str">
        <f t="shared" si="22"/>
        <v>[kg/bbl] kg of Arsenic, total (as As) emissions to water per bbl of crude throughput - High Complexity Hydro Cracking and Coking</v>
      </c>
    </row>
    <row r="81" spans="98:103" x14ac:dyDescent="0.25">
      <c r="CT81" t="s">
        <v>2133</v>
      </c>
      <c r="CU81">
        <f t="shared" ref="CU81:CU144" si="45">IF(MOD((ROW()-15),6)=0,6,MOD((ROW()-15),6))</f>
        <v>6</v>
      </c>
      <c r="CV81">
        <f t="shared" ref="CV81:CV144" si="46">IF(MOD(ROW()-15,6)=0,ROUNDDOWN((ROW()-15)/6,0),ROUNDDOWN((ROW()-15)/6,0)+1)</f>
        <v>11</v>
      </c>
      <c r="CW81" t="str">
        <f t="shared" ref="CW81:CW144" si="47">IF(CU81&lt;&gt;6,INDEX($CT$16:$CT$106,CV81)&amp;INDEX($CS$16:$CS$20,CU81),INDEX($CT$16:$CT$106,CV81))</f>
        <v>w_Arsenicto</v>
      </c>
      <c r="CX81">
        <f t="shared" si="44"/>
        <v>11</v>
      </c>
      <c r="CY81" t="str">
        <f t="shared" ref="CY81:CY144" si="48">"[kg/bbl] kg of "&amp;HLOOKUP(INDEX($CT$16:$CT$106,CV81),$E$16:$CQ$17,2,FALSE)&amp;" emissions to water per bbl of crude throughput"&amp;IF(CU81&lt;&gt;6,INDEX($DF$16:$DF$20,CU81),"")</f>
        <v>[kg/bbl] kg of Arsenic, total (as As) emissions to water per bbl of crude throughput</v>
      </c>
    </row>
    <row r="82" spans="98:103" x14ac:dyDescent="0.25">
      <c r="CT82" t="s">
        <v>2134</v>
      </c>
      <c r="CU82">
        <f t="shared" si="45"/>
        <v>1</v>
      </c>
      <c r="CV82">
        <f t="shared" si="46"/>
        <v>12</v>
      </c>
      <c r="CW82" t="str">
        <f t="shared" si="47"/>
        <v>w_Bariumtot_L</v>
      </c>
      <c r="CX82">
        <f t="shared" si="44"/>
        <v>13</v>
      </c>
      <c r="CY82" t="str">
        <f t="shared" si="48"/>
        <v>[kg/bbl] kg of Barium, total (as Ba) emissions to water per bbl of crude throughput - Low Complexity</v>
      </c>
    </row>
    <row r="83" spans="98:103" x14ac:dyDescent="0.25">
      <c r="CT83" t="s">
        <v>2097</v>
      </c>
      <c r="CU83">
        <f t="shared" si="45"/>
        <v>2</v>
      </c>
      <c r="CV83">
        <f t="shared" si="46"/>
        <v>12</v>
      </c>
      <c r="CW83" t="str">
        <f t="shared" si="47"/>
        <v>w_Bariumtot_M</v>
      </c>
      <c r="CX83">
        <f t="shared" si="44"/>
        <v>13</v>
      </c>
      <c r="CY83" t="str">
        <f t="shared" si="48"/>
        <v>[kg/bbl] kg of Barium, total (as Ba) emissions to water per bbl of crude throughput - Med Complexity</v>
      </c>
    </row>
    <row r="84" spans="98:103" x14ac:dyDescent="0.25">
      <c r="CT84" t="s">
        <v>2098</v>
      </c>
      <c r="CU84">
        <f t="shared" si="45"/>
        <v>3</v>
      </c>
      <c r="CV84">
        <f t="shared" si="46"/>
        <v>12</v>
      </c>
      <c r="CW84" t="str">
        <f t="shared" si="47"/>
        <v>w_Bariumtot_HiH</v>
      </c>
      <c r="CX84">
        <f t="shared" si="44"/>
        <v>15</v>
      </c>
      <c r="CY84" t="str">
        <f t="shared" si="48"/>
        <v>[kg/bbl] kg of Barium, total (as Ba) emissions to water per bbl of crude throughput - High Complexity Hydro Cracking</v>
      </c>
    </row>
    <row r="85" spans="98:103" x14ac:dyDescent="0.25">
      <c r="CT85" t="s">
        <v>2041</v>
      </c>
      <c r="CU85">
        <f t="shared" si="45"/>
        <v>4</v>
      </c>
      <c r="CV85">
        <f t="shared" si="46"/>
        <v>12</v>
      </c>
      <c r="CW85" t="str">
        <f t="shared" si="47"/>
        <v>w_Bariumtot_HiC</v>
      </c>
      <c r="CX85">
        <f t="shared" si="44"/>
        <v>15</v>
      </c>
      <c r="CY85" t="str">
        <f t="shared" si="48"/>
        <v>[kg/bbl] kg of Barium, total (as Ba) emissions to water per bbl of crude throughput - High Complexity Coking</v>
      </c>
    </row>
    <row r="86" spans="98:103" x14ac:dyDescent="0.25">
      <c r="CT86" t="s">
        <v>2112</v>
      </c>
      <c r="CU86">
        <f t="shared" si="45"/>
        <v>5</v>
      </c>
      <c r="CV86">
        <f t="shared" si="46"/>
        <v>12</v>
      </c>
      <c r="CW86" t="str">
        <f t="shared" si="47"/>
        <v>w_Bariumtot_HiB</v>
      </c>
      <c r="CX86">
        <f t="shared" si="44"/>
        <v>15</v>
      </c>
      <c r="CY86" t="str">
        <f t="shared" si="48"/>
        <v>[kg/bbl] kg of Barium, total (as Ba) emissions to water per bbl of crude throughput - High Complexity Hydro Cracking and Coking</v>
      </c>
    </row>
    <row r="87" spans="98:103" x14ac:dyDescent="0.25">
      <c r="CT87" t="s">
        <v>2113</v>
      </c>
      <c r="CU87">
        <f t="shared" si="45"/>
        <v>6</v>
      </c>
      <c r="CV87">
        <f t="shared" si="46"/>
        <v>12</v>
      </c>
      <c r="CW87" t="str">
        <f t="shared" si="47"/>
        <v>w_Bariumtot</v>
      </c>
      <c r="CX87">
        <f t="shared" si="44"/>
        <v>11</v>
      </c>
      <c r="CY87" t="str">
        <f t="shared" si="48"/>
        <v>[kg/bbl] kg of Barium, total (as Ba) emissions to water per bbl of crude throughput</v>
      </c>
    </row>
    <row r="88" spans="98:103" x14ac:dyDescent="0.25">
      <c r="CT88" t="s">
        <v>2099</v>
      </c>
      <c r="CU88">
        <f t="shared" si="45"/>
        <v>1</v>
      </c>
      <c r="CV88">
        <f t="shared" si="46"/>
        <v>13</v>
      </c>
      <c r="CW88" t="str">
        <f t="shared" si="47"/>
        <v>w_BENZENE_L</v>
      </c>
      <c r="CX88">
        <f t="shared" si="44"/>
        <v>11</v>
      </c>
      <c r="CY88" t="str">
        <f t="shared" si="48"/>
        <v>[kg/bbl] kg of BENZENE emissions to water per bbl of crude throughput - Low Complexity</v>
      </c>
    </row>
    <row r="89" spans="98:103" x14ac:dyDescent="0.25">
      <c r="CT89" t="s">
        <v>2042</v>
      </c>
      <c r="CU89">
        <f t="shared" si="45"/>
        <v>2</v>
      </c>
      <c r="CV89">
        <f t="shared" si="46"/>
        <v>13</v>
      </c>
      <c r="CW89" t="str">
        <f t="shared" si="47"/>
        <v>w_BENZENE_M</v>
      </c>
      <c r="CX89">
        <f t="shared" si="44"/>
        <v>11</v>
      </c>
      <c r="CY89" t="str">
        <f t="shared" si="48"/>
        <v>[kg/bbl] kg of BENZENE emissions to water per bbl of crude throughput - Med Complexity</v>
      </c>
    </row>
    <row r="90" spans="98:103" x14ac:dyDescent="0.25">
      <c r="CT90" t="s">
        <v>2100</v>
      </c>
      <c r="CU90">
        <f t="shared" si="45"/>
        <v>3</v>
      </c>
      <c r="CV90">
        <f t="shared" si="46"/>
        <v>13</v>
      </c>
      <c r="CW90" t="str">
        <f t="shared" si="47"/>
        <v>w_BENZENE_HiH</v>
      </c>
      <c r="CX90">
        <f t="shared" si="44"/>
        <v>13</v>
      </c>
      <c r="CY90" t="str">
        <f t="shared" si="48"/>
        <v>[kg/bbl] kg of BENZENE emissions to water per bbl of crude throughput - High Complexity Hydro Cracking</v>
      </c>
    </row>
    <row r="91" spans="98:103" x14ac:dyDescent="0.25">
      <c r="CT91" t="s">
        <v>2101</v>
      </c>
      <c r="CU91">
        <f t="shared" si="45"/>
        <v>4</v>
      </c>
      <c r="CV91">
        <f t="shared" si="46"/>
        <v>13</v>
      </c>
      <c r="CW91" t="str">
        <f t="shared" si="47"/>
        <v>w_BENZENE_HiC</v>
      </c>
      <c r="CX91">
        <f t="shared" si="44"/>
        <v>13</v>
      </c>
      <c r="CY91" t="str">
        <f t="shared" si="48"/>
        <v>[kg/bbl] kg of BENZENE emissions to water per bbl of crude throughput - High Complexity Coking</v>
      </c>
    </row>
    <row r="92" spans="98:103" x14ac:dyDescent="0.25">
      <c r="CT92" t="s">
        <v>2102</v>
      </c>
      <c r="CU92">
        <f t="shared" si="45"/>
        <v>5</v>
      </c>
      <c r="CV92">
        <f t="shared" si="46"/>
        <v>13</v>
      </c>
      <c r="CW92" t="str">
        <f t="shared" si="47"/>
        <v>w_BENZENE_HiB</v>
      </c>
      <c r="CX92">
        <f t="shared" si="44"/>
        <v>13</v>
      </c>
      <c r="CY92" t="str">
        <f t="shared" si="48"/>
        <v>[kg/bbl] kg of BENZENE emissions to water per bbl of crude throughput - High Complexity Hydro Cracking and Coking</v>
      </c>
    </row>
    <row r="93" spans="98:103" x14ac:dyDescent="0.25">
      <c r="CT93" t="s">
        <v>2135</v>
      </c>
      <c r="CU93">
        <f t="shared" si="45"/>
        <v>6</v>
      </c>
      <c r="CV93">
        <f t="shared" si="46"/>
        <v>13</v>
      </c>
      <c r="CW93" t="str">
        <f t="shared" si="47"/>
        <v>w_BENZENE</v>
      </c>
      <c r="CX93">
        <f t="shared" si="44"/>
        <v>9</v>
      </c>
      <c r="CY93" t="str">
        <f t="shared" si="48"/>
        <v>[kg/bbl] kg of BENZENE emissions to water per bbl of crude throughput</v>
      </c>
    </row>
    <row r="94" spans="98:103" x14ac:dyDescent="0.25">
      <c r="CT94" t="s">
        <v>2043</v>
      </c>
      <c r="CU94">
        <f t="shared" si="45"/>
        <v>1</v>
      </c>
      <c r="CV94">
        <f t="shared" si="46"/>
        <v>14</v>
      </c>
      <c r="CW94" t="str">
        <f t="shared" si="47"/>
        <v>w_BENZOGHIP_L</v>
      </c>
      <c r="CX94">
        <f t="shared" si="44"/>
        <v>13</v>
      </c>
      <c r="CY94" t="str">
        <f t="shared" si="48"/>
        <v>[kg/bbl] kg of BENZO(G,H,I)PERYLENE emissions to water per bbl of crude throughput - Low Complexity</v>
      </c>
    </row>
    <row r="95" spans="98:103" x14ac:dyDescent="0.25">
      <c r="CT95" t="s">
        <v>2103</v>
      </c>
      <c r="CU95">
        <f t="shared" si="45"/>
        <v>2</v>
      </c>
      <c r="CV95">
        <f t="shared" si="46"/>
        <v>14</v>
      </c>
      <c r="CW95" t="str">
        <f t="shared" si="47"/>
        <v>w_BENZOGHIP_M</v>
      </c>
      <c r="CX95">
        <f t="shared" si="44"/>
        <v>13</v>
      </c>
      <c r="CY95" t="str">
        <f t="shared" si="48"/>
        <v>[kg/bbl] kg of BENZO(G,H,I)PERYLENE emissions to water per bbl of crude throughput - Med Complexity</v>
      </c>
    </row>
    <row r="96" spans="98:103" x14ac:dyDescent="0.25">
      <c r="CT96" t="s">
        <v>2104</v>
      </c>
      <c r="CU96">
        <f t="shared" si="45"/>
        <v>3</v>
      </c>
      <c r="CV96">
        <f t="shared" si="46"/>
        <v>14</v>
      </c>
      <c r="CW96" t="str">
        <f t="shared" si="47"/>
        <v>w_BENZOGHIP_HiH</v>
      </c>
      <c r="CX96">
        <f t="shared" si="44"/>
        <v>15</v>
      </c>
      <c r="CY96" t="str">
        <f t="shared" si="48"/>
        <v>[kg/bbl] kg of BENZO(G,H,I)PERYLENE emissions to water per bbl of crude throughput - High Complexity Hydro Cracking</v>
      </c>
    </row>
    <row r="97" spans="98:103" x14ac:dyDescent="0.25">
      <c r="CT97" t="s">
        <v>2105</v>
      </c>
      <c r="CU97">
        <f t="shared" si="45"/>
        <v>4</v>
      </c>
      <c r="CV97">
        <f t="shared" si="46"/>
        <v>14</v>
      </c>
      <c r="CW97" t="str">
        <f t="shared" si="47"/>
        <v>w_BENZOGHIP_HiC</v>
      </c>
      <c r="CX97">
        <f t="shared" si="44"/>
        <v>15</v>
      </c>
      <c r="CY97" t="str">
        <f t="shared" si="48"/>
        <v>[kg/bbl] kg of BENZO(G,H,I)PERYLENE emissions to water per bbl of crude throughput - High Complexity Coking</v>
      </c>
    </row>
    <row r="98" spans="98:103" x14ac:dyDescent="0.25">
      <c r="CT98" t="s">
        <v>2109</v>
      </c>
      <c r="CU98">
        <f t="shared" si="45"/>
        <v>5</v>
      </c>
      <c r="CV98">
        <f t="shared" si="46"/>
        <v>14</v>
      </c>
      <c r="CW98" t="str">
        <f t="shared" si="47"/>
        <v>w_BENZOGHIP_HiB</v>
      </c>
      <c r="CX98">
        <f t="shared" si="44"/>
        <v>15</v>
      </c>
      <c r="CY98" t="str">
        <f t="shared" si="48"/>
        <v>[kg/bbl] kg of BENZO(G,H,I)PERYLENE emissions to water per bbl of crude throughput - High Complexity Hydro Cracking and Coking</v>
      </c>
    </row>
    <row r="99" spans="98:103" x14ac:dyDescent="0.25">
      <c r="CT99" t="s">
        <v>2110</v>
      </c>
      <c r="CU99">
        <f t="shared" si="45"/>
        <v>6</v>
      </c>
      <c r="CV99">
        <f t="shared" si="46"/>
        <v>14</v>
      </c>
      <c r="CW99" t="str">
        <f t="shared" si="47"/>
        <v>w_BENZOGHIP</v>
      </c>
      <c r="CX99">
        <f t="shared" si="44"/>
        <v>11</v>
      </c>
      <c r="CY99" t="str">
        <f t="shared" si="48"/>
        <v>[kg/bbl] kg of BENZO(G,H,I)PERYLENE emissions to water per bbl of crude throughput</v>
      </c>
    </row>
    <row r="100" spans="98:103" x14ac:dyDescent="0.25">
      <c r="CT100" t="s">
        <v>2111</v>
      </c>
      <c r="CU100">
        <f t="shared" si="45"/>
        <v>1</v>
      </c>
      <c r="CV100">
        <f t="shared" si="46"/>
        <v>15</v>
      </c>
      <c r="CW100" t="str">
        <f t="shared" si="47"/>
        <v>w_BENZO_A_P_L</v>
      </c>
      <c r="CX100">
        <f t="shared" si="44"/>
        <v>13</v>
      </c>
      <c r="CY100" t="str">
        <f t="shared" si="48"/>
        <v>[kg/bbl] kg of BENZO[A]PYRENE emissions to water per bbl of crude throughput - Low Complexity</v>
      </c>
    </row>
    <row r="101" spans="98:103" x14ac:dyDescent="0.25">
      <c r="CT101" t="s">
        <v>2044</v>
      </c>
      <c r="CU101">
        <f t="shared" si="45"/>
        <v>2</v>
      </c>
      <c r="CV101">
        <f t="shared" si="46"/>
        <v>15</v>
      </c>
      <c r="CW101" t="str">
        <f t="shared" si="47"/>
        <v>w_BENZO_A_P_M</v>
      </c>
      <c r="CX101">
        <f t="shared" si="44"/>
        <v>13</v>
      </c>
      <c r="CY101" t="str">
        <f t="shared" si="48"/>
        <v>[kg/bbl] kg of BENZO[A]PYRENE emissions to water per bbl of crude throughput - Med Complexity</v>
      </c>
    </row>
    <row r="102" spans="98:103" x14ac:dyDescent="0.25">
      <c r="CT102" t="s">
        <v>2045</v>
      </c>
      <c r="CU102">
        <f t="shared" si="45"/>
        <v>3</v>
      </c>
      <c r="CV102">
        <f t="shared" si="46"/>
        <v>15</v>
      </c>
      <c r="CW102" t="str">
        <f t="shared" si="47"/>
        <v>w_BENZO_A_P_HiH</v>
      </c>
      <c r="CX102">
        <f t="shared" si="44"/>
        <v>15</v>
      </c>
      <c r="CY102" t="str">
        <f t="shared" si="48"/>
        <v>[kg/bbl] kg of BENZO[A]PYRENE emissions to water per bbl of crude throughput - High Complexity Hydro Cracking</v>
      </c>
    </row>
    <row r="103" spans="98:103" x14ac:dyDescent="0.25">
      <c r="CT103" t="s">
        <v>2106</v>
      </c>
      <c r="CU103">
        <f t="shared" si="45"/>
        <v>4</v>
      </c>
      <c r="CV103">
        <f t="shared" si="46"/>
        <v>15</v>
      </c>
      <c r="CW103" t="str">
        <f t="shared" si="47"/>
        <v>w_BENZO_A_P_HiC</v>
      </c>
      <c r="CX103">
        <f t="shared" si="44"/>
        <v>15</v>
      </c>
      <c r="CY103" t="str">
        <f t="shared" si="48"/>
        <v>[kg/bbl] kg of BENZO[A]PYRENE emissions to water per bbl of crude throughput - High Complexity Coking</v>
      </c>
    </row>
    <row r="104" spans="98:103" x14ac:dyDescent="0.25">
      <c r="CT104" t="s">
        <v>2107</v>
      </c>
      <c r="CU104">
        <f t="shared" si="45"/>
        <v>5</v>
      </c>
      <c r="CV104">
        <f t="shared" si="46"/>
        <v>15</v>
      </c>
      <c r="CW104" t="str">
        <f t="shared" si="47"/>
        <v>w_BENZO_A_P_HiB</v>
      </c>
      <c r="CX104">
        <f t="shared" si="44"/>
        <v>15</v>
      </c>
      <c r="CY104" t="str">
        <f t="shared" si="48"/>
        <v>[kg/bbl] kg of BENZO[A]PYRENE emissions to water per bbl of crude throughput - High Complexity Hydro Cracking and Coking</v>
      </c>
    </row>
    <row r="105" spans="98:103" x14ac:dyDescent="0.25">
      <c r="CT105" t="s">
        <v>2046</v>
      </c>
      <c r="CU105">
        <f t="shared" si="45"/>
        <v>6</v>
      </c>
      <c r="CV105">
        <f t="shared" si="46"/>
        <v>15</v>
      </c>
      <c r="CW105" t="str">
        <f t="shared" si="47"/>
        <v>w_BENZO_A_P</v>
      </c>
      <c r="CX105">
        <f t="shared" si="44"/>
        <v>11</v>
      </c>
      <c r="CY105" t="str">
        <f t="shared" si="48"/>
        <v>[kg/bbl] kg of BENZO[A]PYRENE emissions to water per bbl of crude throughput</v>
      </c>
    </row>
    <row r="106" spans="98:103" x14ac:dyDescent="0.25">
      <c r="CT106" t="s">
        <v>2108</v>
      </c>
      <c r="CU106">
        <f t="shared" si="45"/>
        <v>1</v>
      </c>
      <c r="CV106">
        <f t="shared" si="46"/>
        <v>16</v>
      </c>
      <c r="CW106" t="str">
        <f t="shared" si="47"/>
        <v>w_BIPHENYL_L</v>
      </c>
      <c r="CX106">
        <f t="shared" si="44"/>
        <v>12</v>
      </c>
      <c r="CY106" t="str">
        <f t="shared" si="48"/>
        <v>[kg/bbl] kg of BIPHENYL emissions to water per bbl of crude throughput - Low Complexity</v>
      </c>
    </row>
    <row r="107" spans="98:103" x14ac:dyDescent="0.25">
      <c r="CU107">
        <f t="shared" si="45"/>
        <v>2</v>
      </c>
      <c r="CV107">
        <f t="shared" si="46"/>
        <v>16</v>
      </c>
      <c r="CW107" t="str">
        <f t="shared" si="47"/>
        <v>w_BIPHENYL_M</v>
      </c>
      <c r="CX107">
        <f t="shared" si="44"/>
        <v>12</v>
      </c>
      <c r="CY107" t="str">
        <f t="shared" si="48"/>
        <v>[kg/bbl] kg of BIPHENYL emissions to water per bbl of crude throughput - Med Complexity</v>
      </c>
    </row>
    <row r="108" spans="98:103" x14ac:dyDescent="0.25">
      <c r="CU108">
        <f t="shared" si="45"/>
        <v>3</v>
      </c>
      <c r="CV108">
        <f t="shared" si="46"/>
        <v>16</v>
      </c>
      <c r="CW108" t="str">
        <f t="shared" si="47"/>
        <v>w_BIPHENYL_HiH</v>
      </c>
      <c r="CX108">
        <f t="shared" si="44"/>
        <v>14</v>
      </c>
      <c r="CY108" t="str">
        <f t="shared" si="48"/>
        <v>[kg/bbl] kg of BIPHENYL emissions to water per bbl of crude throughput - High Complexity Hydro Cracking</v>
      </c>
    </row>
    <row r="109" spans="98:103" x14ac:dyDescent="0.25">
      <c r="CU109">
        <f t="shared" si="45"/>
        <v>4</v>
      </c>
      <c r="CV109">
        <f t="shared" si="46"/>
        <v>16</v>
      </c>
      <c r="CW109" t="str">
        <f t="shared" si="47"/>
        <v>w_BIPHENYL_HiC</v>
      </c>
      <c r="CX109">
        <f t="shared" si="44"/>
        <v>14</v>
      </c>
      <c r="CY109" t="str">
        <f t="shared" si="48"/>
        <v>[kg/bbl] kg of BIPHENYL emissions to water per bbl of crude throughput - High Complexity Coking</v>
      </c>
    </row>
    <row r="110" spans="98:103" x14ac:dyDescent="0.25">
      <c r="CU110">
        <f t="shared" si="45"/>
        <v>5</v>
      </c>
      <c r="CV110">
        <f t="shared" si="46"/>
        <v>16</v>
      </c>
      <c r="CW110" t="str">
        <f t="shared" si="47"/>
        <v>w_BIPHENYL_HiB</v>
      </c>
      <c r="CX110">
        <f t="shared" si="44"/>
        <v>14</v>
      </c>
      <c r="CY110" t="str">
        <f t="shared" si="48"/>
        <v>[kg/bbl] kg of BIPHENYL emissions to water per bbl of crude throughput - High Complexity Hydro Cracking and Coking</v>
      </c>
    </row>
    <row r="111" spans="98:103" x14ac:dyDescent="0.25">
      <c r="CU111">
        <f t="shared" si="45"/>
        <v>6</v>
      </c>
      <c r="CV111">
        <f t="shared" si="46"/>
        <v>16</v>
      </c>
      <c r="CW111" t="str">
        <f t="shared" si="47"/>
        <v>w_BIPHENYL</v>
      </c>
      <c r="CX111">
        <f t="shared" si="44"/>
        <v>10</v>
      </c>
      <c r="CY111" t="str">
        <f t="shared" si="48"/>
        <v>[kg/bbl] kg of BIPHENYL emissions to water per bbl of crude throughput</v>
      </c>
    </row>
    <row r="112" spans="98:103" x14ac:dyDescent="0.25">
      <c r="CU112">
        <f t="shared" si="45"/>
        <v>1</v>
      </c>
      <c r="CV112">
        <f t="shared" si="46"/>
        <v>17</v>
      </c>
      <c r="CW112" t="str">
        <f t="shared" si="47"/>
        <v>w_Bromideas_L</v>
      </c>
      <c r="CX112">
        <f t="shared" si="44"/>
        <v>13</v>
      </c>
      <c r="CY112" t="str">
        <f t="shared" si="48"/>
        <v>[kg/bbl] kg of Bromide (as Br) emissions to water per bbl of crude throughput - Low Complexity</v>
      </c>
    </row>
    <row r="113" spans="99:103" x14ac:dyDescent="0.25">
      <c r="CU113">
        <f t="shared" si="45"/>
        <v>2</v>
      </c>
      <c r="CV113">
        <f t="shared" si="46"/>
        <v>17</v>
      </c>
      <c r="CW113" t="str">
        <f t="shared" si="47"/>
        <v>w_Bromideas_M</v>
      </c>
      <c r="CX113">
        <f t="shared" si="44"/>
        <v>13</v>
      </c>
      <c r="CY113" t="str">
        <f t="shared" si="48"/>
        <v>[kg/bbl] kg of Bromide (as Br) emissions to water per bbl of crude throughput - Med Complexity</v>
      </c>
    </row>
    <row r="114" spans="99:103" x14ac:dyDescent="0.25">
      <c r="CU114">
        <f t="shared" si="45"/>
        <v>3</v>
      </c>
      <c r="CV114">
        <f t="shared" si="46"/>
        <v>17</v>
      </c>
      <c r="CW114" t="str">
        <f t="shared" si="47"/>
        <v>w_Bromideas_HiH</v>
      </c>
      <c r="CX114">
        <f t="shared" si="44"/>
        <v>15</v>
      </c>
      <c r="CY114" t="str">
        <f t="shared" si="48"/>
        <v>[kg/bbl] kg of Bromide (as Br) emissions to water per bbl of crude throughput - High Complexity Hydro Cracking</v>
      </c>
    </row>
    <row r="115" spans="99:103" x14ac:dyDescent="0.25">
      <c r="CU115">
        <f t="shared" si="45"/>
        <v>4</v>
      </c>
      <c r="CV115">
        <f t="shared" si="46"/>
        <v>17</v>
      </c>
      <c r="CW115" t="str">
        <f t="shared" si="47"/>
        <v>w_Bromideas_HiC</v>
      </c>
      <c r="CX115">
        <f t="shared" si="44"/>
        <v>15</v>
      </c>
      <c r="CY115" t="str">
        <f t="shared" si="48"/>
        <v>[kg/bbl] kg of Bromide (as Br) emissions to water per bbl of crude throughput - High Complexity Coking</v>
      </c>
    </row>
    <row r="116" spans="99:103" x14ac:dyDescent="0.25">
      <c r="CU116">
        <f t="shared" si="45"/>
        <v>5</v>
      </c>
      <c r="CV116">
        <f t="shared" si="46"/>
        <v>17</v>
      </c>
      <c r="CW116" t="str">
        <f t="shared" si="47"/>
        <v>w_Bromideas_HiB</v>
      </c>
      <c r="CX116">
        <f t="shared" si="44"/>
        <v>15</v>
      </c>
      <c r="CY116" t="str">
        <f t="shared" si="48"/>
        <v>[kg/bbl] kg of Bromide (as Br) emissions to water per bbl of crude throughput - High Complexity Hydro Cracking and Coking</v>
      </c>
    </row>
    <row r="117" spans="99:103" x14ac:dyDescent="0.25">
      <c r="CU117">
        <f t="shared" si="45"/>
        <v>6</v>
      </c>
      <c r="CV117">
        <f t="shared" si="46"/>
        <v>17</v>
      </c>
      <c r="CW117" t="str">
        <f t="shared" si="47"/>
        <v>w_Bromideas</v>
      </c>
      <c r="CX117">
        <f t="shared" si="44"/>
        <v>11</v>
      </c>
      <c r="CY117" t="str">
        <f t="shared" si="48"/>
        <v>[kg/bbl] kg of Bromide (as Br) emissions to water per bbl of crude throughput</v>
      </c>
    </row>
    <row r="118" spans="99:103" x14ac:dyDescent="0.25">
      <c r="CU118">
        <f t="shared" si="45"/>
        <v>1</v>
      </c>
      <c r="CV118">
        <f t="shared" si="46"/>
        <v>18</v>
      </c>
      <c r="CW118" t="str">
        <f t="shared" si="47"/>
        <v>w_Cadmiumto_L</v>
      </c>
      <c r="CX118">
        <f t="shared" si="44"/>
        <v>13</v>
      </c>
      <c r="CY118" t="str">
        <f t="shared" si="48"/>
        <v>[kg/bbl] kg of Cadmium, total (as Cd) emissions to water per bbl of crude throughput - Low Complexity</v>
      </c>
    </row>
    <row r="119" spans="99:103" x14ac:dyDescent="0.25">
      <c r="CU119">
        <f t="shared" si="45"/>
        <v>2</v>
      </c>
      <c r="CV119">
        <f t="shared" si="46"/>
        <v>18</v>
      </c>
      <c r="CW119" t="str">
        <f t="shared" si="47"/>
        <v>w_Cadmiumto_M</v>
      </c>
      <c r="CX119">
        <f t="shared" si="44"/>
        <v>13</v>
      </c>
      <c r="CY119" t="str">
        <f t="shared" si="48"/>
        <v>[kg/bbl] kg of Cadmium, total (as Cd) emissions to water per bbl of crude throughput - Med Complexity</v>
      </c>
    </row>
    <row r="120" spans="99:103" x14ac:dyDescent="0.25">
      <c r="CU120">
        <f t="shared" si="45"/>
        <v>3</v>
      </c>
      <c r="CV120">
        <f t="shared" si="46"/>
        <v>18</v>
      </c>
      <c r="CW120" t="str">
        <f t="shared" si="47"/>
        <v>w_Cadmiumto_HiH</v>
      </c>
      <c r="CX120">
        <f t="shared" si="44"/>
        <v>15</v>
      </c>
      <c r="CY120" t="str">
        <f t="shared" si="48"/>
        <v>[kg/bbl] kg of Cadmium, total (as Cd) emissions to water per bbl of crude throughput - High Complexity Hydro Cracking</v>
      </c>
    </row>
    <row r="121" spans="99:103" x14ac:dyDescent="0.25">
      <c r="CU121">
        <f t="shared" si="45"/>
        <v>4</v>
      </c>
      <c r="CV121">
        <f t="shared" si="46"/>
        <v>18</v>
      </c>
      <c r="CW121" t="str">
        <f t="shared" si="47"/>
        <v>w_Cadmiumto_HiC</v>
      </c>
      <c r="CX121">
        <f t="shared" si="44"/>
        <v>15</v>
      </c>
      <c r="CY121" t="str">
        <f t="shared" si="48"/>
        <v>[kg/bbl] kg of Cadmium, total (as Cd) emissions to water per bbl of crude throughput - High Complexity Coking</v>
      </c>
    </row>
    <row r="122" spans="99:103" x14ac:dyDescent="0.25">
      <c r="CU122">
        <f t="shared" si="45"/>
        <v>5</v>
      </c>
      <c r="CV122">
        <f t="shared" si="46"/>
        <v>18</v>
      </c>
      <c r="CW122" t="str">
        <f t="shared" si="47"/>
        <v>w_Cadmiumto_HiB</v>
      </c>
      <c r="CX122">
        <f t="shared" si="44"/>
        <v>15</v>
      </c>
      <c r="CY122" t="str">
        <f t="shared" si="48"/>
        <v>[kg/bbl] kg of Cadmium, total (as Cd) emissions to water per bbl of crude throughput - High Complexity Hydro Cracking and Coking</v>
      </c>
    </row>
    <row r="123" spans="99:103" x14ac:dyDescent="0.25">
      <c r="CU123">
        <f t="shared" si="45"/>
        <v>6</v>
      </c>
      <c r="CV123">
        <f t="shared" si="46"/>
        <v>18</v>
      </c>
      <c r="CW123" t="str">
        <f t="shared" si="47"/>
        <v>w_Cadmiumto</v>
      </c>
      <c r="CX123">
        <f t="shared" si="44"/>
        <v>11</v>
      </c>
      <c r="CY123" t="str">
        <f t="shared" si="48"/>
        <v>[kg/bbl] kg of Cadmium, total (as Cd) emissions to water per bbl of crude throughput</v>
      </c>
    </row>
    <row r="124" spans="99:103" x14ac:dyDescent="0.25">
      <c r="CU124">
        <f t="shared" si="45"/>
        <v>1</v>
      </c>
      <c r="CV124">
        <f t="shared" si="46"/>
        <v>19</v>
      </c>
      <c r="CW124" t="str">
        <f t="shared" si="47"/>
        <v>w_CARBONDIS_L</v>
      </c>
      <c r="CX124">
        <f t="shared" si="44"/>
        <v>13</v>
      </c>
      <c r="CY124" t="str">
        <f t="shared" si="48"/>
        <v>[kg/bbl] kg of CARBON DISULFIDE emissions to water per bbl of crude throughput - Low Complexity</v>
      </c>
    </row>
    <row r="125" spans="99:103" x14ac:dyDescent="0.25">
      <c r="CU125">
        <f t="shared" si="45"/>
        <v>2</v>
      </c>
      <c r="CV125">
        <f t="shared" si="46"/>
        <v>19</v>
      </c>
      <c r="CW125" t="str">
        <f t="shared" si="47"/>
        <v>w_CARBONDIS_M</v>
      </c>
      <c r="CX125">
        <f t="shared" si="44"/>
        <v>13</v>
      </c>
      <c r="CY125" t="str">
        <f t="shared" si="48"/>
        <v>[kg/bbl] kg of CARBON DISULFIDE emissions to water per bbl of crude throughput - Med Complexity</v>
      </c>
    </row>
    <row r="126" spans="99:103" x14ac:dyDescent="0.25">
      <c r="CU126">
        <f t="shared" si="45"/>
        <v>3</v>
      </c>
      <c r="CV126">
        <f t="shared" si="46"/>
        <v>19</v>
      </c>
      <c r="CW126" t="str">
        <f t="shared" si="47"/>
        <v>w_CARBONDIS_HiH</v>
      </c>
      <c r="CX126">
        <f t="shared" si="44"/>
        <v>15</v>
      </c>
      <c r="CY126" t="str">
        <f t="shared" si="48"/>
        <v>[kg/bbl] kg of CARBON DISULFIDE emissions to water per bbl of crude throughput - High Complexity Hydro Cracking</v>
      </c>
    </row>
    <row r="127" spans="99:103" x14ac:dyDescent="0.25">
      <c r="CU127">
        <f t="shared" si="45"/>
        <v>4</v>
      </c>
      <c r="CV127">
        <f t="shared" si="46"/>
        <v>19</v>
      </c>
      <c r="CW127" t="str">
        <f t="shared" si="47"/>
        <v>w_CARBONDIS_HiC</v>
      </c>
      <c r="CX127">
        <f t="shared" si="44"/>
        <v>15</v>
      </c>
      <c r="CY127" t="str">
        <f t="shared" si="48"/>
        <v>[kg/bbl] kg of CARBON DISULFIDE emissions to water per bbl of crude throughput - High Complexity Coking</v>
      </c>
    </row>
    <row r="128" spans="99:103" x14ac:dyDescent="0.25">
      <c r="CU128">
        <f t="shared" si="45"/>
        <v>5</v>
      </c>
      <c r="CV128">
        <f t="shared" si="46"/>
        <v>19</v>
      </c>
      <c r="CW128" t="str">
        <f t="shared" si="47"/>
        <v>w_CARBONDIS_HiB</v>
      </c>
      <c r="CX128">
        <f t="shared" si="44"/>
        <v>15</v>
      </c>
      <c r="CY128" t="str">
        <f t="shared" si="48"/>
        <v>[kg/bbl] kg of CARBON DISULFIDE emissions to water per bbl of crude throughput - High Complexity Hydro Cracking and Coking</v>
      </c>
    </row>
    <row r="129" spans="99:103" x14ac:dyDescent="0.25">
      <c r="CU129">
        <f t="shared" si="45"/>
        <v>6</v>
      </c>
      <c r="CV129">
        <f t="shared" si="46"/>
        <v>19</v>
      </c>
      <c r="CW129" t="str">
        <f t="shared" si="47"/>
        <v>w_CARBONDIS</v>
      </c>
      <c r="CX129">
        <f t="shared" si="44"/>
        <v>11</v>
      </c>
      <c r="CY129" t="str">
        <f t="shared" si="48"/>
        <v>[kg/bbl] kg of CARBON DISULFIDE emissions to water per bbl of crude throughput</v>
      </c>
    </row>
    <row r="130" spans="99:103" x14ac:dyDescent="0.25">
      <c r="CU130">
        <f t="shared" si="45"/>
        <v>1</v>
      </c>
      <c r="CV130">
        <f t="shared" si="46"/>
        <v>20</v>
      </c>
      <c r="CW130" t="str">
        <f t="shared" si="47"/>
        <v>w_CARBONYLS_L</v>
      </c>
      <c r="CX130">
        <f t="shared" si="44"/>
        <v>13</v>
      </c>
      <c r="CY130" t="str">
        <f t="shared" si="48"/>
        <v>[kg/bbl] kg of CARBONYL SULFIDE emissions to water per bbl of crude throughput - Low Complexity</v>
      </c>
    </row>
    <row r="131" spans="99:103" x14ac:dyDescent="0.25">
      <c r="CU131">
        <f t="shared" si="45"/>
        <v>2</v>
      </c>
      <c r="CV131">
        <f t="shared" si="46"/>
        <v>20</v>
      </c>
      <c r="CW131" t="str">
        <f t="shared" si="47"/>
        <v>w_CARBONYLS_M</v>
      </c>
      <c r="CX131">
        <f t="shared" si="44"/>
        <v>13</v>
      </c>
      <c r="CY131" t="str">
        <f t="shared" si="48"/>
        <v>[kg/bbl] kg of CARBONYL SULFIDE emissions to water per bbl of crude throughput - Med Complexity</v>
      </c>
    </row>
    <row r="132" spans="99:103" x14ac:dyDescent="0.25">
      <c r="CU132">
        <f t="shared" si="45"/>
        <v>3</v>
      </c>
      <c r="CV132">
        <f t="shared" si="46"/>
        <v>20</v>
      </c>
      <c r="CW132" t="str">
        <f t="shared" si="47"/>
        <v>w_CARBONYLS_HiH</v>
      </c>
      <c r="CX132">
        <f t="shared" si="44"/>
        <v>15</v>
      </c>
      <c r="CY132" t="str">
        <f t="shared" si="48"/>
        <v>[kg/bbl] kg of CARBONYL SULFIDE emissions to water per bbl of crude throughput - High Complexity Hydro Cracking</v>
      </c>
    </row>
    <row r="133" spans="99:103" x14ac:dyDescent="0.25">
      <c r="CU133">
        <f t="shared" si="45"/>
        <v>4</v>
      </c>
      <c r="CV133">
        <f t="shared" si="46"/>
        <v>20</v>
      </c>
      <c r="CW133" t="str">
        <f t="shared" si="47"/>
        <v>w_CARBONYLS_HiC</v>
      </c>
      <c r="CX133">
        <f t="shared" si="44"/>
        <v>15</v>
      </c>
      <c r="CY133" t="str">
        <f t="shared" si="48"/>
        <v>[kg/bbl] kg of CARBONYL SULFIDE emissions to water per bbl of crude throughput - High Complexity Coking</v>
      </c>
    </row>
    <row r="134" spans="99:103" x14ac:dyDescent="0.25">
      <c r="CU134">
        <f t="shared" si="45"/>
        <v>5</v>
      </c>
      <c r="CV134">
        <f t="shared" si="46"/>
        <v>20</v>
      </c>
      <c r="CW134" t="str">
        <f t="shared" si="47"/>
        <v>w_CARBONYLS_HiB</v>
      </c>
      <c r="CX134">
        <f t="shared" si="44"/>
        <v>15</v>
      </c>
      <c r="CY134" t="str">
        <f t="shared" si="48"/>
        <v>[kg/bbl] kg of CARBONYL SULFIDE emissions to water per bbl of crude throughput - High Complexity Hydro Cracking and Coking</v>
      </c>
    </row>
    <row r="135" spans="99:103" x14ac:dyDescent="0.25">
      <c r="CU135">
        <f t="shared" si="45"/>
        <v>6</v>
      </c>
      <c r="CV135">
        <f t="shared" si="46"/>
        <v>20</v>
      </c>
      <c r="CW135" t="str">
        <f t="shared" si="47"/>
        <v>w_CARBONYLS</v>
      </c>
      <c r="CX135">
        <f t="shared" si="44"/>
        <v>11</v>
      </c>
      <c r="CY135" t="str">
        <f t="shared" si="48"/>
        <v>[kg/bbl] kg of CARBONYL SULFIDE emissions to water per bbl of crude throughput</v>
      </c>
    </row>
    <row r="136" spans="99:103" x14ac:dyDescent="0.25">
      <c r="CU136">
        <f t="shared" si="45"/>
        <v>1</v>
      </c>
      <c r="CV136">
        <f t="shared" si="46"/>
        <v>21</v>
      </c>
      <c r="CW136" t="str">
        <f t="shared" si="47"/>
        <v>w_CERTAINGL_L</v>
      </c>
      <c r="CX136">
        <f t="shared" si="44"/>
        <v>13</v>
      </c>
      <c r="CY136" t="str">
        <f t="shared" si="48"/>
        <v>[kg/bbl] kg of CERTAIN GLYCOL ETHERS emissions to water per bbl of crude throughput - Low Complexity</v>
      </c>
    </row>
    <row r="137" spans="99:103" x14ac:dyDescent="0.25">
      <c r="CU137">
        <f t="shared" si="45"/>
        <v>2</v>
      </c>
      <c r="CV137">
        <f t="shared" si="46"/>
        <v>21</v>
      </c>
      <c r="CW137" t="str">
        <f t="shared" si="47"/>
        <v>w_CERTAINGL_M</v>
      </c>
      <c r="CX137">
        <f t="shared" si="44"/>
        <v>13</v>
      </c>
      <c r="CY137" t="str">
        <f t="shared" si="48"/>
        <v>[kg/bbl] kg of CERTAIN GLYCOL ETHERS emissions to water per bbl of crude throughput - Med Complexity</v>
      </c>
    </row>
    <row r="138" spans="99:103" x14ac:dyDescent="0.25">
      <c r="CU138">
        <f t="shared" si="45"/>
        <v>3</v>
      </c>
      <c r="CV138">
        <f t="shared" si="46"/>
        <v>21</v>
      </c>
      <c r="CW138" t="str">
        <f t="shared" si="47"/>
        <v>w_CERTAINGL_HiH</v>
      </c>
      <c r="CX138">
        <f t="shared" si="44"/>
        <v>15</v>
      </c>
      <c r="CY138" t="str">
        <f t="shared" si="48"/>
        <v>[kg/bbl] kg of CERTAIN GLYCOL ETHERS emissions to water per bbl of crude throughput - High Complexity Hydro Cracking</v>
      </c>
    </row>
    <row r="139" spans="99:103" x14ac:dyDescent="0.25">
      <c r="CU139">
        <f t="shared" si="45"/>
        <v>4</v>
      </c>
      <c r="CV139">
        <f t="shared" si="46"/>
        <v>21</v>
      </c>
      <c r="CW139" t="str">
        <f t="shared" si="47"/>
        <v>w_CERTAINGL_HiC</v>
      </c>
      <c r="CX139">
        <f t="shared" si="44"/>
        <v>15</v>
      </c>
      <c r="CY139" t="str">
        <f t="shared" si="48"/>
        <v>[kg/bbl] kg of CERTAIN GLYCOL ETHERS emissions to water per bbl of crude throughput - High Complexity Coking</v>
      </c>
    </row>
    <row r="140" spans="99:103" x14ac:dyDescent="0.25">
      <c r="CU140">
        <f t="shared" si="45"/>
        <v>5</v>
      </c>
      <c r="CV140">
        <f t="shared" si="46"/>
        <v>21</v>
      </c>
      <c r="CW140" t="str">
        <f t="shared" si="47"/>
        <v>w_CERTAINGL_HiB</v>
      </c>
      <c r="CX140">
        <f t="shared" si="44"/>
        <v>15</v>
      </c>
      <c r="CY140" t="str">
        <f t="shared" si="48"/>
        <v>[kg/bbl] kg of CERTAIN GLYCOL ETHERS emissions to water per bbl of crude throughput - High Complexity Hydro Cracking and Coking</v>
      </c>
    </row>
    <row r="141" spans="99:103" x14ac:dyDescent="0.25">
      <c r="CU141">
        <f t="shared" si="45"/>
        <v>6</v>
      </c>
      <c r="CV141">
        <f t="shared" si="46"/>
        <v>21</v>
      </c>
      <c r="CW141" t="str">
        <f t="shared" si="47"/>
        <v>w_CERTAINGL</v>
      </c>
      <c r="CX141">
        <f t="shared" si="44"/>
        <v>11</v>
      </c>
      <c r="CY141" t="str">
        <f t="shared" si="48"/>
        <v>[kg/bbl] kg of CERTAIN GLYCOL ETHERS emissions to water per bbl of crude throughput</v>
      </c>
    </row>
    <row r="142" spans="99:103" x14ac:dyDescent="0.25">
      <c r="CU142">
        <f t="shared" si="45"/>
        <v>1</v>
      </c>
      <c r="CV142">
        <f t="shared" si="46"/>
        <v>22</v>
      </c>
      <c r="CW142" t="str">
        <f t="shared" si="47"/>
        <v>w_ChemicalO_L</v>
      </c>
      <c r="CX142">
        <f t="shared" ref="CX142:CX205" si="49">LEN(CW142)</f>
        <v>13</v>
      </c>
      <c r="CY142" t="str">
        <f t="shared" si="48"/>
        <v>[kg/bbl] kg of Chemical Oxygen Demand (COD) emissions to water per bbl of crude throughput - Low Complexity</v>
      </c>
    </row>
    <row r="143" spans="99:103" x14ac:dyDescent="0.25">
      <c r="CU143">
        <f t="shared" si="45"/>
        <v>2</v>
      </c>
      <c r="CV143">
        <f t="shared" si="46"/>
        <v>22</v>
      </c>
      <c r="CW143" t="str">
        <f t="shared" si="47"/>
        <v>w_ChemicalO_M</v>
      </c>
      <c r="CX143">
        <f t="shared" si="49"/>
        <v>13</v>
      </c>
      <c r="CY143" t="str">
        <f t="shared" si="48"/>
        <v>[kg/bbl] kg of Chemical Oxygen Demand (COD) emissions to water per bbl of crude throughput - Med Complexity</v>
      </c>
    </row>
    <row r="144" spans="99:103" x14ac:dyDescent="0.25">
      <c r="CU144">
        <f t="shared" si="45"/>
        <v>3</v>
      </c>
      <c r="CV144">
        <f t="shared" si="46"/>
        <v>22</v>
      </c>
      <c r="CW144" t="str">
        <f t="shared" si="47"/>
        <v>w_ChemicalO_HiH</v>
      </c>
      <c r="CX144">
        <f t="shared" si="49"/>
        <v>15</v>
      </c>
      <c r="CY144" t="str">
        <f t="shared" si="48"/>
        <v>[kg/bbl] kg of Chemical Oxygen Demand (COD) emissions to water per bbl of crude throughput - High Complexity Hydro Cracking</v>
      </c>
    </row>
    <row r="145" spans="99:103" x14ac:dyDescent="0.25">
      <c r="CU145">
        <f t="shared" ref="CU145:CU208" si="50">IF(MOD((ROW()-15),6)=0,6,MOD((ROW()-15),6))</f>
        <v>4</v>
      </c>
      <c r="CV145">
        <f t="shared" ref="CV145:CV208" si="51">IF(MOD(ROW()-15,6)=0,ROUNDDOWN((ROW()-15)/6,0),ROUNDDOWN((ROW()-15)/6,0)+1)</f>
        <v>22</v>
      </c>
      <c r="CW145" t="str">
        <f t="shared" ref="CW145:CW208" si="52">IF(CU145&lt;&gt;6,INDEX($CT$16:$CT$106,CV145)&amp;INDEX($CS$16:$CS$20,CU145),INDEX($CT$16:$CT$106,CV145))</f>
        <v>w_ChemicalO_HiC</v>
      </c>
      <c r="CX145">
        <f t="shared" si="49"/>
        <v>15</v>
      </c>
      <c r="CY145" t="str">
        <f t="shared" ref="CY145:CY208" si="53">"[kg/bbl] kg of "&amp;HLOOKUP(INDEX($CT$16:$CT$106,CV145),$E$16:$CQ$17,2,FALSE)&amp;" emissions to water per bbl of crude throughput"&amp;IF(CU145&lt;&gt;6,INDEX($DF$16:$DF$20,CU145),"")</f>
        <v>[kg/bbl] kg of Chemical Oxygen Demand (COD) emissions to water per bbl of crude throughput - High Complexity Coking</v>
      </c>
    </row>
    <row r="146" spans="99:103" x14ac:dyDescent="0.25">
      <c r="CU146">
        <f t="shared" si="50"/>
        <v>5</v>
      </c>
      <c r="CV146">
        <f t="shared" si="51"/>
        <v>22</v>
      </c>
      <c r="CW146" t="str">
        <f t="shared" si="52"/>
        <v>w_ChemicalO_HiB</v>
      </c>
      <c r="CX146">
        <f t="shared" si="49"/>
        <v>15</v>
      </c>
      <c r="CY146" t="str">
        <f t="shared" si="53"/>
        <v>[kg/bbl] kg of Chemical Oxygen Demand (COD) emissions to water per bbl of crude throughput - High Complexity Hydro Cracking and Coking</v>
      </c>
    </row>
    <row r="147" spans="99:103" x14ac:dyDescent="0.25">
      <c r="CU147">
        <f t="shared" si="50"/>
        <v>6</v>
      </c>
      <c r="CV147">
        <f t="shared" si="51"/>
        <v>22</v>
      </c>
      <c r="CW147" t="str">
        <f t="shared" si="52"/>
        <v>w_ChemicalO</v>
      </c>
      <c r="CX147">
        <f t="shared" si="49"/>
        <v>11</v>
      </c>
      <c r="CY147" t="str">
        <f t="shared" si="53"/>
        <v>[kg/bbl] kg of Chemical Oxygen Demand (COD) emissions to water per bbl of crude throughput</v>
      </c>
    </row>
    <row r="148" spans="99:103" x14ac:dyDescent="0.25">
      <c r="CU148">
        <f t="shared" si="50"/>
        <v>1</v>
      </c>
      <c r="CV148">
        <f t="shared" si="51"/>
        <v>23</v>
      </c>
      <c r="CW148" t="str">
        <f t="shared" si="52"/>
        <v>w_Chloridea_L</v>
      </c>
      <c r="CX148">
        <f t="shared" si="49"/>
        <v>13</v>
      </c>
      <c r="CY148" t="str">
        <f t="shared" si="53"/>
        <v>[kg/bbl] kg of Chloride (as Cl) emissions to water per bbl of crude throughput - Low Complexity</v>
      </c>
    </row>
    <row r="149" spans="99:103" x14ac:dyDescent="0.25">
      <c r="CU149">
        <f t="shared" si="50"/>
        <v>2</v>
      </c>
      <c r="CV149">
        <f t="shared" si="51"/>
        <v>23</v>
      </c>
      <c r="CW149" t="str">
        <f t="shared" si="52"/>
        <v>w_Chloridea_M</v>
      </c>
      <c r="CX149">
        <f t="shared" si="49"/>
        <v>13</v>
      </c>
      <c r="CY149" t="str">
        <f t="shared" si="53"/>
        <v>[kg/bbl] kg of Chloride (as Cl) emissions to water per bbl of crude throughput - Med Complexity</v>
      </c>
    </row>
    <row r="150" spans="99:103" x14ac:dyDescent="0.25">
      <c r="CU150">
        <f t="shared" si="50"/>
        <v>3</v>
      </c>
      <c r="CV150">
        <f t="shared" si="51"/>
        <v>23</v>
      </c>
      <c r="CW150" t="str">
        <f t="shared" si="52"/>
        <v>w_Chloridea_HiH</v>
      </c>
      <c r="CX150">
        <f t="shared" si="49"/>
        <v>15</v>
      </c>
      <c r="CY150" t="str">
        <f t="shared" si="53"/>
        <v>[kg/bbl] kg of Chloride (as Cl) emissions to water per bbl of crude throughput - High Complexity Hydro Cracking</v>
      </c>
    </row>
    <row r="151" spans="99:103" x14ac:dyDescent="0.25">
      <c r="CU151">
        <f t="shared" si="50"/>
        <v>4</v>
      </c>
      <c r="CV151">
        <f t="shared" si="51"/>
        <v>23</v>
      </c>
      <c r="CW151" t="str">
        <f t="shared" si="52"/>
        <v>w_Chloridea_HiC</v>
      </c>
      <c r="CX151">
        <f t="shared" si="49"/>
        <v>15</v>
      </c>
      <c r="CY151" t="str">
        <f t="shared" si="53"/>
        <v>[kg/bbl] kg of Chloride (as Cl) emissions to water per bbl of crude throughput - High Complexity Coking</v>
      </c>
    </row>
    <row r="152" spans="99:103" x14ac:dyDescent="0.25">
      <c r="CU152">
        <f t="shared" si="50"/>
        <v>5</v>
      </c>
      <c r="CV152">
        <f t="shared" si="51"/>
        <v>23</v>
      </c>
      <c r="CW152" t="str">
        <f t="shared" si="52"/>
        <v>w_Chloridea_HiB</v>
      </c>
      <c r="CX152">
        <f t="shared" si="49"/>
        <v>15</v>
      </c>
      <c r="CY152" t="str">
        <f t="shared" si="53"/>
        <v>[kg/bbl] kg of Chloride (as Cl) emissions to water per bbl of crude throughput - High Complexity Hydro Cracking and Coking</v>
      </c>
    </row>
    <row r="153" spans="99:103" x14ac:dyDescent="0.25">
      <c r="CU153">
        <f t="shared" si="50"/>
        <v>6</v>
      </c>
      <c r="CV153">
        <f t="shared" si="51"/>
        <v>23</v>
      </c>
      <c r="CW153" t="str">
        <f t="shared" si="52"/>
        <v>w_Chloridea</v>
      </c>
      <c r="CX153">
        <f t="shared" si="49"/>
        <v>11</v>
      </c>
      <c r="CY153" t="str">
        <f t="shared" si="53"/>
        <v>[kg/bbl] kg of Chloride (as Cl) emissions to water per bbl of crude throughput</v>
      </c>
    </row>
    <row r="154" spans="99:103" x14ac:dyDescent="0.25">
      <c r="CU154">
        <f t="shared" si="50"/>
        <v>1</v>
      </c>
      <c r="CV154">
        <f t="shared" si="51"/>
        <v>24</v>
      </c>
      <c r="CW154" t="str">
        <f t="shared" si="52"/>
        <v>w_CHLORINE_L</v>
      </c>
      <c r="CX154">
        <f t="shared" si="49"/>
        <v>12</v>
      </c>
      <c r="CY154" t="str">
        <f t="shared" si="53"/>
        <v>[kg/bbl] kg of CHLORINE emissions to water per bbl of crude throughput - Low Complexity</v>
      </c>
    </row>
    <row r="155" spans="99:103" x14ac:dyDescent="0.25">
      <c r="CU155">
        <f t="shared" si="50"/>
        <v>2</v>
      </c>
      <c r="CV155">
        <f t="shared" si="51"/>
        <v>24</v>
      </c>
      <c r="CW155" t="str">
        <f t="shared" si="52"/>
        <v>w_CHLORINE_M</v>
      </c>
      <c r="CX155">
        <f t="shared" si="49"/>
        <v>12</v>
      </c>
      <c r="CY155" t="str">
        <f t="shared" si="53"/>
        <v>[kg/bbl] kg of CHLORINE emissions to water per bbl of crude throughput - Med Complexity</v>
      </c>
    </row>
    <row r="156" spans="99:103" x14ac:dyDescent="0.25">
      <c r="CU156">
        <f t="shared" si="50"/>
        <v>3</v>
      </c>
      <c r="CV156">
        <f t="shared" si="51"/>
        <v>24</v>
      </c>
      <c r="CW156" t="str">
        <f t="shared" si="52"/>
        <v>w_CHLORINE_HiH</v>
      </c>
      <c r="CX156">
        <f t="shared" si="49"/>
        <v>14</v>
      </c>
      <c r="CY156" t="str">
        <f t="shared" si="53"/>
        <v>[kg/bbl] kg of CHLORINE emissions to water per bbl of crude throughput - High Complexity Hydro Cracking</v>
      </c>
    </row>
    <row r="157" spans="99:103" x14ac:dyDescent="0.25">
      <c r="CU157">
        <f t="shared" si="50"/>
        <v>4</v>
      </c>
      <c r="CV157">
        <f t="shared" si="51"/>
        <v>24</v>
      </c>
      <c r="CW157" t="str">
        <f t="shared" si="52"/>
        <v>w_CHLORINE_HiC</v>
      </c>
      <c r="CX157">
        <f t="shared" si="49"/>
        <v>14</v>
      </c>
      <c r="CY157" t="str">
        <f t="shared" si="53"/>
        <v>[kg/bbl] kg of CHLORINE emissions to water per bbl of crude throughput - High Complexity Coking</v>
      </c>
    </row>
    <row r="158" spans="99:103" x14ac:dyDescent="0.25">
      <c r="CU158">
        <f t="shared" si="50"/>
        <v>5</v>
      </c>
      <c r="CV158">
        <f t="shared" si="51"/>
        <v>24</v>
      </c>
      <c r="CW158" t="str">
        <f t="shared" si="52"/>
        <v>w_CHLORINE_HiB</v>
      </c>
      <c r="CX158">
        <f t="shared" si="49"/>
        <v>14</v>
      </c>
      <c r="CY158" t="str">
        <f t="shared" si="53"/>
        <v>[kg/bbl] kg of CHLORINE emissions to water per bbl of crude throughput - High Complexity Hydro Cracking and Coking</v>
      </c>
    </row>
    <row r="159" spans="99:103" x14ac:dyDescent="0.25">
      <c r="CU159">
        <f t="shared" si="50"/>
        <v>6</v>
      </c>
      <c r="CV159">
        <f t="shared" si="51"/>
        <v>24</v>
      </c>
      <c r="CW159" t="str">
        <f t="shared" si="52"/>
        <v>w_CHLORINE</v>
      </c>
      <c r="CX159">
        <f t="shared" si="49"/>
        <v>10</v>
      </c>
      <c r="CY159" t="str">
        <f t="shared" si="53"/>
        <v>[kg/bbl] kg of CHLORINE emissions to water per bbl of crude throughput</v>
      </c>
    </row>
    <row r="160" spans="99:103" x14ac:dyDescent="0.25">
      <c r="CU160">
        <f t="shared" si="50"/>
        <v>1</v>
      </c>
      <c r="CV160">
        <f t="shared" si="51"/>
        <v>25</v>
      </c>
      <c r="CW160" t="str">
        <f t="shared" si="52"/>
        <v>w_Chromiumh_L</v>
      </c>
      <c r="CX160">
        <f t="shared" si="49"/>
        <v>13</v>
      </c>
      <c r="CY160" t="str">
        <f t="shared" si="53"/>
        <v>[kg/bbl] kg of Chromium, hexavalent (as Cr) emissions to water per bbl of crude throughput - Low Complexity</v>
      </c>
    </row>
    <row r="161" spans="99:103" x14ac:dyDescent="0.25">
      <c r="CU161">
        <f t="shared" si="50"/>
        <v>2</v>
      </c>
      <c r="CV161">
        <f t="shared" si="51"/>
        <v>25</v>
      </c>
      <c r="CW161" t="str">
        <f t="shared" si="52"/>
        <v>w_Chromiumh_M</v>
      </c>
      <c r="CX161">
        <f t="shared" si="49"/>
        <v>13</v>
      </c>
      <c r="CY161" t="str">
        <f t="shared" si="53"/>
        <v>[kg/bbl] kg of Chromium, hexavalent (as Cr) emissions to water per bbl of crude throughput - Med Complexity</v>
      </c>
    </row>
    <row r="162" spans="99:103" x14ac:dyDescent="0.25">
      <c r="CU162">
        <f t="shared" si="50"/>
        <v>3</v>
      </c>
      <c r="CV162">
        <f t="shared" si="51"/>
        <v>25</v>
      </c>
      <c r="CW162" t="str">
        <f t="shared" si="52"/>
        <v>w_Chromiumh_HiH</v>
      </c>
      <c r="CX162">
        <f t="shared" si="49"/>
        <v>15</v>
      </c>
      <c r="CY162" t="str">
        <f t="shared" si="53"/>
        <v>[kg/bbl] kg of Chromium, hexavalent (as Cr) emissions to water per bbl of crude throughput - High Complexity Hydro Cracking</v>
      </c>
    </row>
    <row r="163" spans="99:103" x14ac:dyDescent="0.25">
      <c r="CU163">
        <f t="shared" si="50"/>
        <v>4</v>
      </c>
      <c r="CV163">
        <f t="shared" si="51"/>
        <v>25</v>
      </c>
      <c r="CW163" t="str">
        <f t="shared" si="52"/>
        <v>w_Chromiumh_HiC</v>
      </c>
      <c r="CX163">
        <f t="shared" si="49"/>
        <v>15</v>
      </c>
      <c r="CY163" t="str">
        <f t="shared" si="53"/>
        <v>[kg/bbl] kg of Chromium, hexavalent (as Cr) emissions to water per bbl of crude throughput - High Complexity Coking</v>
      </c>
    </row>
    <row r="164" spans="99:103" x14ac:dyDescent="0.25">
      <c r="CU164">
        <f t="shared" si="50"/>
        <v>5</v>
      </c>
      <c r="CV164">
        <f t="shared" si="51"/>
        <v>25</v>
      </c>
      <c r="CW164" t="str">
        <f t="shared" si="52"/>
        <v>w_Chromiumh_HiB</v>
      </c>
      <c r="CX164">
        <f t="shared" si="49"/>
        <v>15</v>
      </c>
      <c r="CY164" t="str">
        <f t="shared" si="53"/>
        <v>[kg/bbl] kg of Chromium, hexavalent (as Cr) emissions to water per bbl of crude throughput - High Complexity Hydro Cracking and Coking</v>
      </c>
    </row>
    <row r="165" spans="99:103" x14ac:dyDescent="0.25">
      <c r="CU165">
        <f t="shared" si="50"/>
        <v>6</v>
      </c>
      <c r="CV165">
        <f t="shared" si="51"/>
        <v>25</v>
      </c>
      <c r="CW165" t="str">
        <f t="shared" si="52"/>
        <v>w_Chromiumh</v>
      </c>
      <c r="CX165">
        <f t="shared" si="49"/>
        <v>11</v>
      </c>
      <c r="CY165" t="str">
        <f t="shared" si="53"/>
        <v>[kg/bbl] kg of Chromium, hexavalent (as Cr) emissions to water per bbl of crude throughput</v>
      </c>
    </row>
    <row r="166" spans="99:103" x14ac:dyDescent="0.25">
      <c r="CU166">
        <f t="shared" si="50"/>
        <v>1</v>
      </c>
      <c r="CV166">
        <f t="shared" si="51"/>
        <v>26</v>
      </c>
      <c r="CW166" t="str">
        <f t="shared" si="52"/>
        <v>w_Chrysene_L</v>
      </c>
      <c r="CX166">
        <f t="shared" si="49"/>
        <v>12</v>
      </c>
      <c r="CY166" t="str">
        <f t="shared" si="53"/>
        <v>[kg/bbl] kg of Chrysene emissions to water per bbl of crude throughput - Low Complexity</v>
      </c>
    </row>
    <row r="167" spans="99:103" x14ac:dyDescent="0.25">
      <c r="CU167">
        <f t="shared" si="50"/>
        <v>2</v>
      </c>
      <c r="CV167">
        <f t="shared" si="51"/>
        <v>26</v>
      </c>
      <c r="CW167" t="str">
        <f t="shared" si="52"/>
        <v>w_Chrysene_M</v>
      </c>
      <c r="CX167">
        <f t="shared" si="49"/>
        <v>12</v>
      </c>
      <c r="CY167" t="str">
        <f t="shared" si="53"/>
        <v>[kg/bbl] kg of Chrysene emissions to water per bbl of crude throughput - Med Complexity</v>
      </c>
    </row>
    <row r="168" spans="99:103" x14ac:dyDescent="0.25">
      <c r="CU168">
        <f t="shared" si="50"/>
        <v>3</v>
      </c>
      <c r="CV168">
        <f t="shared" si="51"/>
        <v>26</v>
      </c>
      <c r="CW168" t="str">
        <f t="shared" si="52"/>
        <v>w_Chrysene_HiH</v>
      </c>
      <c r="CX168">
        <f t="shared" si="49"/>
        <v>14</v>
      </c>
      <c r="CY168" t="str">
        <f t="shared" si="53"/>
        <v>[kg/bbl] kg of Chrysene emissions to water per bbl of crude throughput - High Complexity Hydro Cracking</v>
      </c>
    </row>
    <row r="169" spans="99:103" x14ac:dyDescent="0.25">
      <c r="CU169">
        <f t="shared" si="50"/>
        <v>4</v>
      </c>
      <c r="CV169">
        <f t="shared" si="51"/>
        <v>26</v>
      </c>
      <c r="CW169" t="str">
        <f t="shared" si="52"/>
        <v>w_Chrysene_HiC</v>
      </c>
      <c r="CX169">
        <f t="shared" si="49"/>
        <v>14</v>
      </c>
      <c r="CY169" t="str">
        <f t="shared" si="53"/>
        <v>[kg/bbl] kg of Chrysene emissions to water per bbl of crude throughput - High Complexity Coking</v>
      </c>
    </row>
    <row r="170" spans="99:103" x14ac:dyDescent="0.25">
      <c r="CU170">
        <f t="shared" si="50"/>
        <v>5</v>
      </c>
      <c r="CV170">
        <f t="shared" si="51"/>
        <v>26</v>
      </c>
      <c r="CW170" t="str">
        <f t="shared" si="52"/>
        <v>w_Chrysene_HiB</v>
      </c>
      <c r="CX170">
        <f t="shared" si="49"/>
        <v>14</v>
      </c>
      <c r="CY170" t="str">
        <f t="shared" si="53"/>
        <v>[kg/bbl] kg of Chrysene emissions to water per bbl of crude throughput - High Complexity Hydro Cracking and Coking</v>
      </c>
    </row>
    <row r="171" spans="99:103" x14ac:dyDescent="0.25">
      <c r="CU171">
        <f t="shared" si="50"/>
        <v>6</v>
      </c>
      <c r="CV171">
        <f t="shared" si="51"/>
        <v>26</v>
      </c>
      <c r="CW171" t="str">
        <f t="shared" si="52"/>
        <v>w_Chrysene</v>
      </c>
      <c r="CX171">
        <f t="shared" si="49"/>
        <v>10</v>
      </c>
      <c r="CY171" t="str">
        <f t="shared" si="53"/>
        <v>[kg/bbl] kg of Chrysene emissions to water per bbl of crude throughput</v>
      </c>
    </row>
    <row r="172" spans="99:103" x14ac:dyDescent="0.25">
      <c r="CU172">
        <f t="shared" si="50"/>
        <v>1</v>
      </c>
      <c r="CV172">
        <f t="shared" si="51"/>
        <v>27</v>
      </c>
      <c r="CW172" t="str">
        <f t="shared" si="52"/>
        <v>w_Coppertot_L</v>
      </c>
      <c r="CX172">
        <f t="shared" si="49"/>
        <v>13</v>
      </c>
      <c r="CY172" t="str">
        <f t="shared" si="53"/>
        <v>[kg/bbl] kg of Copper, total (as Cu) emissions to water per bbl of crude throughput - Low Complexity</v>
      </c>
    </row>
    <row r="173" spans="99:103" x14ac:dyDescent="0.25">
      <c r="CU173">
        <f t="shared" si="50"/>
        <v>2</v>
      </c>
      <c r="CV173">
        <f t="shared" si="51"/>
        <v>27</v>
      </c>
      <c r="CW173" t="str">
        <f t="shared" si="52"/>
        <v>w_Coppertot_M</v>
      </c>
      <c r="CX173">
        <f t="shared" si="49"/>
        <v>13</v>
      </c>
      <c r="CY173" t="str">
        <f t="shared" si="53"/>
        <v>[kg/bbl] kg of Copper, total (as Cu) emissions to water per bbl of crude throughput - Med Complexity</v>
      </c>
    </row>
    <row r="174" spans="99:103" x14ac:dyDescent="0.25">
      <c r="CU174">
        <f t="shared" si="50"/>
        <v>3</v>
      </c>
      <c r="CV174">
        <f t="shared" si="51"/>
        <v>27</v>
      </c>
      <c r="CW174" t="str">
        <f t="shared" si="52"/>
        <v>w_Coppertot_HiH</v>
      </c>
      <c r="CX174">
        <f t="shared" si="49"/>
        <v>15</v>
      </c>
      <c r="CY174" t="str">
        <f t="shared" si="53"/>
        <v>[kg/bbl] kg of Copper, total (as Cu) emissions to water per bbl of crude throughput - High Complexity Hydro Cracking</v>
      </c>
    </row>
    <row r="175" spans="99:103" x14ac:dyDescent="0.25">
      <c r="CU175">
        <f t="shared" si="50"/>
        <v>4</v>
      </c>
      <c r="CV175">
        <f t="shared" si="51"/>
        <v>27</v>
      </c>
      <c r="CW175" t="str">
        <f t="shared" si="52"/>
        <v>w_Coppertot_HiC</v>
      </c>
      <c r="CX175">
        <f t="shared" si="49"/>
        <v>15</v>
      </c>
      <c r="CY175" t="str">
        <f t="shared" si="53"/>
        <v>[kg/bbl] kg of Copper, total (as Cu) emissions to water per bbl of crude throughput - High Complexity Coking</v>
      </c>
    </row>
    <row r="176" spans="99:103" x14ac:dyDescent="0.25">
      <c r="CU176">
        <f t="shared" si="50"/>
        <v>5</v>
      </c>
      <c r="CV176">
        <f t="shared" si="51"/>
        <v>27</v>
      </c>
      <c r="CW176" t="str">
        <f t="shared" si="52"/>
        <v>w_Coppertot_HiB</v>
      </c>
      <c r="CX176">
        <f t="shared" si="49"/>
        <v>15</v>
      </c>
      <c r="CY176" t="str">
        <f t="shared" si="53"/>
        <v>[kg/bbl] kg of Copper, total (as Cu) emissions to water per bbl of crude throughput - High Complexity Hydro Cracking and Coking</v>
      </c>
    </row>
    <row r="177" spans="99:103" x14ac:dyDescent="0.25">
      <c r="CU177">
        <f t="shared" si="50"/>
        <v>6</v>
      </c>
      <c r="CV177">
        <f t="shared" si="51"/>
        <v>27</v>
      </c>
      <c r="CW177" t="str">
        <f t="shared" si="52"/>
        <v>w_Coppertot</v>
      </c>
      <c r="CX177">
        <f t="shared" si="49"/>
        <v>11</v>
      </c>
      <c r="CY177" t="str">
        <f t="shared" si="53"/>
        <v>[kg/bbl] kg of Copper, total (as Cu) emissions to water per bbl of crude throughput</v>
      </c>
    </row>
    <row r="178" spans="99:103" x14ac:dyDescent="0.25">
      <c r="CU178">
        <f t="shared" si="50"/>
        <v>1</v>
      </c>
      <c r="CV178">
        <f t="shared" si="51"/>
        <v>28</v>
      </c>
      <c r="CW178" t="str">
        <f t="shared" si="52"/>
        <v>w_CRESOLS_L</v>
      </c>
      <c r="CX178">
        <f t="shared" si="49"/>
        <v>11</v>
      </c>
      <c r="CY178" t="str">
        <f t="shared" si="53"/>
        <v>[kg/bbl] kg of CRESOL(S) emissions to water per bbl of crude throughput - Low Complexity</v>
      </c>
    </row>
    <row r="179" spans="99:103" x14ac:dyDescent="0.25">
      <c r="CU179">
        <f t="shared" si="50"/>
        <v>2</v>
      </c>
      <c r="CV179">
        <f t="shared" si="51"/>
        <v>28</v>
      </c>
      <c r="CW179" t="str">
        <f t="shared" si="52"/>
        <v>w_CRESOLS_M</v>
      </c>
      <c r="CX179">
        <f t="shared" si="49"/>
        <v>11</v>
      </c>
      <c r="CY179" t="str">
        <f t="shared" si="53"/>
        <v>[kg/bbl] kg of CRESOL(S) emissions to water per bbl of crude throughput - Med Complexity</v>
      </c>
    </row>
    <row r="180" spans="99:103" x14ac:dyDescent="0.25">
      <c r="CU180">
        <f t="shared" si="50"/>
        <v>3</v>
      </c>
      <c r="CV180">
        <f t="shared" si="51"/>
        <v>28</v>
      </c>
      <c r="CW180" t="str">
        <f t="shared" si="52"/>
        <v>w_CRESOLS_HiH</v>
      </c>
      <c r="CX180">
        <f t="shared" si="49"/>
        <v>13</v>
      </c>
      <c r="CY180" t="str">
        <f t="shared" si="53"/>
        <v>[kg/bbl] kg of CRESOL(S) emissions to water per bbl of crude throughput - High Complexity Hydro Cracking</v>
      </c>
    </row>
    <row r="181" spans="99:103" x14ac:dyDescent="0.25">
      <c r="CU181">
        <f t="shared" si="50"/>
        <v>4</v>
      </c>
      <c r="CV181">
        <f t="shared" si="51"/>
        <v>28</v>
      </c>
      <c r="CW181" t="str">
        <f t="shared" si="52"/>
        <v>w_CRESOLS_HiC</v>
      </c>
      <c r="CX181">
        <f t="shared" si="49"/>
        <v>13</v>
      </c>
      <c r="CY181" t="str">
        <f t="shared" si="53"/>
        <v>[kg/bbl] kg of CRESOL(S) emissions to water per bbl of crude throughput - High Complexity Coking</v>
      </c>
    </row>
    <row r="182" spans="99:103" x14ac:dyDescent="0.25">
      <c r="CU182">
        <f t="shared" si="50"/>
        <v>5</v>
      </c>
      <c r="CV182">
        <f t="shared" si="51"/>
        <v>28</v>
      </c>
      <c r="CW182" t="str">
        <f t="shared" si="52"/>
        <v>w_CRESOLS_HiB</v>
      </c>
      <c r="CX182">
        <f t="shared" si="49"/>
        <v>13</v>
      </c>
      <c r="CY182" t="str">
        <f t="shared" si="53"/>
        <v>[kg/bbl] kg of CRESOL(S) emissions to water per bbl of crude throughput - High Complexity Hydro Cracking and Coking</v>
      </c>
    </row>
    <row r="183" spans="99:103" x14ac:dyDescent="0.25">
      <c r="CU183">
        <f t="shared" si="50"/>
        <v>6</v>
      </c>
      <c r="CV183">
        <f t="shared" si="51"/>
        <v>28</v>
      </c>
      <c r="CW183" t="str">
        <f t="shared" si="52"/>
        <v>w_CRESOLS</v>
      </c>
      <c r="CX183">
        <f t="shared" si="49"/>
        <v>9</v>
      </c>
      <c r="CY183" t="str">
        <f t="shared" si="53"/>
        <v>[kg/bbl] kg of CRESOL(S) emissions to water per bbl of crude throughput</v>
      </c>
    </row>
    <row r="184" spans="99:103" x14ac:dyDescent="0.25">
      <c r="CU184">
        <f t="shared" si="50"/>
        <v>1</v>
      </c>
      <c r="CV184">
        <f t="shared" si="51"/>
        <v>29</v>
      </c>
      <c r="CW184" t="str">
        <f t="shared" si="52"/>
        <v>w_Cyanideto_L</v>
      </c>
      <c r="CX184">
        <f t="shared" si="49"/>
        <v>13</v>
      </c>
      <c r="CY184" t="str">
        <f t="shared" si="53"/>
        <v>[kg/bbl] kg of Cyanide, total (as CN) emissions to water per bbl of crude throughput - Low Complexity</v>
      </c>
    </row>
    <row r="185" spans="99:103" x14ac:dyDescent="0.25">
      <c r="CU185">
        <f t="shared" si="50"/>
        <v>2</v>
      </c>
      <c r="CV185">
        <f t="shared" si="51"/>
        <v>29</v>
      </c>
      <c r="CW185" t="str">
        <f t="shared" si="52"/>
        <v>w_Cyanideto_M</v>
      </c>
      <c r="CX185">
        <f t="shared" si="49"/>
        <v>13</v>
      </c>
      <c r="CY185" t="str">
        <f t="shared" si="53"/>
        <v>[kg/bbl] kg of Cyanide, total (as CN) emissions to water per bbl of crude throughput - Med Complexity</v>
      </c>
    </row>
    <row r="186" spans="99:103" x14ac:dyDescent="0.25">
      <c r="CU186">
        <f t="shared" si="50"/>
        <v>3</v>
      </c>
      <c r="CV186">
        <f t="shared" si="51"/>
        <v>29</v>
      </c>
      <c r="CW186" t="str">
        <f t="shared" si="52"/>
        <v>w_Cyanideto_HiH</v>
      </c>
      <c r="CX186">
        <f t="shared" si="49"/>
        <v>15</v>
      </c>
      <c r="CY186" t="str">
        <f t="shared" si="53"/>
        <v>[kg/bbl] kg of Cyanide, total (as CN) emissions to water per bbl of crude throughput - High Complexity Hydro Cracking</v>
      </c>
    </row>
    <row r="187" spans="99:103" x14ac:dyDescent="0.25">
      <c r="CU187">
        <f t="shared" si="50"/>
        <v>4</v>
      </c>
      <c r="CV187">
        <f t="shared" si="51"/>
        <v>29</v>
      </c>
      <c r="CW187" t="str">
        <f t="shared" si="52"/>
        <v>w_Cyanideto_HiC</v>
      </c>
      <c r="CX187">
        <f t="shared" si="49"/>
        <v>15</v>
      </c>
      <c r="CY187" t="str">
        <f t="shared" si="53"/>
        <v>[kg/bbl] kg of Cyanide, total (as CN) emissions to water per bbl of crude throughput - High Complexity Coking</v>
      </c>
    </row>
    <row r="188" spans="99:103" x14ac:dyDescent="0.25">
      <c r="CU188">
        <f t="shared" si="50"/>
        <v>5</v>
      </c>
      <c r="CV188">
        <f t="shared" si="51"/>
        <v>29</v>
      </c>
      <c r="CW188" t="str">
        <f t="shared" si="52"/>
        <v>w_Cyanideto_HiB</v>
      </c>
      <c r="CX188">
        <f t="shared" si="49"/>
        <v>15</v>
      </c>
      <c r="CY188" t="str">
        <f t="shared" si="53"/>
        <v>[kg/bbl] kg of Cyanide, total (as CN) emissions to water per bbl of crude throughput - High Complexity Hydro Cracking and Coking</v>
      </c>
    </row>
    <row r="189" spans="99:103" x14ac:dyDescent="0.25">
      <c r="CU189">
        <f t="shared" si="50"/>
        <v>6</v>
      </c>
      <c r="CV189">
        <f t="shared" si="51"/>
        <v>29</v>
      </c>
      <c r="CW189" t="str">
        <f t="shared" si="52"/>
        <v>w_Cyanideto</v>
      </c>
      <c r="CX189">
        <f t="shared" si="49"/>
        <v>11</v>
      </c>
      <c r="CY189" t="str">
        <f t="shared" si="53"/>
        <v>[kg/bbl] kg of Cyanide, total (as CN) emissions to water per bbl of crude throughput</v>
      </c>
    </row>
    <row r="190" spans="99:103" x14ac:dyDescent="0.25">
      <c r="CU190">
        <f t="shared" si="50"/>
        <v>1</v>
      </c>
      <c r="CV190">
        <f t="shared" si="51"/>
        <v>30</v>
      </c>
      <c r="CW190" t="str">
        <f t="shared" si="52"/>
        <v>w_CYCLOHEXA_L</v>
      </c>
      <c r="CX190">
        <f t="shared" si="49"/>
        <v>13</v>
      </c>
      <c r="CY190" t="str">
        <f t="shared" si="53"/>
        <v>[kg/bbl] kg of CYCLOHEXANE emissions to water per bbl of crude throughput - Low Complexity</v>
      </c>
    </row>
    <row r="191" spans="99:103" x14ac:dyDescent="0.25">
      <c r="CU191">
        <f t="shared" si="50"/>
        <v>2</v>
      </c>
      <c r="CV191">
        <f t="shared" si="51"/>
        <v>30</v>
      </c>
      <c r="CW191" t="str">
        <f t="shared" si="52"/>
        <v>w_CYCLOHEXA_M</v>
      </c>
      <c r="CX191">
        <f t="shared" si="49"/>
        <v>13</v>
      </c>
      <c r="CY191" t="str">
        <f t="shared" si="53"/>
        <v>[kg/bbl] kg of CYCLOHEXANE emissions to water per bbl of crude throughput - Med Complexity</v>
      </c>
    </row>
    <row r="192" spans="99:103" x14ac:dyDescent="0.25">
      <c r="CU192">
        <f t="shared" si="50"/>
        <v>3</v>
      </c>
      <c r="CV192">
        <f t="shared" si="51"/>
        <v>30</v>
      </c>
      <c r="CW192" t="str">
        <f t="shared" si="52"/>
        <v>w_CYCLOHEXA_HiH</v>
      </c>
      <c r="CX192">
        <f t="shared" si="49"/>
        <v>15</v>
      </c>
      <c r="CY192" t="str">
        <f t="shared" si="53"/>
        <v>[kg/bbl] kg of CYCLOHEXANE emissions to water per bbl of crude throughput - High Complexity Hydro Cracking</v>
      </c>
    </row>
    <row r="193" spans="99:103" x14ac:dyDescent="0.25">
      <c r="CU193">
        <f t="shared" si="50"/>
        <v>4</v>
      </c>
      <c r="CV193">
        <f t="shared" si="51"/>
        <v>30</v>
      </c>
      <c r="CW193" t="str">
        <f t="shared" si="52"/>
        <v>w_CYCLOHEXA_HiC</v>
      </c>
      <c r="CX193">
        <f t="shared" si="49"/>
        <v>15</v>
      </c>
      <c r="CY193" t="str">
        <f t="shared" si="53"/>
        <v>[kg/bbl] kg of CYCLOHEXANE emissions to water per bbl of crude throughput - High Complexity Coking</v>
      </c>
    </row>
    <row r="194" spans="99:103" x14ac:dyDescent="0.25">
      <c r="CU194">
        <f t="shared" si="50"/>
        <v>5</v>
      </c>
      <c r="CV194">
        <f t="shared" si="51"/>
        <v>30</v>
      </c>
      <c r="CW194" t="str">
        <f t="shared" si="52"/>
        <v>w_CYCLOHEXA_HiB</v>
      </c>
      <c r="CX194">
        <f t="shared" si="49"/>
        <v>15</v>
      </c>
      <c r="CY194" t="str">
        <f t="shared" si="53"/>
        <v>[kg/bbl] kg of CYCLOHEXANE emissions to water per bbl of crude throughput - High Complexity Hydro Cracking and Coking</v>
      </c>
    </row>
    <row r="195" spans="99:103" x14ac:dyDescent="0.25">
      <c r="CU195">
        <f t="shared" si="50"/>
        <v>6</v>
      </c>
      <c r="CV195">
        <f t="shared" si="51"/>
        <v>30</v>
      </c>
      <c r="CW195" t="str">
        <f t="shared" si="52"/>
        <v>w_CYCLOHEXA</v>
      </c>
      <c r="CX195">
        <f t="shared" si="49"/>
        <v>11</v>
      </c>
      <c r="CY195" t="str">
        <f t="shared" si="53"/>
        <v>[kg/bbl] kg of CYCLOHEXANE emissions to water per bbl of crude throughput</v>
      </c>
    </row>
    <row r="196" spans="99:103" x14ac:dyDescent="0.25">
      <c r="CU196">
        <f t="shared" si="50"/>
        <v>1</v>
      </c>
      <c r="CV196">
        <f t="shared" si="51"/>
        <v>31</v>
      </c>
      <c r="CW196" t="str">
        <f t="shared" si="52"/>
        <v>w_DIBENZAHA_L</v>
      </c>
      <c r="CX196">
        <f t="shared" si="49"/>
        <v>13</v>
      </c>
      <c r="CY196" t="str">
        <f t="shared" si="53"/>
        <v>[kg/bbl] kg of DIBENZ(A,H)ANTHRACENE emissions to water per bbl of crude throughput - Low Complexity</v>
      </c>
    </row>
    <row r="197" spans="99:103" x14ac:dyDescent="0.25">
      <c r="CU197">
        <f t="shared" si="50"/>
        <v>2</v>
      </c>
      <c r="CV197">
        <f t="shared" si="51"/>
        <v>31</v>
      </c>
      <c r="CW197" t="str">
        <f t="shared" si="52"/>
        <v>w_DIBENZAHA_M</v>
      </c>
      <c r="CX197">
        <f t="shared" si="49"/>
        <v>13</v>
      </c>
      <c r="CY197" t="str">
        <f t="shared" si="53"/>
        <v>[kg/bbl] kg of DIBENZ(A,H)ANTHRACENE emissions to water per bbl of crude throughput - Med Complexity</v>
      </c>
    </row>
    <row r="198" spans="99:103" x14ac:dyDescent="0.25">
      <c r="CU198">
        <f t="shared" si="50"/>
        <v>3</v>
      </c>
      <c r="CV198">
        <f t="shared" si="51"/>
        <v>31</v>
      </c>
      <c r="CW198" t="str">
        <f t="shared" si="52"/>
        <v>w_DIBENZAHA_HiH</v>
      </c>
      <c r="CX198">
        <f t="shared" si="49"/>
        <v>15</v>
      </c>
      <c r="CY198" t="str">
        <f t="shared" si="53"/>
        <v>[kg/bbl] kg of DIBENZ(A,H)ANTHRACENE emissions to water per bbl of crude throughput - High Complexity Hydro Cracking</v>
      </c>
    </row>
    <row r="199" spans="99:103" x14ac:dyDescent="0.25">
      <c r="CU199">
        <f t="shared" si="50"/>
        <v>4</v>
      </c>
      <c r="CV199">
        <f t="shared" si="51"/>
        <v>31</v>
      </c>
      <c r="CW199" t="str">
        <f t="shared" si="52"/>
        <v>w_DIBENZAHA_HiC</v>
      </c>
      <c r="CX199">
        <f t="shared" si="49"/>
        <v>15</v>
      </c>
      <c r="CY199" t="str">
        <f t="shared" si="53"/>
        <v>[kg/bbl] kg of DIBENZ(A,H)ANTHRACENE emissions to water per bbl of crude throughput - High Complexity Coking</v>
      </c>
    </row>
    <row r="200" spans="99:103" x14ac:dyDescent="0.25">
      <c r="CU200">
        <f t="shared" si="50"/>
        <v>5</v>
      </c>
      <c r="CV200">
        <f t="shared" si="51"/>
        <v>31</v>
      </c>
      <c r="CW200" t="str">
        <f t="shared" si="52"/>
        <v>w_DIBENZAHA_HiB</v>
      </c>
      <c r="CX200">
        <f t="shared" si="49"/>
        <v>15</v>
      </c>
      <c r="CY200" t="str">
        <f t="shared" si="53"/>
        <v>[kg/bbl] kg of DIBENZ(A,H)ANTHRACENE emissions to water per bbl of crude throughput - High Complexity Hydro Cracking and Coking</v>
      </c>
    </row>
    <row r="201" spans="99:103" x14ac:dyDescent="0.25">
      <c r="CU201">
        <f t="shared" si="50"/>
        <v>6</v>
      </c>
      <c r="CV201">
        <f t="shared" si="51"/>
        <v>31</v>
      </c>
      <c r="CW201" t="str">
        <f t="shared" si="52"/>
        <v>w_DIBENZAHA</v>
      </c>
      <c r="CX201">
        <f t="shared" si="49"/>
        <v>11</v>
      </c>
      <c r="CY201" t="str">
        <f t="shared" si="53"/>
        <v>[kg/bbl] kg of DIBENZ(A,H)ANTHRACENE emissions to water per bbl of crude throughput</v>
      </c>
    </row>
    <row r="202" spans="99:103" x14ac:dyDescent="0.25">
      <c r="CU202">
        <f t="shared" si="50"/>
        <v>1</v>
      </c>
      <c r="CV202">
        <f t="shared" si="51"/>
        <v>32</v>
      </c>
      <c r="CW202" t="str">
        <f t="shared" si="52"/>
        <v>w_DICYCLOPE_L</v>
      </c>
      <c r="CX202">
        <f t="shared" si="49"/>
        <v>13</v>
      </c>
      <c r="CY202" t="str">
        <f t="shared" si="53"/>
        <v>[kg/bbl] kg of DICYCLOPENTADIENE emissions to water per bbl of crude throughput - Low Complexity</v>
      </c>
    </row>
    <row r="203" spans="99:103" x14ac:dyDescent="0.25">
      <c r="CU203">
        <f t="shared" si="50"/>
        <v>2</v>
      </c>
      <c r="CV203">
        <f t="shared" si="51"/>
        <v>32</v>
      </c>
      <c r="CW203" t="str">
        <f t="shared" si="52"/>
        <v>w_DICYCLOPE_M</v>
      </c>
      <c r="CX203">
        <f t="shared" si="49"/>
        <v>13</v>
      </c>
      <c r="CY203" t="str">
        <f t="shared" si="53"/>
        <v>[kg/bbl] kg of DICYCLOPENTADIENE emissions to water per bbl of crude throughput - Med Complexity</v>
      </c>
    </row>
    <row r="204" spans="99:103" x14ac:dyDescent="0.25">
      <c r="CU204">
        <f t="shared" si="50"/>
        <v>3</v>
      </c>
      <c r="CV204">
        <f t="shared" si="51"/>
        <v>32</v>
      </c>
      <c r="CW204" t="str">
        <f t="shared" si="52"/>
        <v>w_DICYCLOPE_HiH</v>
      </c>
      <c r="CX204">
        <f t="shared" si="49"/>
        <v>15</v>
      </c>
      <c r="CY204" t="str">
        <f t="shared" si="53"/>
        <v>[kg/bbl] kg of DICYCLOPENTADIENE emissions to water per bbl of crude throughput - High Complexity Hydro Cracking</v>
      </c>
    </row>
    <row r="205" spans="99:103" x14ac:dyDescent="0.25">
      <c r="CU205">
        <f t="shared" si="50"/>
        <v>4</v>
      </c>
      <c r="CV205">
        <f t="shared" si="51"/>
        <v>32</v>
      </c>
      <c r="CW205" t="str">
        <f t="shared" si="52"/>
        <v>w_DICYCLOPE_HiC</v>
      </c>
      <c r="CX205">
        <f t="shared" si="49"/>
        <v>15</v>
      </c>
      <c r="CY205" t="str">
        <f t="shared" si="53"/>
        <v>[kg/bbl] kg of DICYCLOPENTADIENE emissions to water per bbl of crude throughput - High Complexity Coking</v>
      </c>
    </row>
    <row r="206" spans="99:103" x14ac:dyDescent="0.25">
      <c r="CU206">
        <f t="shared" si="50"/>
        <v>5</v>
      </c>
      <c r="CV206">
        <f t="shared" si="51"/>
        <v>32</v>
      </c>
      <c r="CW206" t="str">
        <f t="shared" si="52"/>
        <v>w_DICYCLOPE_HiB</v>
      </c>
      <c r="CX206">
        <f t="shared" ref="CX206:CX269" si="54">LEN(CW206)</f>
        <v>15</v>
      </c>
      <c r="CY206" t="str">
        <f t="shared" si="53"/>
        <v>[kg/bbl] kg of DICYCLOPENTADIENE emissions to water per bbl of crude throughput - High Complexity Hydro Cracking and Coking</v>
      </c>
    </row>
    <row r="207" spans="99:103" x14ac:dyDescent="0.25">
      <c r="CU207">
        <f t="shared" si="50"/>
        <v>6</v>
      </c>
      <c r="CV207">
        <f t="shared" si="51"/>
        <v>32</v>
      </c>
      <c r="CW207" t="str">
        <f t="shared" si="52"/>
        <v>w_DICYCLOPE</v>
      </c>
      <c r="CX207">
        <f t="shared" si="54"/>
        <v>11</v>
      </c>
      <c r="CY207" t="str">
        <f t="shared" si="53"/>
        <v>[kg/bbl] kg of DICYCLOPENTADIENE emissions to water per bbl of crude throughput</v>
      </c>
    </row>
    <row r="208" spans="99:103" x14ac:dyDescent="0.25">
      <c r="CU208">
        <f t="shared" si="50"/>
        <v>1</v>
      </c>
      <c r="CV208">
        <f t="shared" si="51"/>
        <v>33</v>
      </c>
      <c r="CW208" t="str">
        <f t="shared" si="52"/>
        <v>w_DIETHANOL_L</v>
      </c>
      <c r="CX208">
        <f t="shared" si="54"/>
        <v>13</v>
      </c>
      <c r="CY208" t="str">
        <f t="shared" si="53"/>
        <v>[kg/bbl] kg of DIETHANOLAMINE emissions to water per bbl of crude throughput - Low Complexity</v>
      </c>
    </row>
    <row r="209" spans="99:103" x14ac:dyDescent="0.25">
      <c r="CU209">
        <f t="shared" ref="CU209:CU272" si="55">IF(MOD((ROW()-15),6)=0,6,MOD((ROW()-15),6))</f>
        <v>2</v>
      </c>
      <c r="CV209">
        <f t="shared" ref="CV209:CV272" si="56">IF(MOD(ROW()-15,6)=0,ROUNDDOWN((ROW()-15)/6,0),ROUNDDOWN((ROW()-15)/6,0)+1)</f>
        <v>33</v>
      </c>
      <c r="CW209" t="str">
        <f t="shared" ref="CW209:CW272" si="57">IF(CU209&lt;&gt;6,INDEX($CT$16:$CT$106,CV209)&amp;INDEX($CS$16:$CS$20,CU209),INDEX($CT$16:$CT$106,CV209))</f>
        <v>w_DIETHANOL_M</v>
      </c>
      <c r="CX209">
        <f t="shared" si="54"/>
        <v>13</v>
      </c>
      <c r="CY209" t="str">
        <f t="shared" ref="CY209:CY272" si="58">"[kg/bbl] kg of "&amp;HLOOKUP(INDEX($CT$16:$CT$106,CV209),$E$16:$CQ$17,2,FALSE)&amp;" emissions to water per bbl of crude throughput"&amp;IF(CU209&lt;&gt;6,INDEX($DF$16:$DF$20,CU209),"")</f>
        <v>[kg/bbl] kg of DIETHANOLAMINE emissions to water per bbl of crude throughput - Med Complexity</v>
      </c>
    </row>
    <row r="210" spans="99:103" x14ac:dyDescent="0.25">
      <c r="CU210">
        <f t="shared" si="55"/>
        <v>3</v>
      </c>
      <c r="CV210">
        <f t="shared" si="56"/>
        <v>33</v>
      </c>
      <c r="CW210" t="str">
        <f t="shared" si="57"/>
        <v>w_DIETHANOL_HiH</v>
      </c>
      <c r="CX210">
        <f t="shared" si="54"/>
        <v>15</v>
      </c>
      <c r="CY210" t="str">
        <f t="shared" si="58"/>
        <v>[kg/bbl] kg of DIETHANOLAMINE emissions to water per bbl of crude throughput - High Complexity Hydro Cracking</v>
      </c>
    </row>
    <row r="211" spans="99:103" x14ac:dyDescent="0.25">
      <c r="CU211">
        <f t="shared" si="55"/>
        <v>4</v>
      </c>
      <c r="CV211">
        <f t="shared" si="56"/>
        <v>33</v>
      </c>
      <c r="CW211" t="str">
        <f t="shared" si="57"/>
        <v>w_DIETHANOL_HiC</v>
      </c>
      <c r="CX211">
        <f t="shared" si="54"/>
        <v>15</v>
      </c>
      <c r="CY211" t="str">
        <f t="shared" si="58"/>
        <v>[kg/bbl] kg of DIETHANOLAMINE emissions to water per bbl of crude throughput - High Complexity Coking</v>
      </c>
    </row>
    <row r="212" spans="99:103" x14ac:dyDescent="0.25">
      <c r="CU212">
        <f t="shared" si="55"/>
        <v>5</v>
      </c>
      <c r="CV212">
        <f t="shared" si="56"/>
        <v>33</v>
      </c>
      <c r="CW212" t="str">
        <f t="shared" si="57"/>
        <v>w_DIETHANOL_HiB</v>
      </c>
      <c r="CX212">
        <f t="shared" si="54"/>
        <v>15</v>
      </c>
      <c r="CY212" t="str">
        <f t="shared" si="58"/>
        <v>[kg/bbl] kg of DIETHANOLAMINE emissions to water per bbl of crude throughput - High Complexity Hydro Cracking and Coking</v>
      </c>
    </row>
    <row r="213" spans="99:103" x14ac:dyDescent="0.25">
      <c r="CU213">
        <f t="shared" si="55"/>
        <v>6</v>
      </c>
      <c r="CV213">
        <f t="shared" si="56"/>
        <v>33</v>
      </c>
      <c r="CW213" t="str">
        <f t="shared" si="57"/>
        <v>w_DIETHANOL</v>
      </c>
      <c r="CX213">
        <f t="shared" si="54"/>
        <v>11</v>
      </c>
      <c r="CY213" t="str">
        <f t="shared" si="58"/>
        <v>[kg/bbl] kg of DIETHANOLAMINE emissions to water per bbl of crude throughput</v>
      </c>
    </row>
    <row r="214" spans="99:103" x14ac:dyDescent="0.25">
      <c r="CU214">
        <f t="shared" si="55"/>
        <v>1</v>
      </c>
      <c r="CV214">
        <f t="shared" si="56"/>
        <v>34</v>
      </c>
      <c r="CW214" t="str">
        <f t="shared" si="57"/>
        <v>w_DIOXINAND_L</v>
      </c>
      <c r="CX214">
        <f t="shared" si="54"/>
        <v>13</v>
      </c>
      <c r="CY214" t="str">
        <f t="shared" si="58"/>
        <v>[kg/bbl] kg of DIOXIN AND DIOXIN-LIKE COMPOUNDS emissions to water per bbl of crude throughput - Low Complexity</v>
      </c>
    </row>
    <row r="215" spans="99:103" x14ac:dyDescent="0.25">
      <c r="CU215">
        <f t="shared" si="55"/>
        <v>2</v>
      </c>
      <c r="CV215">
        <f t="shared" si="56"/>
        <v>34</v>
      </c>
      <c r="CW215" t="str">
        <f t="shared" si="57"/>
        <v>w_DIOXINAND_M</v>
      </c>
      <c r="CX215">
        <f t="shared" si="54"/>
        <v>13</v>
      </c>
      <c r="CY215" t="str">
        <f t="shared" si="58"/>
        <v>[kg/bbl] kg of DIOXIN AND DIOXIN-LIKE COMPOUNDS emissions to water per bbl of crude throughput - Med Complexity</v>
      </c>
    </row>
    <row r="216" spans="99:103" x14ac:dyDescent="0.25">
      <c r="CU216">
        <f t="shared" si="55"/>
        <v>3</v>
      </c>
      <c r="CV216">
        <f t="shared" si="56"/>
        <v>34</v>
      </c>
      <c r="CW216" t="str">
        <f t="shared" si="57"/>
        <v>w_DIOXINAND_HiH</v>
      </c>
      <c r="CX216">
        <f t="shared" si="54"/>
        <v>15</v>
      </c>
      <c r="CY216" t="str">
        <f t="shared" si="58"/>
        <v>[kg/bbl] kg of DIOXIN AND DIOXIN-LIKE COMPOUNDS emissions to water per bbl of crude throughput - High Complexity Hydro Cracking</v>
      </c>
    </row>
    <row r="217" spans="99:103" x14ac:dyDescent="0.25">
      <c r="CU217">
        <f t="shared" si="55"/>
        <v>4</v>
      </c>
      <c r="CV217">
        <f t="shared" si="56"/>
        <v>34</v>
      </c>
      <c r="CW217" t="str">
        <f t="shared" si="57"/>
        <v>w_DIOXINAND_HiC</v>
      </c>
      <c r="CX217">
        <f t="shared" si="54"/>
        <v>15</v>
      </c>
      <c r="CY217" t="str">
        <f t="shared" si="58"/>
        <v>[kg/bbl] kg of DIOXIN AND DIOXIN-LIKE COMPOUNDS emissions to water per bbl of crude throughput - High Complexity Coking</v>
      </c>
    </row>
    <row r="218" spans="99:103" x14ac:dyDescent="0.25">
      <c r="CU218">
        <f t="shared" si="55"/>
        <v>5</v>
      </c>
      <c r="CV218">
        <f t="shared" si="56"/>
        <v>34</v>
      </c>
      <c r="CW218" t="str">
        <f t="shared" si="57"/>
        <v>w_DIOXINAND_HiB</v>
      </c>
      <c r="CX218">
        <f t="shared" si="54"/>
        <v>15</v>
      </c>
      <c r="CY218" t="str">
        <f t="shared" si="58"/>
        <v>[kg/bbl] kg of DIOXIN AND DIOXIN-LIKE COMPOUNDS emissions to water per bbl of crude throughput - High Complexity Hydro Cracking and Coking</v>
      </c>
    </row>
    <row r="219" spans="99:103" x14ac:dyDescent="0.25">
      <c r="CU219">
        <f t="shared" si="55"/>
        <v>6</v>
      </c>
      <c r="CV219">
        <f t="shared" si="56"/>
        <v>34</v>
      </c>
      <c r="CW219" t="str">
        <f t="shared" si="57"/>
        <v>w_DIOXINAND</v>
      </c>
      <c r="CX219">
        <f t="shared" si="54"/>
        <v>11</v>
      </c>
      <c r="CY219" t="str">
        <f t="shared" si="58"/>
        <v>[kg/bbl] kg of DIOXIN AND DIOXIN-LIKE COMPOUNDS emissions to water per bbl of crude throughput</v>
      </c>
    </row>
    <row r="220" spans="99:103" x14ac:dyDescent="0.25">
      <c r="CU220">
        <f t="shared" si="55"/>
        <v>1</v>
      </c>
      <c r="CV220">
        <f t="shared" si="56"/>
        <v>35</v>
      </c>
      <c r="CW220" t="str">
        <f t="shared" si="57"/>
        <v>w_ETHENE_L</v>
      </c>
      <c r="CX220">
        <f t="shared" si="54"/>
        <v>10</v>
      </c>
      <c r="CY220" t="str">
        <f t="shared" si="58"/>
        <v>[kg/bbl] kg of ETHENE emissions to water per bbl of crude throughput - Low Complexity</v>
      </c>
    </row>
    <row r="221" spans="99:103" x14ac:dyDescent="0.25">
      <c r="CU221">
        <f t="shared" si="55"/>
        <v>2</v>
      </c>
      <c r="CV221">
        <f t="shared" si="56"/>
        <v>35</v>
      </c>
      <c r="CW221" t="str">
        <f t="shared" si="57"/>
        <v>w_ETHENE_M</v>
      </c>
      <c r="CX221">
        <f t="shared" si="54"/>
        <v>10</v>
      </c>
      <c r="CY221" t="str">
        <f t="shared" si="58"/>
        <v>[kg/bbl] kg of ETHENE emissions to water per bbl of crude throughput - Med Complexity</v>
      </c>
    </row>
    <row r="222" spans="99:103" x14ac:dyDescent="0.25">
      <c r="CU222">
        <f t="shared" si="55"/>
        <v>3</v>
      </c>
      <c r="CV222">
        <f t="shared" si="56"/>
        <v>35</v>
      </c>
      <c r="CW222" t="str">
        <f t="shared" si="57"/>
        <v>w_ETHENE_HiH</v>
      </c>
      <c r="CX222">
        <f t="shared" si="54"/>
        <v>12</v>
      </c>
      <c r="CY222" t="str">
        <f t="shared" si="58"/>
        <v>[kg/bbl] kg of ETHENE emissions to water per bbl of crude throughput - High Complexity Hydro Cracking</v>
      </c>
    </row>
    <row r="223" spans="99:103" x14ac:dyDescent="0.25">
      <c r="CU223">
        <f t="shared" si="55"/>
        <v>4</v>
      </c>
      <c r="CV223">
        <f t="shared" si="56"/>
        <v>35</v>
      </c>
      <c r="CW223" t="str">
        <f t="shared" si="57"/>
        <v>w_ETHENE_HiC</v>
      </c>
      <c r="CX223">
        <f t="shared" si="54"/>
        <v>12</v>
      </c>
      <c r="CY223" t="str">
        <f t="shared" si="58"/>
        <v>[kg/bbl] kg of ETHENE emissions to water per bbl of crude throughput - High Complexity Coking</v>
      </c>
    </row>
    <row r="224" spans="99:103" x14ac:dyDescent="0.25">
      <c r="CU224">
        <f t="shared" si="55"/>
        <v>5</v>
      </c>
      <c r="CV224">
        <f t="shared" si="56"/>
        <v>35</v>
      </c>
      <c r="CW224" t="str">
        <f t="shared" si="57"/>
        <v>w_ETHENE_HiB</v>
      </c>
      <c r="CX224">
        <f t="shared" si="54"/>
        <v>12</v>
      </c>
      <c r="CY224" t="str">
        <f t="shared" si="58"/>
        <v>[kg/bbl] kg of ETHENE emissions to water per bbl of crude throughput - High Complexity Hydro Cracking and Coking</v>
      </c>
    </row>
    <row r="225" spans="99:103" x14ac:dyDescent="0.25">
      <c r="CU225">
        <f t="shared" si="55"/>
        <v>6</v>
      </c>
      <c r="CV225">
        <f t="shared" si="56"/>
        <v>35</v>
      </c>
      <c r="CW225" t="str">
        <f t="shared" si="57"/>
        <v>w_ETHENE</v>
      </c>
      <c r="CX225">
        <f t="shared" si="54"/>
        <v>8</v>
      </c>
      <c r="CY225" t="str">
        <f t="shared" si="58"/>
        <v>[kg/bbl] kg of ETHENE emissions to water per bbl of crude throughput</v>
      </c>
    </row>
    <row r="226" spans="99:103" x14ac:dyDescent="0.25">
      <c r="CU226">
        <f t="shared" si="55"/>
        <v>1</v>
      </c>
      <c r="CV226">
        <f t="shared" si="56"/>
        <v>36</v>
      </c>
      <c r="CW226" t="str">
        <f t="shared" si="57"/>
        <v>w_ETHYLBENZ_L</v>
      </c>
      <c r="CX226">
        <f t="shared" si="54"/>
        <v>13</v>
      </c>
      <c r="CY226" t="str">
        <f t="shared" si="58"/>
        <v>[kg/bbl] kg of ETHYLBENZENE emissions to water per bbl of crude throughput - Low Complexity</v>
      </c>
    </row>
    <row r="227" spans="99:103" x14ac:dyDescent="0.25">
      <c r="CU227">
        <f t="shared" si="55"/>
        <v>2</v>
      </c>
      <c r="CV227">
        <f t="shared" si="56"/>
        <v>36</v>
      </c>
      <c r="CW227" t="str">
        <f t="shared" si="57"/>
        <v>w_ETHYLBENZ_M</v>
      </c>
      <c r="CX227">
        <f t="shared" si="54"/>
        <v>13</v>
      </c>
      <c r="CY227" t="str">
        <f t="shared" si="58"/>
        <v>[kg/bbl] kg of ETHYLBENZENE emissions to water per bbl of crude throughput - Med Complexity</v>
      </c>
    </row>
    <row r="228" spans="99:103" x14ac:dyDescent="0.25">
      <c r="CU228">
        <f t="shared" si="55"/>
        <v>3</v>
      </c>
      <c r="CV228">
        <f t="shared" si="56"/>
        <v>36</v>
      </c>
      <c r="CW228" t="str">
        <f t="shared" si="57"/>
        <v>w_ETHYLBENZ_HiH</v>
      </c>
      <c r="CX228">
        <f t="shared" si="54"/>
        <v>15</v>
      </c>
      <c r="CY228" t="str">
        <f t="shared" si="58"/>
        <v>[kg/bbl] kg of ETHYLBENZENE emissions to water per bbl of crude throughput - High Complexity Hydro Cracking</v>
      </c>
    </row>
    <row r="229" spans="99:103" x14ac:dyDescent="0.25">
      <c r="CU229">
        <f t="shared" si="55"/>
        <v>4</v>
      </c>
      <c r="CV229">
        <f t="shared" si="56"/>
        <v>36</v>
      </c>
      <c r="CW229" t="str">
        <f t="shared" si="57"/>
        <v>w_ETHYLBENZ_HiC</v>
      </c>
      <c r="CX229">
        <f t="shared" si="54"/>
        <v>15</v>
      </c>
      <c r="CY229" t="str">
        <f t="shared" si="58"/>
        <v>[kg/bbl] kg of ETHYLBENZENE emissions to water per bbl of crude throughput - High Complexity Coking</v>
      </c>
    </row>
    <row r="230" spans="99:103" x14ac:dyDescent="0.25">
      <c r="CU230">
        <f t="shared" si="55"/>
        <v>5</v>
      </c>
      <c r="CV230">
        <f t="shared" si="56"/>
        <v>36</v>
      </c>
      <c r="CW230" t="str">
        <f t="shared" si="57"/>
        <v>w_ETHYLBENZ_HiB</v>
      </c>
      <c r="CX230">
        <f t="shared" si="54"/>
        <v>15</v>
      </c>
      <c r="CY230" t="str">
        <f t="shared" si="58"/>
        <v>[kg/bbl] kg of ETHYLBENZENE emissions to water per bbl of crude throughput - High Complexity Hydro Cracking and Coking</v>
      </c>
    </row>
    <row r="231" spans="99:103" x14ac:dyDescent="0.25">
      <c r="CU231">
        <f t="shared" si="55"/>
        <v>6</v>
      </c>
      <c r="CV231">
        <f t="shared" si="56"/>
        <v>36</v>
      </c>
      <c r="CW231" t="str">
        <f t="shared" si="57"/>
        <v>w_ETHYLBENZ</v>
      </c>
      <c r="CX231">
        <f t="shared" si="54"/>
        <v>11</v>
      </c>
      <c r="CY231" t="str">
        <f t="shared" si="58"/>
        <v>[kg/bbl] kg of ETHYLBENZENE emissions to water per bbl of crude throughput</v>
      </c>
    </row>
    <row r="232" spans="99:103" x14ac:dyDescent="0.25">
      <c r="CU232">
        <f t="shared" si="55"/>
        <v>1</v>
      </c>
      <c r="CV232">
        <f t="shared" si="56"/>
        <v>37</v>
      </c>
      <c r="CW232" t="str">
        <f t="shared" si="57"/>
        <v>w_ETHYLENED_L</v>
      </c>
      <c r="CX232">
        <f t="shared" si="54"/>
        <v>13</v>
      </c>
      <c r="CY232" t="str">
        <f t="shared" si="58"/>
        <v>[kg/bbl] kg of ETHYLENE DIBROMIDE emissions to water per bbl of crude throughput - Low Complexity</v>
      </c>
    </row>
    <row r="233" spans="99:103" x14ac:dyDescent="0.25">
      <c r="CU233">
        <f t="shared" si="55"/>
        <v>2</v>
      </c>
      <c r="CV233">
        <f t="shared" si="56"/>
        <v>37</v>
      </c>
      <c r="CW233" t="str">
        <f t="shared" si="57"/>
        <v>w_ETHYLENED_M</v>
      </c>
      <c r="CX233">
        <f t="shared" si="54"/>
        <v>13</v>
      </c>
      <c r="CY233" t="str">
        <f t="shared" si="58"/>
        <v>[kg/bbl] kg of ETHYLENE DIBROMIDE emissions to water per bbl of crude throughput - Med Complexity</v>
      </c>
    </row>
    <row r="234" spans="99:103" x14ac:dyDescent="0.25">
      <c r="CU234">
        <f t="shared" si="55"/>
        <v>3</v>
      </c>
      <c r="CV234">
        <f t="shared" si="56"/>
        <v>37</v>
      </c>
      <c r="CW234" t="str">
        <f t="shared" si="57"/>
        <v>w_ETHYLENED_HiH</v>
      </c>
      <c r="CX234">
        <f t="shared" si="54"/>
        <v>15</v>
      </c>
      <c r="CY234" t="str">
        <f t="shared" si="58"/>
        <v>[kg/bbl] kg of ETHYLENE DIBROMIDE emissions to water per bbl of crude throughput - High Complexity Hydro Cracking</v>
      </c>
    </row>
    <row r="235" spans="99:103" x14ac:dyDescent="0.25">
      <c r="CU235">
        <f t="shared" si="55"/>
        <v>4</v>
      </c>
      <c r="CV235">
        <f t="shared" si="56"/>
        <v>37</v>
      </c>
      <c r="CW235" t="str">
        <f t="shared" si="57"/>
        <v>w_ETHYLENED_HiC</v>
      </c>
      <c r="CX235">
        <f t="shared" si="54"/>
        <v>15</v>
      </c>
      <c r="CY235" t="str">
        <f t="shared" si="58"/>
        <v>[kg/bbl] kg of ETHYLENE DIBROMIDE emissions to water per bbl of crude throughput - High Complexity Coking</v>
      </c>
    </row>
    <row r="236" spans="99:103" x14ac:dyDescent="0.25">
      <c r="CU236">
        <f t="shared" si="55"/>
        <v>5</v>
      </c>
      <c r="CV236">
        <f t="shared" si="56"/>
        <v>37</v>
      </c>
      <c r="CW236" t="str">
        <f t="shared" si="57"/>
        <v>w_ETHYLENED_HiB</v>
      </c>
      <c r="CX236">
        <f t="shared" si="54"/>
        <v>15</v>
      </c>
      <c r="CY236" t="str">
        <f t="shared" si="58"/>
        <v>[kg/bbl] kg of ETHYLENE DIBROMIDE emissions to water per bbl of crude throughput - High Complexity Hydro Cracking and Coking</v>
      </c>
    </row>
    <row r="237" spans="99:103" x14ac:dyDescent="0.25">
      <c r="CU237">
        <f t="shared" si="55"/>
        <v>6</v>
      </c>
      <c r="CV237">
        <f t="shared" si="56"/>
        <v>37</v>
      </c>
      <c r="CW237" t="str">
        <f t="shared" si="57"/>
        <v>w_ETHYLENED</v>
      </c>
      <c r="CX237">
        <f t="shared" si="54"/>
        <v>11</v>
      </c>
      <c r="CY237" t="str">
        <f t="shared" si="58"/>
        <v>[kg/bbl] kg of ETHYLENE DIBROMIDE emissions to water per bbl of crude throughput</v>
      </c>
    </row>
    <row r="238" spans="99:103" x14ac:dyDescent="0.25">
      <c r="CU238">
        <f t="shared" si="55"/>
        <v>1</v>
      </c>
      <c r="CV238">
        <f t="shared" si="56"/>
        <v>38</v>
      </c>
      <c r="CW238" t="str">
        <f t="shared" si="57"/>
        <v>w_ETHYLENEG_L</v>
      </c>
      <c r="CX238">
        <f t="shared" si="54"/>
        <v>13</v>
      </c>
      <c r="CY238" t="str">
        <f t="shared" si="58"/>
        <v>[kg/bbl] kg of ETHYLENE GLYCOL emissions to water per bbl of crude throughput - Low Complexity</v>
      </c>
    </row>
    <row r="239" spans="99:103" x14ac:dyDescent="0.25">
      <c r="CU239">
        <f t="shared" si="55"/>
        <v>2</v>
      </c>
      <c r="CV239">
        <f t="shared" si="56"/>
        <v>38</v>
      </c>
      <c r="CW239" t="str">
        <f t="shared" si="57"/>
        <v>w_ETHYLENEG_M</v>
      </c>
      <c r="CX239">
        <f t="shared" si="54"/>
        <v>13</v>
      </c>
      <c r="CY239" t="str">
        <f t="shared" si="58"/>
        <v>[kg/bbl] kg of ETHYLENE GLYCOL emissions to water per bbl of crude throughput - Med Complexity</v>
      </c>
    </row>
    <row r="240" spans="99:103" x14ac:dyDescent="0.25">
      <c r="CU240">
        <f t="shared" si="55"/>
        <v>3</v>
      </c>
      <c r="CV240">
        <f t="shared" si="56"/>
        <v>38</v>
      </c>
      <c r="CW240" t="str">
        <f t="shared" si="57"/>
        <v>w_ETHYLENEG_HiH</v>
      </c>
      <c r="CX240">
        <f t="shared" si="54"/>
        <v>15</v>
      </c>
      <c r="CY240" t="str">
        <f t="shared" si="58"/>
        <v>[kg/bbl] kg of ETHYLENE GLYCOL emissions to water per bbl of crude throughput - High Complexity Hydro Cracking</v>
      </c>
    </row>
    <row r="241" spans="99:103" x14ac:dyDescent="0.25">
      <c r="CU241">
        <f t="shared" si="55"/>
        <v>4</v>
      </c>
      <c r="CV241">
        <f t="shared" si="56"/>
        <v>38</v>
      </c>
      <c r="CW241" t="str">
        <f t="shared" si="57"/>
        <v>w_ETHYLENEG_HiC</v>
      </c>
      <c r="CX241">
        <f t="shared" si="54"/>
        <v>15</v>
      </c>
      <c r="CY241" t="str">
        <f t="shared" si="58"/>
        <v>[kg/bbl] kg of ETHYLENE GLYCOL emissions to water per bbl of crude throughput - High Complexity Coking</v>
      </c>
    </row>
    <row r="242" spans="99:103" x14ac:dyDescent="0.25">
      <c r="CU242">
        <f t="shared" si="55"/>
        <v>5</v>
      </c>
      <c r="CV242">
        <f t="shared" si="56"/>
        <v>38</v>
      </c>
      <c r="CW242" t="str">
        <f t="shared" si="57"/>
        <v>w_ETHYLENEG_HiB</v>
      </c>
      <c r="CX242">
        <f t="shared" si="54"/>
        <v>15</v>
      </c>
      <c r="CY242" t="str">
        <f t="shared" si="58"/>
        <v>[kg/bbl] kg of ETHYLENE GLYCOL emissions to water per bbl of crude throughput - High Complexity Hydro Cracking and Coking</v>
      </c>
    </row>
    <row r="243" spans="99:103" x14ac:dyDescent="0.25">
      <c r="CU243">
        <f t="shared" si="55"/>
        <v>6</v>
      </c>
      <c r="CV243">
        <f t="shared" si="56"/>
        <v>38</v>
      </c>
      <c r="CW243" t="str">
        <f t="shared" si="57"/>
        <v>w_ETHYLENEG</v>
      </c>
      <c r="CX243">
        <f t="shared" si="54"/>
        <v>11</v>
      </c>
      <c r="CY243" t="str">
        <f t="shared" si="58"/>
        <v>[kg/bbl] kg of ETHYLENE GLYCOL emissions to water per bbl of crude throughput</v>
      </c>
    </row>
    <row r="244" spans="99:103" x14ac:dyDescent="0.25">
      <c r="CU244">
        <f t="shared" si="55"/>
        <v>1</v>
      </c>
      <c r="CV244">
        <f t="shared" si="56"/>
        <v>39</v>
      </c>
      <c r="CW244" t="str">
        <f t="shared" si="57"/>
        <v>w_FLUORANTH_L</v>
      </c>
      <c r="CX244">
        <f t="shared" si="54"/>
        <v>13</v>
      </c>
      <c r="CY244" t="str">
        <f t="shared" si="58"/>
        <v>[kg/bbl] kg of FLUORANTHENE emissions to water per bbl of crude throughput - Low Complexity</v>
      </c>
    </row>
    <row r="245" spans="99:103" x14ac:dyDescent="0.25">
      <c r="CU245">
        <f t="shared" si="55"/>
        <v>2</v>
      </c>
      <c r="CV245">
        <f t="shared" si="56"/>
        <v>39</v>
      </c>
      <c r="CW245" t="str">
        <f t="shared" si="57"/>
        <v>w_FLUORANTH_M</v>
      </c>
      <c r="CX245">
        <f t="shared" si="54"/>
        <v>13</v>
      </c>
      <c r="CY245" t="str">
        <f t="shared" si="58"/>
        <v>[kg/bbl] kg of FLUORANTHENE emissions to water per bbl of crude throughput - Med Complexity</v>
      </c>
    </row>
    <row r="246" spans="99:103" x14ac:dyDescent="0.25">
      <c r="CU246">
        <f t="shared" si="55"/>
        <v>3</v>
      </c>
      <c r="CV246">
        <f t="shared" si="56"/>
        <v>39</v>
      </c>
      <c r="CW246" t="str">
        <f t="shared" si="57"/>
        <v>w_FLUORANTH_HiH</v>
      </c>
      <c r="CX246">
        <f t="shared" si="54"/>
        <v>15</v>
      </c>
      <c r="CY246" t="str">
        <f t="shared" si="58"/>
        <v>[kg/bbl] kg of FLUORANTHENE emissions to water per bbl of crude throughput - High Complexity Hydro Cracking</v>
      </c>
    </row>
    <row r="247" spans="99:103" x14ac:dyDescent="0.25">
      <c r="CU247">
        <f t="shared" si="55"/>
        <v>4</v>
      </c>
      <c r="CV247">
        <f t="shared" si="56"/>
        <v>39</v>
      </c>
      <c r="CW247" t="str">
        <f t="shared" si="57"/>
        <v>w_FLUORANTH_HiC</v>
      </c>
      <c r="CX247">
        <f t="shared" si="54"/>
        <v>15</v>
      </c>
      <c r="CY247" t="str">
        <f t="shared" si="58"/>
        <v>[kg/bbl] kg of FLUORANTHENE emissions to water per bbl of crude throughput - High Complexity Coking</v>
      </c>
    </row>
    <row r="248" spans="99:103" x14ac:dyDescent="0.25">
      <c r="CU248">
        <f t="shared" si="55"/>
        <v>5</v>
      </c>
      <c r="CV248">
        <f t="shared" si="56"/>
        <v>39</v>
      </c>
      <c r="CW248" t="str">
        <f t="shared" si="57"/>
        <v>w_FLUORANTH_HiB</v>
      </c>
      <c r="CX248">
        <f t="shared" si="54"/>
        <v>15</v>
      </c>
      <c r="CY248" t="str">
        <f t="shared" si="58"/>
        <v>[kg/bbl] kg of FLUORANTHENE emissions to water per bbl of crude throughput - High Complexity Hydro Cracking and Coking</v>
      </c>
    </row>
    <row r="249" spans="99:103" x14ac:dyDescent="0.25">
      <c r="CU249">
        <f t="shared" si="55"/>
        <v>6</v>
      </c>
      <c r="CV249">
        <f t="shared" si="56"/>
        <v>39</v>
      </c>
      <c r="CW249" t="str">
        <f t="shared" si="57"/>
        <v>w_FLUORANTH</v>
      </c>
      <c r="CX249">
        <f t="shared" si="54"/>
        <v>11</v>
      </c>
      <c r="CY249" t="str">
        <f t="shared" si="58"/>
        <v>[kg/bbl] kg of FLUORANTHENE emissions to water per bbl of crude throughput</v>
      </c>
    </row>
    <row r="250" spans="99:103" x14ac:dyDescent="0.25">
      <c r="CU250">
        <f t="shared" si="55"/>
        <v>1</v>
      </c>
      <c r="CV250">
        <f t="shared" si="56"/>
        <v>40</v>
      </c>
      <c r="CW250" t="str">
        <f t="shared" si="57"/>
        <v>w_Fluoridet_L</v>
      </c>
      <c r="CX250">
        <f t="shared" si="54"/>
        <v>13</v>
      </c>
      <c r="CY250" t="str">
        <f t="shared" si="58"/>
        <v>[kg/bbl] kg of Fluoride, total (as F) emissions to water per bbl of crude throughput - Low Complexity</v>
      </c>
    </row>
    <row r="251" spans="99:103" x14ac:dyDescent="0.25">
      <c r="CU251">
        <f t="shared" si="55"/>
        <v>2</v>
      </c>
      <c r="CV251">
        <f t="shared" si="56"/>
        <v>40</v>
      </c>
      <c r="CW251" t="str">
        <f t="shared" si="57"/>
        <v>w_Fluoridet_M</v>
      </c>
      <c r="CX251">
        <f t="shared" si="54"/>
        <v>13</v>
      </c>
      <c r="CY251" t="str">
        <f t="shared" si="58"/>
        <v>[kg/bbl] kg of Fluoride, total (as F) emissions to water per bbl of crude throughput - Med Complexity</v>
      </c>
    </row>
    <row r="252" spans="99:103" x14ac:dyDescent="0.25">
      <c r="CU252">
        <f t="shared" si="55"/>
        <v>3</v>
      </c>
      <c r="CV252">
        <f t="shared" si="56"/>
        <v>40</v>
      </c>
      <c r="CW252" t="str">
        <f t="shared" si="57"/>
        <v>w_Fluoridet_HiH</v>
      </c>
      <c r="CX252">
        <f t="shared" si="54"/>
        <v>15</v>
      </c>
      <c r="CY252" t="str">
        <f t="shared" si="58"/>
        <v>[kg/bbl] kg of Fluoride, total (as F) emissions to water per bbl of crude throughput - High Complexity Hydro Cracking</v>
      </c>
    </row>
    <row r="253" spans="99:103" x14ac:dyDescent="0.25">
      <c r="CU253">
        <f t="shared" si="55"/>
        <v>4</v>
      </c>
      <c r="CV253">
        <f t="shared" si="56"/>
        <v>40</v>
      </c>
      <c r="CW253" t="str">
        <f t="shared" si="57"/>
        <v>w_Fluoridet_HiC</v>
      </c>
      <c r="CX253">
        <f t="shared" si="54"/>
        <v>15</v>
      </c>
      <c r="CY253" t="str">
        <f t="shared" si="58"/>
        <v>[kg/bbl] kg of Fluoride, total (as F) emissions to water per bbl of crude throughput - High Complexity Coking</v>
      </c>
    </row>
    <row r="254" spans="99:103" x14ac:dyDescent="0.25">
      <c r="CU254">
        <f t="shared" si="55"/>
        <v>5</v>
      </c>
      <c r="CV254">
        <f t="shared" si="56"/>
        <v>40</v>
      </c>
      <c r="CW254" t="str">
        <f t="shared" si="57"/>
        <v>w_Fluoridet_HiB</v>
      </c>
      <c r="CX254">
        <f t="shared" si="54"/>
        <v>15</v>
      </c>
      <c r="CY254" t="str">
        <f t="shared" si="58"/>
        <v>[kg/bbl] kg of Fluoride, total (as F) emissions to water per bbl of crude throughput - High Complexity Hydro Cracking and Coking</v>
      </c>
    </row>
    <row r="255" spans="99:103" x14ac:dyDescent="0.25">
      <c r="CU255">
        <f t="shared" si="55"/>
        <v>6</v>
      </c>
      <c r="CV255">
        <f t="shared" si="56"/>
        <v>40</v>
      </c>
      <c r="CW255" t="str">
        <f t="shared" si="57"/>
        <v>w_Fluoridet</v>
      </c>
      <c r="CX255">
        <f t="shared" si="54"/>
        <v>11</v>
      </c>
      <c r="CY255" t="str">
        <f t="shared" si="58"/>
        <v>[kg/bbl] kg of Fluoride, total (as F) emissions to water per bbl of crude throughput</v>
      </c>
    </row>
    <row r="256" spans="99:103" x14ac:dyDescent="0.25">
      <c r="CU256">
        <f t="shared" si="55"/>
        <v>1</v>
      </c>
      <c r="CV256">
        <f t="shared" si="56"/>
        <v>41</v>
      </c>
      <c r="CW256" t="str">
        <f t="shared" si="57"/>
        <v>w_FORMALDEH_L</v>
      </c>
      <c r="CX256">
        <f t="shared" si="54"/>
        <v>13</v>
      </c>
      <c r="CY256" t="str">
        <f t="shared" si="58"/>
        <v>[kg/bbl] kg of FORMALDEHYDE emissions to water per bbl of crude throughput - Low Complexity</v>
      </c>
    </row>
    <row r="257" spans="99:103" x14ac:dyDescent="0.25">
      <c r="CU257">
        <f t="shared" si="55"/>
        <v>2</v>
      </c>
      <c r="CV257">
        <f t="shared" si="56"/>
        <v>41</v>
      </c>
      <c r="CW257" t="str">
        <f t="shared" si="57"/>
        <v>w_FORMALDEH_M</v>
      </c>
      <c r="CX257">
        <f t="shared" si="54"/>
        <v>13</v>
      </c>
      <c r="CY257" t="str">
        <f t="shared" si="58"/>
        <v>[kg/bbl] kg of FORMALDEHYDE emissions to water per bbl of crude throughput - Med Complexity</v>
      </c>
    </row>
    <row r="258" spans="99:103" x14ac:dyDescent="0.25">
      <c r="CU258">
        <f t="shared" si="55"/>
        <v>3</v>
      </c>
      <c r="CV258">
        <f t="shared" si="56"/>
        <v>41</v>
      </c>
      <c r="CW258" t="str">
        <f t="shared" si="57"/>
        <v>w_FORMALDEH_HiH</v>
      </c>
      <c r="CX258">
        <f t="shared" si="54"/>
        <v>15</v>
      </c>
      <c r="CY258" t="str">
        <f t="shared" si="58"/>
        <v>[kg/bbl] kg of FORMALDEHYDE emissions to water per bbl of crude throughput - High Complexity Hydro Cracking</v>
      </c>
    </row>
    <row r="259" spans="99:103" x14ac:dyDescent="0.25">
      <c r="CU259">
        <f t="shared" si="55"/>
        <v>4</v>
      </c>
      <c r="CV259">
        <f t="shared" si="56"/>
        <v>41</v>
      </c>
      <c r="CW259" t="str">
        <f t="shared" si="57"/>
        <v>w_FORMALDEH_HiC</v>
      </c>
      <c r="CX259">
        <f t="shared" si="54"/>
        <v>15</v>
      </c>
      <c r="CY259" t="str">
        <f t="shared" si="58"/>
        <v>[kg/bbl] kg of FORMALDEHYDE emissions to water per bbl of crude throughput - High Complexity Coking</v>
      </c>
    </row>
    <row r="260" spans="99:103" x14ac:dyDescent="0.25">
      <c r="CU260">
        <f t="shared" si="55"/>
        <v>5</v>
      </c>
      <c r="CV260">
        <f t="shared" si="56"/>
        <v>41</v>
      </c>
      <c r="CW260" t="str">
        <f t="shared" si="57"/>
        <v>w_FORMALDEH_HiB</v>
      </c>
      <c r="CX260">
        <f t="shared" si="54"/>
        <v>15</v>
      </c>
      <c r="CY260" t="str">
        <f t="shared" si="58"/>
        <v>[kg/bbl] kg of FORMALDEHYDE emissions to water per bbl of crude throughput - High Complexity Hydro Cracking and Coking</v>
      </c>
    </row>
    <row r="261" spans="99:103" x14ac:dyDescent="0.25">
      <c r="CU261">
        <f t="shared" si="55"/>
        <v>6</v>
      </c>
      <c r="CV261">
        <f t="shared" si="56"/>
        <v>41</v>
      </c>
      <c r="CW261" t="str">
        <f t="shared" si="57"/>
        <v>w_FORMALDEH</v>
      </c>
      <c r="CX261">
        <f t="shared" si="54"/>
        <v>11</v>
      </c>
      <c r="CY261" t="str">
        <f t="shared" si="58"/>
        <v>[kg/bbl] kg of FORMALDEHYDE emissions to water per bbl of crude throughput</v>
      </c>
    </row>
    <row r="262" spans="99:103" x14ac:dyDescent="0.25">
      <c r="CU262">
        <f t="shared" si="55"/>
        <v>1</v>
      </c>
      <c r="CV262">
        <f t="shared" si="56"/>
        <v>42</v>
      </c>
      <c r="CW262" t="str">
        <f t="shared" si="57"/>
        <v>w_FORMICACI_L</v>
      </c>
      <c r="CX262">
        <f t="shared" si="54"/>
        <v>13</v>
      </c>
      <c r="CY262" t="str">
        <f t="shared" si="58"/>
        <v>[kg/bbl] kg of FORMIC ACID emissions to water per bbl of crude throughput - Low Complexity</v>
      </c>
    </row>
    <row r="263" spans="99:103" x14ac:dyDescent="0.25">
      <c r="CU263">
        <f t="shared" si="55"/>
        <v>2</v>
      </c>
      <c r="CV263">
        <f t="shared" si="56"/>
        <v>42</v>
      </c>
      <c r="CW263" t="str">
        <f t="shared" si="57"/>
        <v>w_FORMICACI_M</v>
      </c>
      <c r="CX263">
        <f t="shared" si="54"/>
        <v>13</v>
      </c>
      <c r="CY263" t="str">
        <f t="shared" si="58"/>
        <v>[kg/bbl] kg of FORMIC ACID emissions to water per bbl of crude throughput - Med Complexity</v>
      </c>
    </row>
    <row r="264" spans="99:103" x14ac:dyDescent="0.25">
      <c r="CU264">
        <f t="shared" si="55"/>
        <v>3</v>
      </c>
      <c r="CV264">
        <f t="shared" si="56"/>
        <v>42</v>
      </c>
      <c r="CW264" t="str">
        <f t="shared" si="57"/>
        <v>w_FORMICACI_HiH</v>
      </c>
      <c r="CX264">
        <f t="shared" si="54"/>
        <v>15</v>
      </c>
      <c r="CY264" t="str">
        <f t="shared" si="58"/>
        <v>[kg/bbl] kg of FORMIC ACID emissions to water per bbl of crude throughput - High Complexity Hydro Cracking</v>
      </c>
    </row>
    <row r="265" spans="99:103" x14ac:dyDescent="0.25">
      <c r="CU265">
        <f t="shared" si="55"/>
        <v>4</v>
      </c>
      <c r="CV265">
        <f t="shared" si="56"/>
        <v>42</v>
      </c>
      <c r="CW265" t="str">
        <f t="shared" si="57"/>
        <v>w_FORMICACI_HiC</v>
      </c>
      <c r="CX265">
        <f t="shared" si="54"/>
        <v>15</v>
      </c>
      <c r="CY265" t="str">
        <f t="shared" si="58"/>
        <v>[kg/bbl] kg of FORMIC ACID emissions to water per bbl of crude throughput - High Complexity Coking</v>
      </c>
    </row>
    <row r="266" spans="99:103" x14ac:dyDescent="0.25">
      <c r="CU266">
        <f t="shared" si="55"/>
        <v>5</v>
      </c>
      <c r="CV266">
        <f t="shared" si="56"/>
        <v>42</v>
      </c>
      <c r="CW266" t="str">
        <f t="shared" si="57"/>
        <v>w_FORMICACI_HiB</v>
      </c>
      <c r="CX266">
        <f t="shared" si="54"/>
        <v>15</v>
      </c>
      <c r="CY266" t="str">
        <f t="shared" si="58"/>
        <v>[kg/bbl] kg of FORMIC ACID emissions to water per bbl of crude throughput - High Complexity Hydro Cracking and Coking</v>
      </c>
    </row>
    <row r="267" spans="99:103" x14ac:dyDescent="0.25">
      <c r="CU267">
        <f t="shared" si="55"/>
        <v>6</v>
      </c>
      <c r="CV267">
        <f t="shared" si="56"/>
        <v>42</v>
      </c>
      <c r="CW267" t="str">
        <f t="shared" si="57"/>
        <v>w_FORMICACI</v>
      </c>
      <c r="CX267">
        <f t="shared" si="54"/>
        <v>11</v>
      </c>
      <c r="CY267" t="str">
        <f t="shared" si="58"/>
        <v>[kg/bbl] kg of FORMIC ACID emissions to water per bbl of crude throughput</v>
      </c>
    </row>
    <row r="268" spans="99:103" x14ac:dyDescent="0.25">
      <c r="CU268">
        <f t="shared" si="55"/>
        <v>1</v>
      </c>
      <c r="CV268">
        <f t="shared" si="56"/>
        <v>43</v>
      </c>
      <c r="CW268" t="str">
        <f t="shared" si="57"/>
        <v>w_HEXACHLOR_L</v>
      </c>
      <c r="CX268">
        <f t="shared" si="54"/>
        <v>13</v>
      </c>
      <c r="CY268" t="str">
        <f t="shared" si="58"/>
        <v>[kg/bbl] kg of HEXACHLOROBENZENE emissions to water per bbl of crude throughput - Low Complexity</v>
      </c>
    </row>
    <row r="269" spans="99:103" x14ac:dyDescent="0.25">
      <c r="CU269">
        <f t="shared" si="55"/>
        <v>2</v>
      </c>
      <c r="CV269">
        <f t="shared" si="56"/>
        <v>43</v>
      </c>
      <c r="CW269" t="str">
        <f t="shared" si="57"/>
        <v>w_HEXACHLOR_M</v>
      </c>
      <c r="CX269">
        <f t="shared" si="54"/>
        <v>13</v>
      </c>
      <c r="CY269" t="str">
        <f t="shared" si="58"/>
        <v>[kg/bbl] kg of HEXACHLOROBENZENE emissions to water per bbl of crude throughput - Med Complexity</v>
      </c>
    </row>
    <row r="270" spans="99:103" x14ac:dyDescent="0.25">
      <c r="CU270">
        <f t="shared" si="55"/>
        <v>3</v>
      </c>
      <c r="CV270">
        <f t="shared" si="56"/>
        <v>43</v>
      </c>
      <c r="CW270" t="str">
        <f t="shared" si="57"/>
        <v>w_HEXACHLOR_HiH</v>
      </c>
      <c r="CX270">
        <f t="shared" ref="CX270:CX333" si="59">LEN(CW270)</f>
        <v>15</v>
      </c>
      <c r="CY270" t="str">
        <f t="shared" si="58"/>
        <v>[kg/bbl] kg of HEXACHLOROBENZENE emissions to water per bbl of crude throughput - High Complexity Hydro Cracking</v>
      </c>
    </row>
    <row r="271" spans="99:103" x14ac:dyDescent="0.25">
      <c r="CU271">
        <f t="shared" si="55"/>
        <v>4</v>
      </c>
      <c r="CV271">
        <f t="shared" si="56"/>
        <v>43</v>
      </c>
      <c r="CW271" t="str">
        <f t="shared" si="57"/>
        <v>w_HEXACHLOR_HiC</v>
      </c>
      <c r="CX271">
        <f t="shared" si="59"/>
        <v>15</v>
      </c>
      <c r="CY271" t="str">
        <f t="shared" si="58"/>
        <v>[kg/bbl] kg of HEXACHLOROBENZENE emissions to water per bbl of crude throughput - High Complexity Coking</v>
      </c>
    </row>
    <row r="272" spans="99:103" x14ac:dyDescent="0.25">
      <c r="CU272">
        <f t="shared" si="55"/>
        <v>5</v>
      </c>
      <c r="CV272">
        <f t="shared" si="56"/>
        <v>43</v>
      </c>
      <c r="CW272" t="str">
        <f t="shared" si="57"/>
        <v>w_HEXACHLOR_HiB</v>
      </c>
      <c r="CX272">
        <f t="shared" si="59"/>
        <v>15</v>
      </c>
      <c r="CY272" t="str">
        <f t="shared" si="58"/>
        <v>[kg/bbl] kg of HEXACHLOROBENZENE emissions to water per bbl of crude throughput - High Complexity Hydro Cracking and Coking</v>
      </c>
    </row>
    <row r="273" spans="99:103" x14ac:dyDescent="0.25">
      <c r="CU273">
        <f t="shared" ref="CU273:CU336" si="60">IF(MOD((ROW()-15),6)=0,6,MOD((ROW()-15),6))</f>
        <v>6</v>
      </c>
      <c r="CV273">
        <f t="shared" ref="CV273:CV336" si="61">IF(MOD(ROW()-15,6)=0,ROUNDDOWN((ROW()-15)/6,0),ROUNDDOWN((ROW()-15)/6,0)+1)</f>
        <v>43</v>
      </c>
      <c r="CW273" t="str">
        <f t="shared" ref="CW273:CW336" si="62">IF(CU273&lt;&gt;6,INDEX($CT$16:$CT$106,CV273)&amp;INDEX($CS$16:$CS$20,CU273),INDEX($CT$16:$CT$106,CV273))</f>
        <v>w_HEXACHLOR</v>
      </c>
      <c r="CX273">
        <f t="shared" si="59"/>
        <v>11</v>
      </c>
      <c r="CY273" t="str">
        <f t="shared" ref="CY273:CY336" si="63">"[kg/bbl] kg of "&amp;HLOOKUP(INDEX($CT$16:$CT$106,CV273),$E$16:$CQ$17,2,FALSE)&amp;" emissions to water per bbl of crude throughput"&amp;IF(CU273&lt;&gt;6,INDEX($DF$16:$DF$20,CU273),"")</f>
        <v>[kg/bbl] kg of HEXACHLOROBENZENE emissions to water per bbl of crude throughput</v>
      </c>
    </row>
    <row r="274" spans="99:103" x14ac:dyDescent="0.25">
      <c r="CU274">
        <f t="shared" si="60"/>
        <v>1</v>
      </c>
      <c r="CV274">
        <f t="shared" si="61"/>
        <v>44</v>
      </c>
      <c r="CW274" t="str">
        <f t="shared" si="62"/>
        <v>w_Hydrocarb_L</v>
      </c>
      <c r="CX274">
        <f t="shared" si="59"/>
        <v>13</v>
      </c>
      <c r="CY274" t="str">
        <f t="shared" si="63"/>
        <v>[kg/bbl] kg of Hydrocarbon, aqueous emissions to water per bbl of crude throughput - Low Complexity</v>
      </c>
    </row>
    <row r="275" spans="99:103" x14ac:dyDescent="0.25">
      <c r="CU275">
        <f t="shared" si="60"/>
        <v>2</v>
      </c>
      <c r="CV275">
        <f t="shared" si="61"/>
        <v>44</v>
      </c>
      <c r="CW275" t="str">
        <f t="shared" si="62"/>
        <v>w_Hydrocarb_M</v>
      </c>
      <c r="CX275">
        <f t="shared" si="59"/>
        <v>13</v>
      </c>
      <c r="CY275" t="str">
        <f t="shared" si="63"/>
        <v>[kg/bbl] kg of Hydrocarbon, aqueous emissions to water per bbl of crude throughput - Med Complexity</v>
      </c>
    </row>
    <row r="276" spans="99:103" x14ac:dyDescent="0.25">
      <c r="CU276">
        <f t="shared" si="60"/>
        <v>3</v>
      </c>
      <c r="CV276">
        <f t="shared" si="61"/>
        <v>44</v>
      </c>
      <c r="CW276" t="str">
        <f t="shared" si="62"/>
        <v>w_Hydrocarb_HiH</v>
      </c>
      <c r="CX276">
        <f t="shared" si="59"/>
        <v>15</v>
      </c>
      <c r="CY276" t="str">
        <f t="shared" si="63"/>
        <v>[kg/bbl] kg of Hydrocarbon, aqueous emissions to water per bbl of crude throughput - High Complexity Hydro Cracking</v>
      </c>
    </row>
    <row r="277" spans="99:103" x14ac:dyDescent="0.25">
      <c r="CU277">
        <f t="shared" si="60"/>
        <v>4</v>
      </c>
      <c r="CV277">
        <f t="shared" si="61"/>
        <v>44</v>
      </c>
      <c r="CW277" t="str">
        <f t="shared" si="62"/>
        <v>w_Hydrocarb_HiC</v>
      </c>
      <c r="CX277">
        <f t="shared" si="59"/>
        <v>15</v>
      </c>
      <c r="CY277" t="str">
        <f t="shared" si="63"/>
        <v>[kg/bbl] kg of Hydrocarbon, aqueous emissions to water per bbl of crude throughput - High Complexity Coking</v>
      </c>
    </row>
    <row r="278" spans="99:103" x14ac:dyDescent="0.25">
      <c r="CU278">
        <f t="shared" si="60"/>
        <v>5</v>
      </c>
      <c r="CV278">
        <f t="shared" si="61"/>
        <v>44</v>
      </c>
      <c r="CW278" t="str">
        <f t="shared" si="62"/>
        <v>w_Hydrocarb_HiB</v>
      </c>
      <c r="CX278">
        <f t="shared" si="59"/>
        <v>15</v>
      </c>
      <c r="CY278" t="str">
        <f t="shared" si="63"/>
        <v>[kg/bbl] kg of Hydrocarbon, aqueous emissions to water per bbl of crude throughput - High Complexity Hydro Cracking and Coking</v>
      </c>
    </row>
    <row r="279" spans="99:103" x14ac:dyDescent="0.25">
      <c r="CU279">
        <f t="shared" si="60"/>
        <v>6</v>
      </c>
      <c r="CV279">
        <f t="shared" si="61"/>
        <v>44</v>
      </c>
      <c r="CW279" t="str">
        <f t="shared" si="62"/>
        <v>w_Hydrocarb</v>
      </c>
      <c r="CX279">
        <f t="shared" si="59"/>
        <v>11</v>
      </c>
      <c r="CY279" t="str">
        <f t="shared" si="63"/>
        <v>[kg/bbl] kg of Hydrocarbon, aqueous emissions to water per bbl of crude throughput</v>
      </c>
    </row>
    <row r="280" spans="99:103" x14ac:dyDescent="0.25">
      <c r="CU280">
        <f t="shared" si="60"/>
        <v>1</v>
      </c>
      <c r="CV280">
        <f t="shared" si="61"/>
        <v>45</v>
      </c>
      <c r="CW280" t="str">
        <f t="shared" si="62"/>
        <v>w_HYDROFLUO_L</v>
      </c>
      <c r="CX280">
        <f t="shared" si="59"/>
        <v>13</v>
      </c>
      <c r="CY280" t="str">
        <f t="shared" si="63"/>
        <v>[kg/bbl] kg of HYDROFLUORIC ACID emissions to water per bbl of crude throughput - Low Complexity</v>
      </c>
    </row>
    <row r="281" spans="99:103" x14ac:dyDescent="0.25">
      <c r="CU281">
        <f t="shared" si="60"/>
        <v>2</v>
      </c>
      <c r="CV281">
        <f t="shared" si="61"/>
        <v>45</v>
      </c>
      <c r="CW281" t="str">
        <f t="shared" si="62"/>
        <v>w_HYDROFLUO_M</v>
      </c>
      <c r="CX281">
        <f t="shared" si="59"/>
        <v>13</v>
      </c>
      <c r="CY281" t="str">
        <f t="shared" si="63"/>
        <v>[kg/bbl] kg of HYDROFLUORIC ACID emissions to water per bbl of crude throughput - Med Complexity</v>
      </c>
    </row>
    <row r="282" spans="99:103" x14ac:dyDescent="0.25">
      <c r="CU282">
        <f t="shared" si="60"/>
        <v>3</v>
      </c>
      <c r="CV282">
        <f t="shared" si="61"/>
        <v>45</v>
      </c>
      <c r="CW282" t="str">
        <f t="shared" si="62"/>
        <v>w_HYDROFLUO_HiH</v>
      </c>
      <c r="CX282">
        <f t="shared" si="59"/>
        <v>15</v>
      </c>
      <c r="CY282" t="str">
        <f t="shared" si="63"/>
        <v>[kg/bbl] kg of HYDROFLUORIC ACID emissions to water per bbl of crude throughput - High Complexity Hydro Cracking</v>
      </c>
    </row>
    <row r="283" spans="99:103" x14ac:dyDescent="0.25">
      <c r="CU283">
        <f t="shared" si="60"/>
        <v>4</v>
      </c>
      <c r="CV283">
        <f t="shared" si="61"/>
        <v>45</v>
      </c>
      <c r="CW283" t="str">
        <f t="shared" si="62"/>
        <v>w_HYDROFLUO_HiC</v>
      </c>
      <c r="CX283">
        <f t="shared" si="59"/>
        <v>15</v>
      </c>
      <c r="CY283" t="str">
        <f t="shared" si="63"/>
        <v>[kg/bbl] kg of HYDROFLUORIC ACID emissions to water per bbl of crude throughput - High Complexity Coking</v>
      </c>
    </row>
    <row r="284" spans="99:103" x14ac:dyDescent="0.25">
      <c r="CU284">
        <f t="shared" si="60"/>
        <v>5</v>
      </c>
      <c r="CV284">
        <f t="shared" si="61"/>
        <v>45</v>
      </c>
      <c r="CW284" t="str">
        <f t="shared" si="62"/>
        <v>w_HYDROFLUO_HiB</v>
      </c>
      <c r="CX284">
        <f t="shared" si="59"/>
        <v>15</v>
      </c>
      <c r="CY284" t="str">
        <f t="shared" si="63"/>
        <v>[kg/bbl] kg of HYDROFLUORIC ACID emissions to water per bbl of crude throughput - High Complexity Hydro Cracking and Coking</v>
      </c>
    </row>
    <row r="285" spans="99:103" x14ac:dyDescent="0.25">
      <c r="CU285">
        <f t="shared" si="60"/>
        <v>6</v>
      </c>
      <c r="CV285">
        <f t="shared" si="61"/>
        <v>45</v>
      </c>
      <c r="CW285" t="str">
        <f t="shared" si="62"/>
        <v>w_HYDROFLUO</v>
      </c>
      <c r="CX285">
        <f t="shared" si="59"/>
        <v>11</v>
      </c>
      <c r="CY285" t="str">
        <f t="shared" si="63"/>
        <v>[kg/bbl] kg of HYDROFLUORIC ACID emissions to water per bbl of crude throughput</v>
      </c>
    </row>
    <row r="286" spans="99:103" x14ac:dyDescent="0.25">
      <c r="CU286">
        <f t="shared" si="60"/>
        <v>1</v>
      </c>
      <c r="CV286">
        <f t="shared" si="61"/>
        <v>46</v>
      </c>
      <c r="CW286" t="str">
        <f t="shared" si="62"/>
        <v>w_HYDROGENC_L</v>
      </c>
      <c r="CX286">
        <f t="shared" si="59"/>
        <v>13</v>
      </c>
      <c r="CY286" t="str">
        <f t="shared" si="63"/>
        <v>[kg/bbl] kg of HYDROGEN CYANIDE emissions to water per bbl of crude throughput - Low Complexity</v>
      </c>
    </row>
    <row r="287" spans="99:103" x14ac:dyDescent="0.25">
      <c r="CU287">
        <f t="shared" si="60"/>
        <v>2</v>
      </c>
      <c r="CV287">
        <f t="shared" si="61"/>
        <v>46</v>
      </c>
      <c r="CW287" t="str">
        <f t="shared" si="62"/>
        <v>w_HYDROGENC_M</v>
      </c>
      <c r="CX287">
        <f t="shared" si="59"/>
        <v>13</v>
      </c>
      <c r="CY287" t="str">
        <f t="shared" si="63"/>
        <v>[kg/bbl] kg of HYDROGEN CYANIDE emissions to water per bbl of crude throughput - Med Complexity</v>
      </c>
    </row>
    <row r="288" spans="99:103" x14ac:dyDescent="0.25">
      <c r="CU288">
        <f t="shared" si="60"/>
        <v>3</v>
      </c>
      <c r="CV288">
        <f t="shared" si="61"/>
        <v>46</v>
      </c>
      <c r="CW288" t="str">
        <f t="shared" si="62"/>
        <v>w_HYDROGENC_HiH</v>
      </c>
      <c r="CX288">
        <f t="shared" si="59"/>
        <v>15</v>
      </c>
      <c r="CY288" t="str">
        <f t="shared" si="63"/>
        <v>[kg/bbl] kg of HYDROGEN CYANIDE emissions to water per bbl of crude throughput - High Complexity Hydro Cracking</v>
      </c>
    </row>
    <row r="289" spans="99:103" x14ac:dyDescent="0.25">
      <c r="CU289">
        <f t="shared" si="60"/>
        <v>4</v>
      </c>
      <c r="CV289">
        <f t="shared" si="61"/>
        <v>46</v>
      </c>
      <c r="CW289" t="str">
        <f t="shared" si="62"/>
        <v>w_HYDROGENC_HiC</v>
      </c>
      <c r="CX289">
        <f t="shared" si="59"/>
        <v>15</v>
      </c>
      <c r="CY289" t="str">
        <f t="shared" si="63"/>
        <v>[kg/bbl] kg of HYDROGEN CYANIDE emissions to water per bbl of crude throughput - High Complexity Coking</v>
      </c>
    </row>
    <row r="290" spans="99:103" x14ac:dyDescent="0.25">
      <c r="CU290">
        <f t="shared" si="60"/>
        <v>5</v>
      </c>
      <c r="CV290">
        <f t="shared" si="61"/>
        <v>46</v>
      </c>
      <c r="CW290" t="str">
        <f t="shared" si="62"/>
        <v>w_HYDROGENC_HiB</v>
      </c>
      <c r="CX290">
        <f t="shared" si="59"/>
        <v>15</v>
      </c>
      <c r="CY290" t="str">
        <f t="shared" si="63"/>
        <v>[kg/bbl] kg of HYDROGEN CYANIDE emissions to water per bbl of crude throughput - High Complexity Hydro Cracking and Coking</v>
      </c>
    </row>
    <row r="291" spans="99:103" x14ac:dyDescent="0.25">
      <c r="CU291">
        <f t="shared" si="60"/>
        <v>6</v>
      </c>
      <c r="CV291">
        <f t="shared" si="61"/>
        <v>46</v>
      </c>
      <c r="CW291" t="str">
        <f t="shared" si="62"/>
        <v>w_HYDROGENC</v>
      </c>
      <c r="CX291">
        <f t="shared" si="59"/>
        <v>11</v>
      </c>
      <c r="CY291" t="str">
        <f t="shared" si="63"/>
        <v>[kg/bbl] kg of HYDROGEN CYANIDE emissions to water per bbl of crude throughput</v>
      </c>
    </row>
    <row r="292" spans="99:103" x14ac:dyDescent="0.25">
      <c r="CU292">
        <f t="shared" si="60"/>
        <v>1</v>
      </c>
      <c r="CV292">
        <f t="shared" si="61"/>
        <v>47</v>
      </c>
      <c r="CW292" t="str">
        <f t="shared" si="62"/>
        <v>w_Indeno123_L</v>
      </c>
      <c r="CX292">
        <f t="shared" si="59"/>
        <v>13</v>
      </c>
      <c r="CY292" t="str">
        <f t="shared" si="63"/>
        <v>[kg/bbl] kg of Indeno(1,2,3-cd)pyrene emissions to water per bbl of crude throughput - Low Complexity</v>
      </c>
    </row>
    <row r="293" spans="99:103" x14ac:dyDescent="0.25">
      <c r="CU293">
        <f t="shared" si="60"/>
        <v>2</v>
      </c>
      <c r="CV293">
        <f t="shared" si="61"/>
        <v>47</v>
      </c>
      <c r="CW293" t="str">
        <f t="shared" si="62"/>
        <v>w_Indeno123_M</v>
      </c>
      <c r="CX293">
        <f t="shared" si="59"/>
        <v>13</v>
      </c>
      <c r="CY293" t="str">
        <f t="shared" si="63"/>
        <v>[kg/bbl] kg of Indeno(1,2,3-cd)pyrene emissions to water per bbl of crude throughput - Med Complexity</v>
      </c>
    </row>
    <row r="294" spans="99:103" x14ac:dyDescent="0.25">
      <c r="CU294">
        <f t="shared" si="60"/>
        <v>3</v>
      </c>
      <c r="CV294">
        <f t="shared" si="61"/>
        <v>47</v>
      </c>
      <c r="CW294" t="str">
        <f t="shared" si="62"/>
        <v>w_Indeno123_HiH</v>
      </c>
      <c r="CX294">
        <f t="shared" si="59"/>
        <v>15</v>
      </c>
      <c r="CY294" t="str">
        <f t="shared" si="63"/>
        <v>[kg/bbl] kg of Indeno(1,2,3-cd)pyrene emissions to water per bbl of crude throughput - High Complexity Hydro Cracking</v>
      </c>
    </row>
    <row r="295" spans="99:103" x14ac:dyDescent="0.25">
      <c r="CU295">
        <f t="shared" si="60"/>
        <v>4</v>
      </c>
      <c r="CV295">
        <f t="shared" si="61"/>
        <v>47</v>
      </c>
      <c r="CW295" t="str">
        <f t="shared" si="62"/>
        <v>w_Indeno123_HiC</v>
      </c>
      <c r="CX295">
        <f t="shared" si="59"/>
        <v>15</v>
      </c>
      <c r="CY295" t="str">
        <f t="shared" si="63"/>
        <v>[kg/bbl] kg of Indeno(1,2,3-cd)pyrene emissions to water per bbl of crude throughput - High Complexity Coking</v>
      </c>
    </row>
    <row r="296" spans="99:103" x14ac:dyDescent="0.25">
      <c r="CU296">
        <f t="shared" si="60"/>
        <v>5</v>
      </c>
      <c r="CV296">
        <f t="shared" si="61"/>
        <v>47</v>
      </c>
      <c r="CW296" t="str">
        <f t="shared" si="62"/>
        <v>w_Indeno123_HiB</v>
      </c>
      <c r="CX296">
        <f t="shared" si="59"/>
        <v>15</v>
      </c>
      <c r="CY296" t="str">
        <f t="shared" si="63"/>
        <v>[kg/bbl] kg of Indeno(1,2,3-cd)pyrene emissions to water per bbl of crude throughput - High Complexity Hydro Cracking and Coking</v>
      </c>
    </row>
    <row r="297" spans="99:103" x14ac:dyDescent="0.25">
      <c r="CU297">
        <f t="shared" si="60"/>
        <v>6</v>
      </c>
      <c r="CV297">
        <f t="shared" si="61"/>
        <v>47</v>
      </c>
      <c r="CW297" t="str">
        <f t="shared" si="62"/>
        <v>w_Indeno123</v>
      </c>
      <c r="CX297">
        <f t="shared" si="59"/>
        <v>11</v>
      </c>
      <c r="CY297" t="str">
        <f t="shared" si="63"/>
        <v>[kg/bbl] kg of Indeno(1,2,3-cd)pyrene emissions to water per bbl of crude throughput</v>
      </c>
    </row>
    <row r="298" spans="99:103" x14ac:dyDescent="0.25">
      <c r="CU298">
        <f t="shared" si="60"/>
        <v>1</v>
      </c>
      <c r="CV298">
        <f t="shared" si="61"/>
        <v>48</v>
      </c>
      <c r="CW298" t="str">
        <f t="shared" si="62"/>
        <v>w_Irontotal_L</v>
      </c>
      <c r="CX298">
        <f t="shared" si="59"/>
        <v>13</v>
      </c>
      <c r="CY298" t="str">
        <f t="shared" si="63"/>
        <v>[kg/bbl] kg of Iron, total (as Fe) emissions to water per bbl of crude throughput - Low Complexity</v>
      </c>
    </row>
    <row r="299" spans="99:103" x14ac:dyDescent="0.25">
      <c r="CU299">
        <f t="shared" si="60"/>
        <v>2</v>
      </c>
      <c r="CV299">
        <f t="shared" si="61"/>
        <v>48</v>
      </c>
      <c r="CW299" t="str">
        <f t="shared" si="62"/>
        <v>w_Irontotal_M</v>
      </c>
      <c r="CX299">
        <f t="shared" si="59"/>
        <v>13</v>
      </c>
      <c r="CY299" t="str">
        <f t="shared" si="63"/>
        <v>[kg/bbl] kg of Iron, total (as Fe) emissions to water per bbl of crude throughput - Med Complexity</v>
      </c>
    </row>
    <row r="300" spans="99:103" x14ac:dyDescent="0.25">
      <c r="CU300">
        <f t="shared" si="60"/>
        <v>3</v>
      </c>
      <c r="CV300">
        <f t="shared" si="61"/>
        <v>48</v>
      </c>
      <c r="CW300" t="str">
        <f t="shared" si="62"/>
        <v>w_Irontotal_HiH</v>
      </c>
      <c r="CX300">
        <f t="shared" si="59"/>
        <v>15</v>
      </c>
      <c r="CY300" t="str">
        <f t="shared" si="63"/>
        <v>[kg/bbl] kg of Iron, total (as Fe) emissions to water per bbl of crude throughput - High Complexity Hydro Cracking</v>
      </c>
    </row>
    <row r="301" spans="99:103" x14ac:dyDescent="0.25">
      <c r="CU301">
        <f t="shared" si="60"/>
        <v>4</v>
      </c>
      <c r="CV301">
        <f t="shared" si="61"/>
        <v>48</v>
      </c>
      <c r="CW301" t="str">
        <f t="shared" si="62"/>
        <v>w_Irontotal_HiC</v>
      </c>
      <c r="CX301">
        <f t="shared" si="59"/>
        <v>15</v>
      </c>
      <c r="CY301" t="str">
        <f t="shared" si="63"/>
        <v>[kg/bbl] kg of Iron, total (as Fe) emissions to water per bbl of crude throughput - High Complexity Coking</v>
      </c>
    </row>
    <row r="302" spans="99:103" x14ac:dyDescent="0.25">
      <c r="CU302">
        <f t="shared" si="60"/>
        <v>5</v>
      </c>
      <c r="CV302">
        <f t="shared" si="61"/>
        <v>48</v>
      </c>
      <c r="CW302" t="str">
        <f t="shared" si="62"/>
        <v>w_Irontotal_HiB</v>
      </c>
      <c r="CX302">
        <f t="shared" si="59"/>
        <v>15</v>
      </c>
      <c r="CY302" t="str">
        <f t="shared" si="63"/>
        <v>[kg/bbl] kg of Iron, total (as Fe) emissions to water per bbl of crude throughput - High Complexity Hydro Cracking and Coking</v>
      </c>
    </row>
    <row r="303" spans="99:103" x14ac:dyDescent="0.25">
      <c r="CU303">
        <f t="shared" si="60"/>
        <v>6</v>
      </c>
      <c r="CV303">
        <f t="shared" si="61"/>
        <v>48</v>
      </c>
      <c r="CW303" t="str">
        <f t="shared" si="62"/>
        <v>w_Irontotal</v>
      </c>
      <c r="CX303">
        <f t="shared" si="59"/>
        <v>11</v>
      </c>
      <c r="CY303" t="str">
        <f t="shared" si="63"/>
        <v>[kg/bbl] kg of Iron, total (as Fe) emissions to water per bbl of crude throughput</v>
      </c>
    </row>
    <row r="304" spans="99:103" x14ac:dyDescent="0.25">
      <c r="CU304">
        <f t="shared" si="60"/>
        <v>1</v>
      </c>
      <c r="CV304">
        <f t="shared" si="61"/>
        <v>49</v>
      </c>
      <c r="CW304" t="str">
        <f t="shared" si="62"/>
        <v>w_ISOPROPYL_L</v>
      </c>
      <c r="CX304">
        <f t="shared" si="59"/>
        <v>13</v>
      </c>
      <c r="CY304" t="str">
        <f t="shared" si="63"/>
        <v>[kg/bbl] kg of ISOPROPYLBENZENE emissions to water per bbl of crude throughput - Low Complexity</v>
      </c>
    </row>
    <row r="305" spans="99:103" x14ac:dyDescent="0.25">
      <c r="CU305">
        <f t="shared" si="60"/>
        <v>2</v>
      </c>
      <c r="CV305">
        <f t="shared" si="61"/>
        <v>49</v>
      </c>
      <c r="CW305" t="str">
        <f t="shared" si="62"/>
        <v>w_ISOPROPYL_M</v>
      </c>
      <c r="CX305">
        <f t="shared" si="59"/>
        <v>13</v>
      </c>
      <c r="CY305" t="str">
        <f t="shared" si="63"/>
        <v>[kg/bbl] kg of ISOPROPYLBENZENE emissions to water per bbl of crude throughput - Med Complexity</v>
      </c>
    </row>
    <row r="306" spans="99:103" x14ac:dyDescent="0.25">
      <c r="CU306">
        <f t="shared" si="60"/>
        <v>3</v>
      </c>
      <c r="CV306">
        <f t="shared" si="61"/>
        <v>49</v>
      </c>
      <c r="CW306" t="str">
        <f t="shared" si="62"/>
        <v>w_ISOPROPYL_HiH</v>
      </c>
      <c r="CX306">
        <f t="shared" si="59"/>
        <v>15</v>
      </c>
      <c r="CY306" t="str">
        <f t="shared" si="63"/>
        <v>[kg/bbl] kg of ISOPROPYLBENZENE emissions to water per bbl of crude throughput - High Complexity Hydro Cracking</v>
      </c>
    </row>
    <row r="307" spans="99:103" x14ac:dyDescent="0.25">
      <c r="CU307">
        <f t="shared" si="60"/>
        <v>4</v>
      </c>
      <c r="CV307">
        <f t="shared" si="61"/>
        <v>49</v>
      </c>
      <c r="CW307" t="str">
        <f t="shared" si="62"/>
        <v>w_ISOPROPYL_HiC</v>
      </c>
      <c r="CX307">
        <f t="shared" si="59"/>
        <v>15</v>
      </c>
      <c r="CY307" t="str">
        <f t="shared" si="63"/>
        <v>[kg/bbl] kg of ISOPROPYLBENZENE emissions to water per bbl of crude throughput - High Complexity Coking</v>
      </c>
    </row>
    <row r="308" spans="99:103" x14ac:dyDescent="0.25">
      <c r="CU308">
        <f t="shared" si="60"/>
        <v>5</v>
      </c>
      <c r="CV308">
        <f t="shared" si="61"/>
        <v>49</v>
      </c>
      <c r="CW308" t="str">
        <f t="shared" si="62"/>
        <v>w_ISOPROPYL_HiB</v>
      </c>
      <c r="CX308">
        <f t="shared" si="59"/>
        <v>15</v>
      </c>
      <c r="CY308" t="str">
        <f t="shared" si="63"/>
        <v>[kg/bbl] kg of ISOPROPYLBENZENE emissions to water per bbl of crude throughput - High Complexity Hydro Cracking and Coking</v>
      </c>
    </row>
    <row r="309" spans="99:103" x14ac:dyDescent="0.25">
      <c r="CU309">
        <f t="shared" si="60"/>
        <v>6</v>
      </c>
      <c r="CV309">
        <f t="shared" si="61"/>
        <v>49</v>
      </c>
      <c r="CW309" t="str">
        <f t="shared" si="62"/>
        <v>w_ISOPROPYL</v>
      </c>
      <c r="CX309">
        <f t="shared" si="59"/>
        <v>11</v>
      </c>
      <c r="CY309" t="str">
        <f t="shared" si="63"/>
        <v>[kg/bbl] kg of ISOPROPYLBENZENE emissions to water per bbl of crude throughput</v>
      </c>
    </row>
    <row r="310" spans="99:103" x14ac:dyDescent="0.25">
      <c r="CU310">
        <f t="shared" si="60"/>
        <v>1</v>
      </c>
      <c r="CV310">
        <f t="shared" si="61"/>
        <v>50</v>
      </c>
      <c r="CW310" t="str">
        <f t="shared" si="62"/>
        <v>w_Leadtotal_L</v>
      </c>
      <c r="CX310">
        <f t="shared" si="59"/>
        <v>13</v>
      </c>
      <c r="CY310" t="str">
        <f t="shared" si="63"/>
        <v>[kg/bbl] kg of Lead, total (as Pb) emissions to water per bbl of crude throughput - Low Complexity</v>
      </c>
    </row>
    <row r="311" spans="99:103" x14ac:dyDescent="0.25">
      <c r="CU311">
        <f t="shared" si="60"/>
        <v>2</v>
      </c>
      <c r="CV311">
        <f t="shared" si="61"/>
        <v>50</v>
      </c>
      <c r="CW311" t="str">
        <f t="shared" si="62"/>
        <v>w_Leadtotal_M</v>
      </c>
      <c r="CX311">
        <f t="shared" si="59"/>
        <v>13</v>
      </c>
      <c r="CY311" t="str">
        <f t="shared" si="63"/>
        <v>[kg/bbl] kg of Lead, total (as Pb) emissions to water per bbl of crude throughput - Med Complexity</v>
      </c>
    </row>
    <row r="312" spans="99:103" x14ac:dyDescent="0.25">
      <c r="CU312">
        <f t="shared" si="60"/>
        <v>3</v>
      </c>
      <c r="CV312">
        <f t="shared" si="61"/>
        <v>50</v>
      </c>
      <c r="CW312" t="str">
        <f t="shared" si="62"/>
        <v>w_Leadtotal_HiH</v>
      </c>
      <c r="CX312">
        <f t="shared" si="59"/>
        <v>15</v>
      </c>
      <c r="CY312" t="str">
        <f t="shared" si="63"/>
        <v>[kg/bbl] kg of Lead, total (as Pb) emissions to water per bbl of crude throughput - High Complexity Hydro Cracking</v>
      </c>
    </row>
    <row r="313" spans="99:103" x14ac:dyDescent="0.25">
      <c r="CU313">
        <f t="shared" si="60"/>
        <v>4</v>
      </c>
      <c r="CV313">
        <f t="shared" si="61"/>
        <v>50</v>
      </c>
      <c r="CW313" t="str">
        <f t="shared" si="62"/>
        <v>w_Leadtotal_HiC</v>
      </c>
      <c r="CX313">
        <f t="shared" si="59"/>
        <v>15</v>
      </c>
      <c r="CY313" t="str">
        <f t="shared" si="63"/>
        <v>[kg/bbl] kg of Lead, total (as Pb) emissions to water per bbl of crude throughput - High Complexity Coking</v>
      </c>
    </row>
    <row r="314" spans="99:103" x14ac:dyDescent="0.25">
      <c r="CU314">
        <f t="shared" si="60"/>
        <v>5</v>
      </c>
      <c r="CV314">
        <f t="shared" si="61"/>
        <v>50</v>
      </c>
      <c r="CW314" t="str">
        <f t="shared" si="62"/>
        <v>w_Leadtotal_HiB</v>
      </c>
      <c r="CX314">
        <f t="shared" si="59"/>
        <v>15</v>
      </c>
      <c r="CY314" t="str">
        <f t="shared" si="63"/>
        <v>[kg/bbl] kg of Lead, total (as Pb) emissions to water per bbl of crude throughput - High Complexity Hydro Cracking and Coking</v>
      </c>
    </row>
    <row r="315" spans="99:103" x14ac:dyDescent="0.25">
      <c r="CU315">
        <f t="shared" si="60"/>
        <v>6</v>
      </c>
      <c r="CV315">
        <f t="shared" si="61"/>
        <v>50</v>
      </c>
      <c r="CW315" t="str">
        <f t="shared" si="62"/>
        <v>w_Leadtotal</v>
      </c>
      <c r="CX315">
        <f t="shared" si="59"/>
        <v>11</v>
      </c>
      <c r="CY315" t="str">
        <f t="shared" si="63"/>
        <v>[kg/bbl] kg of Lead, total (as Pb) emissions to water per bbl of crude throughput</v>
      </c>
    </row>
    <row r="316" spans="99:103" x14ac:dyDescent="0.25">
      <c r="CU316">
        <f t="shared" si="60"/>
        <v>1</v>
      </c>
      <c r="CV316">
        <f t="shared" si="61"/>
        <v>51</v>
      </c>
      <c r="CW316" t="str">
        <f t="shared" si="62"/>
        <v>w_Magnesium_L</v>
      </c>
      <c r="CX316">
        <f t="shared" si="59"/>
        <v>13</v>
      </c>
      <c r="CY316" t="str">
        <f t="shared" si="63"/>
        <v>[kg/bbl] kg of Magnesium, total (as Mg) emissions to water per bbl of crude throughput - Low Complexity</v>
      </c>
    </row>
    <row r="317" spans="99:103" x14ac:dyDescent="0.25">
      <c r="CU317">
        <f t="shared" si="60"/>
        <v>2</v>
      </c>
      <c r="CV317">
        <f t="shared" si="61"/>
        <v>51</v>
      </c>
      <c r="CW317" t="str">
        <f t="shared" si="62"/>
        <v>w_Magnesium_M</v>
      </c>
      <c r="CX317">
        <f t="shared" si="59"/>
        <v>13</v>
      </c>
      <c r="CY317" t="str">
        <f t="shared" si="63"/>
        <v>[kg/bbl] kg of Magnesium, total (as Mg) emissions to water per bbl of crude throughput - Med Complexity</v>
      </c>
    </row>
    <row r="318" spans="99:103" x14ac:dyDescent="0.25">
      <c r="CU318">
        <f t="shared" si="60"/>
        <v>3</v>
      </c>
      <c r="CV318">
        <f t="shared" si="61"/>
        <v>51</v>
      </c>
      <c r="CW318" t="str">
        <f t="shared" si="62"/>
        <v>w_Magnesium_HiH</v>
      </c>
      <c r="CX318">
        <f t="shared" si="59"/>
        <v>15</v>
      </c>
      <c r="CY318" t="str">
        <f t="shared" si="63"/>
        <v>[kg/bbl] kg of Magnesium, total (as Mg) emissions to water per bbl of crude throughput - High Complexity Hydro Cracking</v>
      </c>
    </row>
    <row r="319" spans="99:103" x14ac:dyDescent="0.25">
      <c r="CU319">
        <f t="shared" si="60"/>
        <v>4</v>
      </c>
      <c r="CV319">
        <f t="shared" si="61"/>
        <v>51</v>
      </c>
      <c r="CW319" t="str">
        <f t="shared" si="62"/>
        <v>w_Magnesium_HiC</v>
      </c>
      <c r="CX319">
        <f t="shared" si="59"/>
        <v>15</v>
      </c>
      <c r="CY319" t="str">
        <f t="shared" si="63"/>
        <v>[kg/bbl] kg of Magnesium, total (as Mg) emissions to water per bbl of crude throughput - High Complexity Coking</v>
      </c>
    </row>
    <row r="320" spans="99:103" x14ac:dyDescent="0.25">
      <c r="CU320">
        <f t="shared" si="60"/>
        <v>5</v>
      </c>
      <c r="CV320">
        <f t="shared" si="61"/>
        <v>51</v>
      </c>
      <c r="CW320" t="str">
        <f t="shared" si="62"/>
        <v>w_Magnesium_HiB</v>
      </c>
      <c r="CX320">
        <f t="shared" si="59"/>
        <v>15</v>
      </c>
      <c r="CY320" t="str">
        <f t="shared" si="63"/>
        <v>[kg/bbl] kg of Magnesium, total (as Mg) emissions to water per bbl of crude throughput - High Complexity Hydro Cracking and Coking</v>
      </c>
    </row>
    <row r="321" spans="99:103" x14ac:dyDescent="0.25">
      <c r="CU321">
        <f t="shared" si="60"/>
        <v>6</v>
      </c>
      <c r="CV321">
        <f t="shared" si="61"/>
        <v>51</v>
      </c>
      <c r="CW321" t="str">
        <f t="shared" si="62"/>
        <v>w_Magnesium</v>
      </c>
      <c r="CX321">
        <f t="shared" si="59"/>
        <v>11</v>
      </c>
      <c r="CY321" t="str">
        <f t="shared" si="63"/>
        <v>[kg/bbl] kg of Magnesium, total (as Mg) emissions to water per bbl of crude throughput</v>
      </c>
    </row>
    <row r="322" spans="99:103" x14ac:dyDescent="0.25">
      <c r="CU322">
        <f t="shared" si="60"/>
        <v>1</v>
      </c>
      <c r="CV322">
        <f t="shared" si="61"/>
        <v>52</v>
      </c>
      <c r="CW322" t="str">
        <f t="shared" si="62"/>
        <v>w_Manganese_L</v>
      </c>
      <c r="CX322">
        <f t="shared" si="59"/>
        <v>13</v>
      </c>
      <c r="CY322" t="str">
        <f t="shared" si="63"/>
        <v>[kg/bbl] kg of Manganese, potentially dissolvd emissions to water per bbl of crude throughput - Low Complexity</v>
      </c>
    </row>
    <row r="323" spans="99:103" x14ac:dyDescent="0.25">
      <c r="CU323">
        <f t="shared" si="60"/>
        <v>2</v>
      </c>
      <c r="CV323">
        <f t="shared" si="61"/>
        <v>52</v>
      </c>
      <c r="CW323" t="str">
        <f t="shared" si="62"/>
        <v>w_Manganese_M</v>
      </c>
      <c r="CX323">
        <f t="shared" si="59"/>
        <v>13</v>
      </c>
      <c r="CY323" t="str">
        <f t="shared" si="63"/>
        <v>[kg/bbl] kg of Manganese, potentially dissolvd emissions to water per bbl of crude throughput - Med Complexity</v>
      </c>
    </row>
    <row r="324" spans="99:103" x14ac:dyDescent="0.25">
      <c r="CU324">
        <f t="shared" si="60"/>
        <v>3</v>
      </c>
      <c r="CV324">
        <f t="shared" si="61"/>
        <v>52</v>
      </c>
      <c r="CW324" t="str">
        <f t="shared" si="62"/>
        <v>w_Manganese_HiH</v>
      </c>
      <c r="CX324">
        <f t="shared" si="59"/>
        <v>15</v>
      </c>
      <c r="CY324" t="str">
        <f t="shared" si="63"/>
        <v>[kg/bbl] kg of Manganese, potentially dissolvd emissions to water per bbl of crude throughput - High Complexity Hydro Cracking</v>
      </c>
    </row>
    <row r="325" spans="99:103" x14ac:dyDescent="0.25">
      <c r="CU325">
        <f t="shared" si="60"/>
        <v>4</v>
      </c>
      <c r="CV325">
        <f t="shared" si="61"/>
        <v>52</v>
      </c>
      <c r="CW325" t="str">
        <f t="shared" si="62"/>
        <v>w_Manganese_HiC</v>
      </c>
      <c r="CX325">
        <f t="shared" si="59"/>
        <v>15</v>
      </c>
      <c r="CY325" t="str">
        <f t="shared" si="63"/>
        <v>[kg/bbl] kg of Manganese, potentially dissolvd emissions to water per bbl of crude throughput - High Complexity Coking</v>
      </c>
    </row>
    <row r="326" spans="99:103" x14ac:dyDescent="0.25">
      <c r="CU326">
        <f t="shared" si="60"/>
        <v>5</v>
      </c>
      <c r="CV326">
        <f t="shared" si="61"/>
        <v>52</v>
      </c>
      <c r="CW326" t="str">
        <f t="shared" si="62"/>
        <v>w_Manganese_HiB</v>
      </c>
      <c r="CX326">
        <f t="shared" si="59"/>
        <v>15</v>
      </c>
      <c r="CY326" t="str">
        <f t="shared" si="63"/>
        <v>[kg/bbl] kg of Manganese, potentially dissolvd emissions to water per bbl of crude throughput - High Complexity Hydro Cracking and Coking</v>
      </c>
    </row>
    <row r="327" spans="99:103" x14ac:dyDescent="0.25">
      <c r="CU327">
        <f t="shared" si="60"/>
        <v>6</v>
      </c>
      <c r="CV327">
        <f t="shared" si="61"/>
        <v>52</v>
      </c>
      <c r="CW327" t="str">
        <f t="shared" si="62"/>
        <v>w_Manganese</v>
      </c>
      <c r="CX327">
        <f t="shared" si="59"/>
        <v>11</v>
      </c>
      <c r="CY327" t="str">
        <f t="shared" si="63"/>
        <v>[kg/bbl] kg of Manganese, potentially dissolvd emissions to water per bbl of crude throughput</v>
      </c>
    </row>
    <row r="328" spans="99:103" x14ac:dyDescent="0.25">
      <c r="CU328">
        <f t="shared" si="60"/>
        <v>1</v>
      </c>
      <c r="CV328">
        <f t="shared" si="61"/>
        <v>53</v>
      </c>
      <c r="CW328" t="str">
        <f t="shared" si="62"/>
        <v>w_Mercuryto_L</v>
      </c>
      <c r="CX328">
        <f t="shared" si="59"/>
        <v>13</v>
      </c>
      <c r="CY328" t="str">
        <f t="shared" si="63"/>
        <v>[kg/bbl] kg of Mercury, total (as Hg) emissions to water per bbl of crude throughput - Low Complexity</v>
      </c>
    </row>
    <row r="329" spans="99:103" x14ac:dyDescent="0.25">
      <c r="CU329">
        <f t="shared" si="60"/>
        <v>2</v>
      </c>
      <c r="CV329">
        <f t="shared" si="61"/>
        <v>53</v>
      </c>
      <c r="CW329" t="str">
        <f t="shared" si="62"/>
        <v>w_Mercuryto_M</v>
      </c>
      <c r="CX329">
        <f t="shared" si="59"/>
        <v>13</v>
      </c>
      <c r="CY329" t="str">
        <f t="shared" si="63"/>
        <v>[kg/bbl] kg of Mercury, total (as Hg) emissions to water per bbl of crude throughput - Med Complexity</v>
      </c>
    </row>
    <row r="330" spans="99:103" x14ac:dyDescent="0.25">
      <c r="CU330">
        <f t="shared" si="60"/>
        <v>3</v>
      </c>
      <c r="CV330">
        <f t="shared" si="61"/>
        <v>53</v>
      </c>
      <c r="CW330" t="str">
        <f t="shared" si="62"/>
        <v>w_Mercuryto_HiH</v>
      </c>
      <c r="CX330">
        <f t="shared" si="59"/>
        <v>15</v>
      </c>
      <c r="CY330" t="str">
        <f t="shared" si="63"/>
        <v>[kg/bbl] kg of Mercury, total (as Hg) emissions to water per bbl of crude throughput - High Complexity Hydro Cracking</v>
      </c>
    </row>
    <row r="331" spans="99:103" x14ac:dyDescent="0.25">
      <c r="CU331">
        <f t="shared" si="60"/>
        <v>4</v>
      </c>
      <c r="CV331">
        <f t="shared" si="61"/>
        <v>53</v>
      </c>
      <c r="CW331" t="str">
        <f t="shared" si="62"/>
        <v>w_Mercuryto_HiC</v>
      </c>
      <c r="CX331">
        <f t="shared" si="59"/>
        <v>15</v>
      </c>
      <c r="CY331" t="str">
        <f t="shared" si="63"/>
        <v>[kg/bbl] kg of Mercury, total (as Hg) emissions to water per bbl of crude throughput - High Complexity Coking</v>
      </c>
    </row>
    <row r="332" spans="99:103" x14ac:dyDescent="0.25">
      <c r="CU332">
        <f t="shared" si="60"/>
        <v>5</v>
      </c>
      <c r="CV332">
        <f t="shared" si="61"/>
        <v>53</v>
      </c>
      <c r="CW332" t="str">
        <f t="shared" si="62"/>
        <v>w_Mercuryto_HiB</v>
      </c>
      <c r="CX332">
        <f t="shared" si="59"/>
        <v>15</v>
      </c>
      <c r="CY332" t="str">
        <f t="shared" si="63"/>
        <v>[kg/bbl] kg of Mercury, total (as Hg) emissions to water per bbl of crude throughput - High Complexity Hydro Cracking and Coking</v>
      </c>
    </row>
    <row r="333" spans="99:103" x14ac:dyDescent="0.25">
      <c r="CU333">
        <f t="shared" si="60"/>
        <v>6</v>
      </c>
      <c r="CV333">
        <f t="shared" si="61"/>
        <v>53</v>
      </c>
      <c r="CW333" t="str">
        <f t="shared" si="62"/>
        <v>w_Mercuryto</v>
      </c>
      <c r="CX333">
        <f t="shared" si="59"/>
        <v>11</v>
      </c>
      <c r="CY333" t="str">
        <f t="shared" si="63"/>
        <v>[kg/bbl] kg of Mercury, total (as Hg) emissions to water per bbl of crude throughput</v>
      </c>
    </row>
    <row r="334" spans="99:103" x14ac:dyDescent="0.25">
      <c r="CU334">
        <f t="shared" si="60"/>
        <v>1</v>
      </c>
      <c r="CV334">
        <f t="shared" si="61"/>
        <v>54</v>
      </c>
      <c r="CW334" t="str">
        <f t="shared" si="62"/>
        <v>w_METHANOL_L</v>
      </c>
      <c r="CX334">
        <f t="shared" ref="CX334:CX397" si="64">LEN(CW334)</f>
        <v>12</v>
      </c>
      <c r="CY334" t="str">
        <f t="shared" si="63"/>
        <v>[kg/bbl] kg of METHANOL emissions to water per bbl of crude throughput - Low Complexity</v>
      </c>
    </row>
    <row r="335" spans="99:103" x14ac:dyDescent="0.25">
      <c r="CU335">
        <f t="shared" si="60"/>
        <v>2</v>
      </c>
      <c r="CV335">
        <f t="shared" si="61"/>
        <v>54</v>
      </c>
      <c r="CW335" t="str">
        <f t="shared" si="62"/>
        <v>w_METHANOL_M</v>
      </c>
      <c r="CX335">
        <f t="shared" si="64"/>
        <v>12</v>
      </c>
      <c r="CY335" t="str">
        <f t="shared" si="63"/>
        <v>[kg/bbl] kg of METHANOL emissions to water per bbl of crude throughput - Med Complexity</v>
      </c>
    </row>
    <row r="336" spans="99:103" x14ac:dyDescent="0.25">
      <c r="CU336">
        <f t="shared" si="60"/>
        <v>3</v>
      </c>
      <c r="CV336">
        <f t="shared" si="61"/>
        <v>54</v>
      </c>
      <c r="CW336" t="str">
        <f t="shared" si="62"/>
        <v>w_METHANOL_HiH</v>
      </c>
      <c r="CX336">
        <f t="shared" si="64"/>
        <v>14</v>
      </c>
      <c r="CY336" t="str">
        <f t="shared" si="63"/>
        <v>[kg/bbl] kg of METHANOL emissions to water per bbl of crude throughput - High Complexity Hydro Cracking</v>
      </c>
    </row>
    <row r="337" spans="99:103" x14ac:dyDescent="0.25">
      <c r="CU337">
        <f t="shared" ref="CU337:CU400" si="65">IF(MOD((ROW()-15),6)=0,6,MOD((ROW()-15),6))</f>
        <v>4</v>
      </c>
      <c r="CV337">
        <f t="shared" ref="CV337:CV400" si="66">IF(MOD(ROW()-15,6)=0,ROUNDDOWN((ROW()-15)/6,0),ROUNDDOWN((ROW()-15)/6,0)+1)</f>
        <v>54</v>
      </c>
      <c r="CW337" t="str">
        <f t="shared" ref="CW337:CW400" si="67">IF(CU337&lt;&gt;6,INDEX($CT$16:$CT$106,CV337)&amp;INDEX($CS$16:$CS$20,CU337),INDEX($CT$16:$CT$106,CV337))</f>
        <v>w_METHANOL_HiC</v>
      </c>
      <c r="CX337">
        <f t="shared" si="64"/>
        <v>14</v>
      </c>
      <c r="CY337" t="str">
        <f t="shared" ref="CY337:CY400" si="68">"[kg/bbl] kg of "&amp;HLOOKUP(INDEX($CT$16:$CT$106,CV337),$E$16:$CQ$17,2,FALSE)&amp;" emissions to water per bbl of crude throughput"&amp;IF(CU337&lt;&gt;6,INDEX($DF$16:$DF$20,CU337),"")</f>
        <v>[kg/bbl] kg of METHANOL emissions to water per bbl of crude throughput - High Complexity Coking</v>
      </c>
    </row>
    <row r="338" spans="99:103" x14ac:dyDescent="0.25">
      <c r="CU338">
        <f t="shared" si="65"/>
        <v>5</v>
      </c>
      <c r="CV338">
        <f t="shared" si="66"/>
        <v>54</v>
      </c>
      <c r="CW338" t="str">
        <f t="shared" si="67"/>
        <v>w_METHANOL_HiB</v>
      </c>
      <c r="CX338">
        <f t="shared" si="64"/>
        <v>14</v>
      </c>
      <c r="CY338" t="str">
        <f t="shared" si="68"/>
        <v>[kg/bbl] kg of METHANOL emissions to water per bbl of crude throughput - High Complexity Hydro Cracking and Coking</v>
      </c>
    </row>
    <row r="339" spans="99:103" x14ac:dyDescent="0.25">
      <c r="CU339">
        <f t="shared" si="65"/>
        <v>6</v>
      </c>
      <c r="CV339">
        <f t="shared" si="66"/>
        <v>54</v>
      </c>
      <c r="CW339" t="str">
        <f t="shared" si="67"/>
        <v>w_METHANOL</v>
      </c>
      <c r="CX339">
        <f t="shared" si="64"/>
        <v>10</v>
      </c>
      <c r="CY339" t="str">
        <f t="shared" si="68"/>
        <v>[kg/bbl] kg of METHANOL emissions to water per bbl of crude throughput</v>
      </c>
    </row>
    <row r="340" spans="99:103" x14ac:dyDescent="0.25">
      <c r="CU340">
        <f t="shared" si="65"/>
        <v>1</v>
      </c>
      <c r="CV340">
        <f t="shared" si="66"/>
        <v>55</v>
      </c>
      <c r="CW340" t="str">
        <f t="shared" si="67"/>
        <v>w_METHYLISO_L</v>
      </c>
      <c r="CX340">
        <f t="shared" si="64"/>
        <v>13</v>
      </c>
      <c r="CY340" t="str">
        <f t="shared" si="68"/>
        <v>[kg/bbl] kg of METHYL ISOBUTYL KETONE emissions to water per bbl of crude throughput - Low Complexity</v>
      </c>
    </row>
    <row r="341" spans="99:103" x14ac:dyDescent="0.25">
      <c r="CU341">
        <f t="shared" si="65"/>
        <v>2</v>
      </c>
      <c r="CV341">
        <f t="shared" si="66"/>
        <v>55</v>
      </c>
      <c r="CW341" t="str">
        <f t="shared" si="67"/>
        <v>w_METHYLISO_M</v>
      </c>
      <c r="CX341">
        <f t="shared" si="64"/>
        <v>13</v>
      </c>
      <c r="CY341" t="str">
        <f t="shared" si="68"/>
        <v>[kg/bbl] kg of METHYL ISOBUTYL KETONE emissions to water per bbl of crude throughput - Med Complexity</v>
      </c>
    </row>
    <row r="342" spans="99:103" x14ac:dyDescent="0.25">
      <c r="CU342">
        <f t="shared" si="65"/>
        <v>3</v>
      </c>
      <c r="CV342">
        <f t="shared" si="66"/>
        <v>55</v>
      </c>
      <c r="CW342" t="str">
        <f t="shared" si="67"/>
        <v>w_METHYLISO_HiH</v>
      </c>
      <c r="CX342">
        <f t="shared" si="64"/>
        <v>15</v>
      </c>
      <c r="CY342" t="str">
        <f t="shared" si="68"/>
        <v>[kg/bbl] kg of METHYL ISOBUTYL KETONE emissions to water per bbl of crude throughput - High Complexity Hydro Cracking</v>
      </c>
    </row>
    <row r="343" spans="99:103" x14ac:dyDescent="0.25">
      <c r="CU343">
        <f t="shared" si="65"/>
        <v>4</v>
      </c>
      <c r="CV343">
        <f t="shared" si="66"/>
        <v>55</v>
      </c>
      <c r="CW343" t="str">
        <f t="shared" si="67"/>
        <v>w_METHYLISO_HiC</v>
      </c>
      <c r="CX343">
        <f t="shared" si="64"/>
        <v>15</v>
      </c>
      <c r="CY343" t="str">
        <f t="shared" si="68"/>
        <v>[kg/bbl] kg of METHYL ISOBUTYL KETONE emissions to water per bbl of crude throughput - High Complexity Coking</v>
      </c>
    </row>
    <row r="344" spans="99:103" x14ac:dyDescent="0.25">
      <c r="CU344">
        <f t="shared" si="65"/>
        <v>5</v>
      </c>
      <c r="CV344">
        <f t="shared" si="66"/>
        <v>55</v>
      </c>
      <c r="CW344" t="str">
        <f t="shared" si="67"/>
        <v>w_METHYLISO_HiB</v>
      </c>
      <c r="CX344">
        <f t="shared" si="64"/>
        <v>15</v>
      </c>
      <c r="CY344" t="str">
        <f t="shared" si="68"/>
        <v>[kg/bbl] kg of METHYL ISOBUTYL KETONE emissions to water per bbl of crude throughput - High Complexity Hydro Cracking and Coking</v>
      </c>
    </row>
    <row r="345" spans="99:103" x14ac:dyDescent="0.25">
      <c r="CU345">
        <f t="shared" si="65"/>
        <v>6</v>
      </c>
      <c r="CV345">
        <f t="shared" si="66"/>
        <v>55</v>
      </c>
      <c r="CW345" t="str">
        <f t="shared" si="67"/>
        <v>w_METHYLISO</v>
      </c>
      <c r="CX345">
        <f t="shared" si="64"/>
        <v>11</v>
      </c>
      <c r="CY345" t="str">
        <f t="shared" si="68"/>
        <v>[kg/bbl] kg of METHYL ISOBUTYL KETONE emissions to water per bbl of crude throughput</v>
      </c>
    </row>
    <row r="346" spans="99:103" x14ac:dyDescent="0.25">
      <c r="CU346">
        <f t="shared" si="65"/>
        <v>1</v>
      </c>
      <c r="CV346">
        <f t="shared" si="66"/>
        <v>56</v>
      </c>
      <c r="CW346" t="str">
        <f t="shared" si="67"/>
        <v>w_METHYLTBU_L</v>
      </c>
      <c r="CX346">
        <f t="shared" si="64"/>
        <v>13</v>
      </c>
      <c r="CY346" t="str">
        <f t="shared" si="68"/>
        <v>[kg/bbl] kg of METHYL T-BUTYL ETHER emissions to water per bbl of crude throughput - Low Complexity</v>
      </c>
    </row>
    <row r="347" spans="99:103" x14ac:dyDescent="0.25">
      <c r="CU347">
        <f t="shared" si="65"/>
        <v>2</v>
      </c>
      <c r="CV347">
        <f t="shared" si="66"/>
        <v>56</v>
      </c>
      <c r="CW347" t="str">
        <f t="shared" si="67"/>
        <v>w_METHYLTBU_M</v>
      </c>
      <c r="CX347">
        <f t="shared" si="64"/>
        <v>13</v>
      </c>
      <c r="CY347" t="str">
        <f t="shared" si="68"/>
        <v>[kg/bbl] kg of METHYL T-BUTYL ETHER emissions to water per bbl of crude throughput - Med Complexity</v>
      </c>
    </row>
    <row r="348" spans="99:103" x14ac:dyDescent="0.25">
      <c r="CU348">
        <f t="shared" si="65"/>
        <v>3</v>
      </c>
      <c r="CV348">
        <f t="shared" si="66"/>
        <v>56</v>
      </c>
      <c r="CW348" t="str">
        <f t="shared" si="67"/>
        <v>w_METHYLTBU_HiH</v>
      </c>
      <c r="CX348">
        <f t="shared" si="64"/>
        <v>15</v>
      </c>
      <c r="CY348" t="str">
        <f t="shared" si="68"/>
        <v>[kg/bbl] kg of METHYL T-BUTYL ETHER emissions to water per bbl of crude throughput - High Complexity Hydro Cracking</v>
      </c>
    </row>
    <row r="349" spans="99:103" x14ac:dyDescent="0.25">
      <c r="CU349">
        <f t="shared" si="65"/>
        <v>4</v>
      </c>
      <c r="CV349">
        <f t="shared" si="66"/>
        <v>56</v>
      </c>
      <c r="CW349" t="str">
        <f t="shared" si="67"/>
        <v>w_METHYLTBU_HiC</v>
      </c>
      <c r="CX349">
        <f t="shared" si="64"/>
        <v>15</v>
      </c>
      <c r="CY349" t="str">
        <f t="shared" si="68"/>
        <v>[kg/bbl] kg of METHYL T-BUTYL ETHER emissions to water per bbl of crude throughput - High Complexity Coking</v>
      </c>
    </row>
    <row r="350" spans="99:103" x14ac:dyDescent="0.25">
      <c r="CU350">
        <f t="shared" si="65"/>
        <v>5</v>
      </c>
      <c r="CV350">
        <f t="shared" si="66"/>
        <v>56</v>
      </c>
      <c r="CW350" t="str">
        <f t="shared" si="67"/>
        <v>w_METHYLTBU_HiB</v>
      </c>
      <c r="CX350">
        <f t="shared" si="64"/>
        <v>15</v>
      </c>
      <c r="CY350" t="str">
        <f t="shared" si="68"/>
        <v>[kg/bbl] kg of METHYL T-BUTYL ETHER emissions to water per bbl of crude throughput - High Complexity Hydro Cracking and Coking</v>
      </c>
    </row>
    <row r="351" spans="99:103" x14ac:dyDescent="0.25">
      <c r="CU351">
        <f t="shared" si="65"/>
        <v>6</v>
      </c>
      <c r="CV351">
        <f t="shared" si="66"/>
        <v>56</v>
      </c>
      <c r="CW351" t="str">
        <f t="shared" si="67"/>
        <v>w_METHYLTBU</v>
      </c>
      <c r="CX351">
        <f t="shared" si="64"/>
        <v>11</v>
      </c>
      <c r="CY351" t="str">
        <f t="shared" si="68"/>
        <v>[kg/bbl] kg of METHYL T-BUTYL ETHER emissions to water per bbl of crude throughput</v>
      </c>
    </row>
    <row r="352" spans="99:103" x14ac:dyDescent="0.25">
      <c r="CU352">
        <f t="shared" si="65"/>
        <v>1</v>
      </c>
      <c r="CV352">
        <f t="shared" si="66"/>
        <v>57</v>
      </c>
      <c r="CW352" t="str">
        <f t="shared" si="67"/>
        <v>w_METIRAM_L</v>
      </c>
      <c r="CX352">
        <f t="shared" si="64"/>
        <v>11</v>
      </c>
      <c r="CY352" t="str">
        <f t="shared" si="68"/>
        <v>[kg/bbl] kg of METIRAM emissions to water per bbl of crude throughput - Low Complexity</v>
      </c>
    </row>
    <row r="353" spans="99:103" x14ac:dyDescent="0.25">
      <c r="CU353">
        <f t="shared" si="65"/>
        <v>2</v>
      </c>
      <c r="CV353">
        <f t="shared" si="66"/>
        <v>57</v>
      </c>
      <c r="CW353" t="str">
        <f t="shared" si="67"/>
        <v>w_METIRAM_M</v>
      </c>
      <c r="CX353">
        <f t="shared" si="64"/>
        <v>11</v>
      </c>
      <c r="CY353" t="str">
        <f t="shared" si="68"/>
        <v>[kg/bbl] kg of METIRAM emissions to water per bbl of crude throughput - Med Complexity</v>
      </c>
    </row>
    <row r="354" spans="99:103" x14ac:dyDescent="0.25">
      <c r="CU354">
        <f t="shared" si="65"/>
        <v>3</v>
      </c>
      <c r="CV354">
        <f t="shared" si="66"/>
        <v>57</v>
      </c>
      <c r="CW354" t="str">
        <f t="shared" si="67"/>
        <v>w_METIRAM_HiH</v>
      </c>
      <c r="CX354">
        <f t="shared" si="64"/>
        <v>13</v>
      </c>
      <c r="CY354" t="str">
        <f t="shared" si="68"/>
        <v>[kg/bbl] kg of METIRAM emissions to water per bbl of crude throughput - High Complexity Hydro Cracking</v>
      </c>
    </row>
    <row r="355" spans="99:103" x14ac:dyDescent="0.25">
      <c r="CU355">
        <f t="shared" si="65"/>
        <v>4</v>
      </c>
      <c r="CV355">
        <f t="shared" si="66"/>
        <v>57</v>
      </c>
      <c r="CW355" t="str">
        <f t="shared" si="67"/>
        <v>w_METIRAM_HiC</v>
      </c>
      <c r="CX355">
        <f t="shared" si="64"/>
        <v>13</v>
      </c>
      <c r="CY355" t="str">
        <f t="shared" si="68"/>
        <v>[kg/bbl] kg of METIRAM emissions to water per bbl of crude throughput - High Complexity Coking</v>
      </c>
    </row>
    <row r="356" spans="99:103" x14ac:dyDescent="0.25">
      <c r="CU356">
        <f t="shared" si="65"/>
        <v>5</v>
      </c>
      <c r="CV356">
        <f t="shared" si="66"/>
        <v>57</v>
      </c>
      <c r="CW356" t="str">
        <f t="shared" si="67"/>
        <v>w_METIRAM_HiB</v>
      </c>
      <c r="CX356">
        <f t="shared" si="64"/>
        <v>13</v>
      </c>
      <c r="CY356" t="str">
        <f t="shared" si="68"/>
        <v>[kg/bbl] kg of METIRAM emissions to water per bbl of crude throughput - High Complexity Hydro Cracking and Coking</v>
      </c>
    </row>
    <row r="357" spans="99:103" x14ac:dyDescent="0.25">
      <c r="CU357">
        <f t="shared" si="65"/>
        <v>6</v>
      </c>
      <c r="CV357">
        <f t="shared" si="66"/>
        <v>57</v>
      </c>
      <c r="CW357" t="str">
        <f t="shared" si="67"/>
        <v>w_METIRAM</v>
      </c>
      <c r="CX357">
        <f t="shared" si="64"/>
        <v>9</v>
      </c>
      <c r="CY357" t="str">
        <f t="shared" si="68"/>
        <v>[kg/bbl] kg of METIRAM emissions to water per bbl of crude throughput</v>
      </c>
    </row>
    <row r="358" spans="99:103" x14ac:dyDescent="0.25">
      <c r="CU358">
        <f t="shared" si="65"/>
        <v>1</v>
      </c>
      <c r="CV358">
        <f t="shared" si="66"/>
        <v>58</v>
      </c>
      <c r="CW358" t="str">
        <f t="shared" si="67"/>
        <v>w_MOLYBDENU_L</v>
      </c>
      <c r="CX358">
        <f t="shared" si="64"/>
        <v>13</v>
      </c>
      <c r="CY358" t="str">
        <f t="shared" si="68"/>
        <v>[kg/bbl] kg of MOLYBDENUM TRIOXIDE emissions to water per bbl of crude throughput - Low Complexity</v>
      </c>
    </row>
    <row r="359" spans="99:103" x14ac:dyDescent="0.25">
      <c r="CU359">
        <f t="shared" si="65"/>
        <v>2</v>
      </c>
      <c r="CV359">
        <f t="shared" si="66"/>
        <v>58</v>
      </c>
      <c r="CW359" t="str">
        <f t="shared" si="67"/>
        <v>w_MOLYBDENU_M</v>
      </c>
      <c r="CX359">
        <f t="shared" si="64"/>
        <v>13</v>
      </c>
      <c r="CY359" t="str">
        <f t="shared" si="68"/>
        <v>[kg/bbl] kg of MOLYBDENUM TRIOXIDE emissions to water per bbl of crude throughput - Med Complexity</v>
      </c>
    </row>
    <row r="360" spans="99:103" x14ac:dyDescent="0.25">
      <c r="CU360">
        <f t="shared" si="65"/>
        <v>3</v>
      </c>
      <c r="CV360">
        <f t="shared" si="66"/>
        <v>58</v>
      </c>
      <c r="CW360" t="str">
        <f t="shared" si="67"/>
        <v>w_MOLYBDENU_HiH</v>
      </c>
      <c r="CX360">
        <f t="shared" si="64"/>
        <v>15</v>
      </c>
      <c r="CY360" t="str">
        <f t="shared" si="68"/>
        <v>[kg/bbl] kg of MOLYBDENUM TRIOXIDE emissions to water per bbl of crude throughput - High Complexity Hydro Cracking</v>
      </c>
    </row>
    <row r="361" spans="99:103" x14ac:dyDescent="0.25">
      <c r="CU361">
        <f t="shared" si="65"/>
        <v>4</v>
      </c>
      <c r="CV361">
        <f t="shared" si="66"/>
        <v>58</v>
      </c>
      <c r="CW361" t="str">
        <f t="shared" si="67"/>
        <v>w_MOLYBDENU_HiC</v>
      </c>
      <c r="CX361">
        <f t="shared" si="64"/>
        <v>15</v>
      </c>
      <c r="CY361" t="str">
        <f t="shared" si="68"/>
        <v>[kg/bbl] kg of MOLYBDENUM TRIOXIDE emissions to water per bbl of crude throughput - High Complexity Coking</v>
      </c>
    </row>
    <row r="362" spans="99:103" x14ac:dyDescent="0.25">
      <c r="CU362">
        <f t="shared" si="65"/>
        <v>5</v>
      </c>
      <c r="CV362">
        <f t="shared" si="66"/>
        <v>58</v>
      </c>
      <c r="CW362" t="str">
        <f t="shared" si="67"/>
        <v>w_MOLYBDENU_HiB</v>
      </c>
      <c r="CX362">
        <f t="shared" si="64"/>
        <v>15</v>
      </c>
      <c r="CY362" t="str">
        <f t="shared" si="68"/>
        <v>[kg/bbl] kg of MOLYBDENUM TRIOXIDE emissions to water per bbl of crude throughput - High Complexity Hydro Cracking and Coking</v>
      </c>
    </row>
    <row r="363" spans="99:103" x14ac:dyDescent="0.25">
      <c r="CU363">
        <f t="shared" si="65"/>
        <v>6</v>
      </c>
      <c r="CV363">
        <f t="shared" si="66"/>
        <v>58</v>
      </c>
      <c r="CW363" t="str">
        <f t="shared" si="67"/>
        <v>w_MOLYBDENU</v>
      </c>
      <c r="CX363">
        <f t="shared" si="64"/>
        <v>11</v>
      </c>
      <c r="CY363" t="str">
        <f t="shared" si="68"/>
        <v>[kg/bbl] kg of MOLYBDENUM TRIOXIDE emissions to water per bbl of crude throughput</v>
      </c>
    </row>
    <row r="364" spans="99:103" x14ac:dyDescent="0.25">
      <c r="CU364">
        <f t="shared" si="65"/>
        <v>1</v>
      </c>
      <c r="CV364">
        <f t="shared" si="66"/>
        <v>59</v>
      </c>
      <c r="CW364" t="str">
        <f t="shared" si="67"/>
        <v>w_MXYLENE_L</v>
      </c>
      <c r="CX364">
        <f t="shared" si="64"/>
        <v>11</v>
      </c>
      <c r="CY364" t="str">
        <f t="shared" si="68"/>
        <v>[kg/bbl] kg of M-XYLENE emissions to water per bbl of crude throughput - Low Complexity</v>
      </c>
    </row>
    <row r="365" spans="99:103" x14ac:dyDescent="0.25">
      <c r="CU365">
        <f t="shared" si="65"/>
        <v>2</v>
      </c>
      <c r="CV365">
        <f t="shared" si="66"/>
        <v>59</v>
      </c>
      <c r="CW365" t="str">
        <f t="shared" si="67"/>
        <v>w_MXYLENE_M</v>
      </c>
      <c r="CX365">
        <f t="shared" si="64"/>
        <v>11</v>
      </c>
      <c r="CY365" t="str">
        <f t="shared" si="68"/>
        <v>[kg/bbl] kg of M-XYLENE emissions to water per bbl of crude throughput - Med Complexity</v>
      </c>
    </row>
    <row r="366" spans="99:103" x14ac:dyDescent="0.25">
      <c r="CU366">
        <f t="shared" si="65"/>
        <v>3</v>
      </c>
      <c r="CV366">
        <f t="shared" si="66"/>
        <v>59</v>
      </c>
      <c r="CW366" t="str">
        <f t="shared" si="67"/>
        <v>w_MXYLENE_HiH</v>
      </c>
      <c r="CX366">
        <f t="shared" si="64"/>
        <v>13</v>
      </c>
      <c r="CY366" t="str">
        <f t="shared" si="68"/>
        <v>[kg/bbl] kg of M-XYLENE emissions to water per bbl of crude throughput - High Complexity Hydro Cracking</v>
      </c>
    </row>
    <row r="367" spans="99:103" x14ac:dyDescent="0.25">
      <c r="CU367">
        <f t="shared" si="65"/>
        <v>4</v>
      </c>
      <c r="CV367">
        <f t="shared" si="66"/>
        <v>59</v>
      </c>
      <c r="CW367" t="str">
        <f t="shared" si="67"/>
        <v>w_MXYLENE_HiC</v>
      </c>
      <c r="CX367">
        <f t="shared" si="64"/>
        <v>13</v>
      </c>
      <c r="CY367" t="str">
        <f t="shared" si="68"/>
        <v>[kg/bbl] kg of M-XYLENE emissions to water per bbl of crude throughput - High Complexity Coking</v>
      </c>
    </row>
    <row r="368" spans="99:103" x14ac:dyDescent="0.25">
      <c r="CU368">
        <f t="shared" si="65"/>
        <v>5</v>
      </c>
      <c r="CV368">
        <f t="shared" si="66"/>
        <v>59</v>
      </c>
      <c r="CW368" t="str">
        <f t="shared" si="67"/>
        <v>w_MXYLENE_HiB</v>
      </c>
      <c r="CX368">
        <f t="shared" si="64"/>
        <v>13</v>
      </c>
      <c r="CY368" t="str">
        <f t="shared" si="68"/>
        <v>[kg/bbl] kg of M-XYLENE emissions to water per bbl of crude throughput - High Complexity Hydro Cracking and Coking</v>
      </c>
    </row>
    <row r="369" spans="99:103" x14ac:dyDescent="0.25">
      <c r="CU369">
        <f t="shared" si="65"/>
        <v>6</v>
      </c>
      <c r="CV369">
        <f t="shared" si="66"/>
        <v>59</v>
      </c>
      <c r="CW369" t="str">
        <f t="shared" si="67"/>
        <v>w_MXYLENE</v>
      </c>
      <c r="CX369">
        <f t="shared" si="64"/>
        <v>9</v>
      </c>
      <c r="CY369" t="str">
        <f t="shared" si="68"/>
        <v>[kg/bbl] kg of M-XYLENE emissions to water per bbl of crude throughput</v>
      </c>
    </row>
    <row r="370" spans="99:103" x14ac:dyDescent="0.25">
      <c r="CU370">
        <f t="shared" si="65"/>
        <v>1</v>
      </c>
      <c r="CV370">
        <f t="shared" si="66"/>
        <v>60</v>
      </c>
      <c r="CW370" t="str">
        <f t="shared" si="67"/>
        <v>w_NNDIMETHY_L</v>
      </c>
      <c r="CX370">
        <f t="shared" si="64"/>
        <v>13</v>
      </c>
      <c r="CY370" t="str">
        <f t="shared" si="68"/>
        <v>[kg/bbl] kg of N,N'-DIMETHYLFORMAMIDE emissions to water per bbl of crude throughput - Low Complexity</v>
      </c>
    </row>
    <row r="371" spans="99:103" x14ac:dyDescent="0.25">
      <c r="CU371">
        <f t="shared" si="65"/>
        <v>2</v>
      </c>
      <c r="CV371">
        <f t="shared" si="66"/>
        <v>60</v>
      </c>
      <c r="CW371" t="str">
        <f t="shared" si="67"/>
        <v>w_NNDIMETHY_M</v>
      </c>
      <c r="CX371">
        <f t="shared" si="64"/>
        <v>13</v>
      </c>
      <c r="CY371" t="str">
        <f t="shared" si="68"/>
        <v>[kg/bbl] kg of N,N'-DIMETHYLFORMAMIDE emissions to water per bbl of crude throughput - Med Complexity</v>
      </c>
    </row>
    <row r="372" spans="99:103" x14ac:dyDescent="0.25">
      <c r="CU372">
        <f t="shared" si="65"/>
        <v>3</v>
      </c>
      <c r="CV372">
        <f t="shared" si="66"/>
        <v>60</v>
      </c>
      <c r="CW372" t="str">
        <f t="shared" si="67"/>
        <v>w_NNDIMETHY_HiH</v>
      </c>
      <c r="CX372">
        <f t="shared" si="64"/>
        <v>15</v>
      </c>
      <c r="CY372" t="str">
        <f t="shared" si="68"/>
        <v>[kg/bbl] kg of N,N'-DIMETHYLFORMAMIDE emissions to water per bbl of crude throughput - High Complexity Hydro Cracking</v>
      </c>
    </row>
    <row r="373" spans="99:103" x14ac:dyDescent="0.25">
      <c r="CU373">
        <f t="shared" si="65"/>
        <v>4</v>
      </c>
      <c r="CV373">
        <f t="shared" si="66"/>
        <v>60</v>
      </c>
      <c r="CW373" t="str">
        <f t="shared" si="67"/>
        <v>w_NNDIMETHY_HiC</v>
      </c>
      <c r="CX373">
        <f t="shared" si="64"/>
        <v>15</v>
      </c>
      <c r="CY373" t="str">
        <f t="shared" si="68"/>
        <v>[kg/bbl] kg of N,N'-DIMETHYLFORMAMIDE emissions to water per bbl of crude throughput - High Complexity Coking</v>
      </c>
    </row>
    <row r="374" spans="99:103" x14ac:dyDescent="0.25">
      <c r="CU374">
        <f t="shared" si="65"/>
        <v>5</v>
      </c>
      <c r="CV374">
        <f t="shared" si="66"/>
        <v>60</v>
      </c>
      <c r="CW374" t="str">
        <f t="shared" si="67"/>
        <v>w_NNDIMETHY_HiB</v>
      </c>
      <c r="CX374">
        <f t="shared" si="64"/>
        <v>15</v>
      </c>
      <c r="CY374" t="str">
        <f t="shared" si="68"/>
        <v>[kg/bbl] kg of N,N'-DIMETHYLFORMAMIDE emissions to water per bbl of crude throughput - High Complexity Hydro Cracking and Coking</v>
      </c>
    </row>
    <row r="375" spans="99:103" x14ac:dyDescent="0.25">
      <c r="CU375">
        <f t="shared" si="65"/>
        <v>6</v>
      </c>
      <c r="CV375">
        <f t="shared" si="66"/>
        <v>60</v>
      </c>
      <c r="CW375" t="str">
        <f t="shared" si="67"/>
        <v>w_NNDIMETHY</v>
      </c>
      <c r="CX375">
        <f t="shared" si="64"/>
        <v>11</v>
      </c>
      <c r="CY375" t="str">
        <f t="shared" si="68"/>
        <v>[kg/bbl] kg of N,N'-DIMETHYLFORMAMIDE emissions to water per bbl of crude throughput</v>
      </c>
    </row>
    <row r="376" spans="99:103" x14ac:dyDescent="0.25">
      <c r="CU376">
        <f t="shared" si="65"/>
        <v>1</v>
      </c>
      <c r="CV376">
        <f t="shared" si="66"/>
        <v>61</v>
      </c>
      <c r="CW376" t="str">
        <f t="shared" si="67"/>
        <v>w_NAPHTHALE_L</v>
      </c>
      <c r="CX376">
        <f t="shared" si="64"/>
        <v>13</v>
      </c>
      <c r="CY376" t="str">
        <f t="shared" si="68"/>
        <v>[kg/bbl] kg of NAPHTHALENE emissions to water per bbl of crude throughput - Low Complexity</v>
      </c>
    </row>
    <row r="377" spans="99:103" x14ac:dyDescent="0.25">
      <c r="CU377">
        <f t="shared" si="65"/>
        <v>2</v>
      </c>
      <c r="CV377">
        <f t="shared" si="66"/>
        <v>61</v>
      </c>
      <c r="CW377" t="str">
        <f t="shared" si="67"/>
        <v>w_NAPHTHALE_M</v>
      </c>
      <c r="CX377">
        <f t="shared" si="64"/>
        <v>13</v>
      </c>
      <c r="CY377" t="str">
        <f t="shared" si="68"/>
        <v>[kg/bbl] kg of NAPHTHALENE emissions to water per bbl of crude throughput - Med Complexity</v>
      </c>
    </row>
    <row r="378" spans="99:103" x14ac:dyDescent="0.25">
      <c r="CU378">
        <f t="shared" si="65"/>
        <v>3</v>
      </c>
      <c r="CV378">
        <f t="shared" si="66"/>
        <v>61</v>
      </c>
      <c r="CW378" t="str">
        <f t="shared" si="67"/>
        <v>w_NAPHTHALE_HiH</v>
      </c>
      <c r="CX378">
        <f t="shared" si="64"/>
        <v>15</v>
      </c>
      <c r="CY378" t="str">
        <f t="shared" si="68"/>
        <v>[kg/bbl] kg of NAPHTHALENE emissions to water per bbl of crude throughput - High Complexity Hydro Cracking</v>
      </c>
    </row>
    <row r="379" spans="99:103" x14ac:dyDescent="0.25">
      <c r="CU379">
        <f t="shared" si="65"/>
        <v>4</v>
      </c>
      <c r="CV379">
        <f t="shared" si="66"/>
        <v>61</v>
      </c>
      <c r="CW379" t="str">
        <f t="shared" si="67"/>
        <v>w_NAPHTHALE_HiC</v>
      </c>
      <c r="CX379">
        <f t="shared" si="64"/>
        <v>15</v>
      </c>
      <c r="CY379" t="str">
        <f t="shared" si="68"/>
        <v>[kg/bbl] kg of NAPHTHALENE emissions to water per bbl of crude throughput - High Complexity Coking</v>
      </c>
    </row>
    <row r="380" spans="99:103" x14ac:dyDescent="0.25">
      <c r="CU380">
        <f t="shared" si="65"/>
        <v>5</v>
      </c>
      <c r="CV380">
        <f t="shared" si="66"/>
        <v>61</v>
      </c>
      <c r="CW380" t="str">
        <f t="shared" si="67"/>
        <v>w_NAPHTHALE_HiB</v>
      </c>
      <c r="CX380">
        <f t="shared" si="64"/>
        <v>15</v>
      </c>
      <c r="CY380" t="str">
        <f t="shared" si="68"/>
        <v>[kg/bbl] kg of NAPHTHALENE emissions to water per bbl of crude throughput - High Complexity Hydro Cracking and Coking</v>
      </c>
    </row>
    <row r="381" spans="99:103" x14ac:dyDescent="0.25">
      <c r="CU381">
        <f t="shared" si="65"/>
        <v>6</v>
      </c>
      <c r="CV381">
        <f t="shared" si="66"/>
        <v>61</v>
      </c>
      <c r="CW381" t="str">
        <f t="shared" si="67"/>
        <v>w_NAPHTHALE</v>
      </c>
      <c r="CX381">
        <f t="shared" si="64"/>
        <v>11</v>
      </c>
      <c r="CY381" t="str">
        <f t="shared" si="68"/>
        <v>[kg/bbl] kg of NAPHTHALENE emissions to water per bbl of crude throughput</v>
      </c>
    </row>
    <row r="382" spans="99:103" x14ac:dyDescent="0.25">
      <c r="CU382">
        <f t="shared" si="65"/>
        <v>1</v>
      </c>
      <c r="CV382">
        <f t="shared" si="66"/>
        <v>62</v>
      </c>
      <c r="CW382" t="str">
        <f t="shared" si="67"/>
        <v>w_NHEXANE_L</v>
      </c>
      <c r="CX382">
        <f t="shared" si="64"/>
        <v>11</v>
      </c>
      <c r="CY382" t="str">
        <f t="shared" si="68"/>
        <v>[kg/bbl] kg of N-HEXANE emissions to water per bbl of crude throughput - Low Complexity</v>
      </c>
    </row>
    <row r="383" spans="99:103" x14ac:dyDescent="0.25">
      <c r="CU383">
        <f t="shared" si="65"/>
        <v>2</v>
      </c>
      <c r="CV383">
        <f t="shared" si="66"/>
        <v>62</v>
      </c>
      <c r="CW383" t="str">
        <f t="shared" si="67"/>
        <v>w_NHEXANE_M</v>
      </c>
      <c r="CX383">
        <f t="shared" si="64"/>
        <v>11</v>
      </c>
      <c r="CY383" t="str">
        <f t="shared" si="68"/>
        <v>[kg/bbl] kg of N-HEXANE emissions to water per bbl of crude throughput - Med Complexity</v>
      </c>
    </row>
    <row r="384" spans="99:103" x14ac:dyDescent="0.25">
      <c r="CU384">
        <f t="shared" si="65"/>
        <v>3</v>
      </c>
      <c r="CV384">
        <f t="shared" si="66"/>
        <v>62</v>
      </c>
      <c r="CW384" t="str">
        <f t="shared" si="67"/>
        <v>w_NHEXANE_HiH</v>
      </c>
      <c r="CX384">
        <f t="shared" si="64"/>
        <v>13</v>
      </c>
      <c r="CY384" t="str">
        <f t="shared" si="68"/>
        <v>[kg/bbl] kg of N-HEXANE emissions to water per bbl of crude throughput - High Complexity Hydro Cracking</v>
      </c>
    </row>
    <row r="385" spans="99:103" x14ac:dyDescent="0.25">
      <c r="CU385">
        <f t="shared" si="65"/>
        <v>4</v>
      </c>
      <c r="CV385">
        <f t="shared" si="66"/>
        <v>62</v>
      </c>
      <c r="CW385" t="str">
        <f t="shared" si="67"/>
        <v>w_NHEXANE_HiC</v>
      </c>
      <c r="CX385">
        <f t="shared" si="64"/>
        <v>13</v>
      </c>
      <c r="CY385" t="str">
        <f t="shared" si="68"/>
        <v>[kg/bbl] kg of N-HEXANE emissions to water per bbl of crude throughput - High Complexity Coking</v>
      </c>
    </row>
    <row r="386" spans="99:103" x14ac:dyDescent="0.25">
      <c r="CU386">
        <f t="shared" si="65"/>
        <v>5</v>
      </c>
      <c r="CV386">
        <f t="shared" si="66"/>
        <v>62</v>
      </c>
      <c r="CW386" t="str">
        <f t="shared" si="67"/>
        <v>w_NHEXANE_HiB</v>
      </c>
      <c r="CX386">
        <f t="shared" si="64"/>
        <v>13</v>
      </c>
      <c r="CY386" t="str">
        <f t="shared" si="68"/>
        <v>[kg/bbl] kg of N-HEXANE emissions to water per bbl of crude throughput - High Complexity Hydro Cracking and Coking</v>
      </c>
    </row>
    <row r="387" spans="99:103" x14ac:dyDescent="0.25">
      <c r="CU387">
        <f t="shared" si="65"/>
        <v>6</v>
      </c>
      <c r="CV387">
        <f t="shared" si="66"/>
        <v>62</v>
      </c>
      <c r="CW387" t="str">
        <f t="shared" si="67"/>
        <v>w_NHEXANE</v>
      </c>
      <c r="CX387">
        <f t="shared" si="64"/>
        <v>9</v>
      </c>
      <c r="CY387" t="str">
        <f t="shared" si="68"/>
        <v>[kg/bbl] kg of N-HEXANE emissions to water per bbl of crude throughput</v>
      </c>
    </row>
    <row r="388" spans="99:103" x14ac:dyDescent="0.25">
      <c r="CU388">
        <f t="shared" si="65"/>
        <v>1</v>
      </c>
      <c r="CV388">
        <f t="shared" si="66"/>
        <v>63</v>
      </c>
      <c r="CW388" t="str">
        <f t="shared" si="67"/>
        <v>w_Nickeltot_L</v>
      </c>
      <c r="CX388">
        <f t="shared" si="64"/>
        <v>13</v>
      </c>
      <c r="CY388" t="str">
        <f t="shared" si="68"/>
        <v>[kg/bbl] kg of Nickel, total (as Ni) emissions to water per bbl of crude throughput - Low Complexity</v>
      </c>
    </row>
    <row r="389" spans="99:103" x14ac:dyDescent="0.25">
      <c r="CU389">
        <f t="shared" si="65"/>
        <v>2</v>
      </c>
      <c r="CV389">
        <f t="shared" si="66"/>
        <v>63</v>
      </c>
      <c r="CW389" t="str">
        <f t="shared" si="67"/>
        <v>w_Nickeltot_M</v>
      </c>
      <c r="CX389">
        <f t="shared" si="64"/>
        <v>13</v>
      </c>
      <c r="CY389" t="str">
        <f t="shared" si="68"/>
        <v>[kg/bbl] kg of Nickel, total (as Ni) emissions to water per bbl of crude throughput - Med Complexity</v>
      </c>
    </row>
    <row r="390" spans="99:103" x14ac:dyDescent="0.25">
      <c r="CU390">
        <f t="shared" si="65"/>
        <v>3</v>
      </c>
      <c r="CV390">
        <f t="shared" si="66"/>
        <v>63</v>
      </c>
      <c r="CW390" t="str">
        <f t="shared" si="67"/>
        <v>w_Nickeltot_HiH</v>
      </c>
      <c r="CX390">
        <f t="shared" si="64"/>
        <v>15</v>
      </c>
      <c r="CY390" t="str">
        <f t="shared" si="68"/>
        <v>[kg/bbl] kg of Nickel, total (as Ni) emissions to water per bbl of crude throughput - High Complexity Hydro Cracking</v>
      </c>
    </row>
    <row r="391" spans="99:103" x14ac:dyDescent="0.25">
      <c r="CU391">
        <f t="shared" si="65"/>
        <v>4</v>
      </c>
      <c r="CV391">
        <f t="shared" si="66"/>
        <v>63</v>
      </c>
      <c r="CW391" t="str">
        <f t="shared" si="67"/>
        <v>w_Nickeltot_HiC</v>
      </c>
      <c r="CX391">
        <f t="shared" si="64"/>
        <v>15</v>
      </c>
      <c r="CY391" t="str">
        <f t="shared" si="68"/>
        <v>[kg/bbl] kg of Nickel, total (as Ni) emissions to water per bbl of crude throughput - High Complexity Coking</v>
      </c>
    </row>
    <row r="392" spans="99:103" x14ac:dyDescent="0.25">
      <c r="CU392">
        <f t="shared" si="65"/>
        <v>5</v>
      </c>
      <c r="CV392">
        <f t="shared" si="66"/>
        <v>63</v>
      </c>
      <c r="CW392" t="str">
        <f t="shared" si="67"/>
        <v>w_Nickeltot_HiB</v>
      </c>
      <c r="CX392">
        <f t="shared" si="64"/>
        <v>15</v>
      </c>
      <c r="CY392" t="str">
        <f t="shared" si="68"/>
        <v>[kg/bbl] kg of Nickel, total (as Ni) emissions to water per bbl of crude throughput - High Complexity Hydro Cracking and Coking</v>
      </c>
    </row>
    <row r="393" spans="99:103" x14ac:dyDescent="0.25">
      <c r="CU393">
        <f t="shared" si="65"/>
        <v>6</v>
      </c>
      <c r="CV393">
        <f t="shared" si="66"/>
        <v>63</v>
      </c>
      <c r="CW393" t="str">
        <f t="shared" si="67"/>
        <v>w_Nickeltot</v>
      </c>
      <c r="CX393">
        <f t="shared" si="64"/>
        <v>11</v>
      </c>
      <c r="CY393" t="str">
        <f t="shared" si="68"/>
        <v>[kg/bbl] kg of Nickel, total (as Ni) emissions to water per bbl of crude throughput</v>
      </c>
    </row>
    <row r="394" spans="99:103" x14ac:dyDescent="0.25">
      <c r="CU394">
        <f t="shared" si="65"/>
        <v>1</v>
      </c>
      <c r="CV394">
        <f t="shared" si="66"/>
        <v>64</v>
      </c>
      <c r="CW394" t="str">
        <f t="shared" si="67"/>
        <v>w_NITRATE_L</v>
      </c>
      <c r="CX394">
        <f t="shared" si="64"/>
        <v>11</v>
      </c>
      <c r="CY394" t="str">
        <f t="shared" si="68"/>
        <v>[kg/bbl] kg of NITRATE emissions to water per bbl of crude throughput - Low Complexity</v>
      </c>
    </row>
    <row r="395" spans="99:103" x14ac:dyDescent="0.25">
      <c r="CU395">
        <f t="shared" si="65"/>
        <v>2</v>
      </c>
      <c r="CV395">
        <f t="shared" si="66"/>
        <v>64</v>
      </c>
      <c r="CW395" t="str">
        <f t="shared" si="67"/>
        <v>w_NITRATE_M</v>
      </c>
      <c r="CX395">
        <f t="shared" si="64"/>
        <v>11</v>
      </c>
      <c r="CY395" t="str">
        <f t="shared" si="68"/>
        <v>[kg/bbl] kg of NITRATE emissions to water per bbl of crude throughput - Med Complexity</v>
      </c>
    </row>
    <row r="396" spans="99:103" x14ac:dyDescent="0.25">
      <c r="CU396">
        <f t="shared" si="65"/>
        <v>3</v>
      </c>
      <c r="CV396">
        <f t="shared" si="66"/>
        <v>64</v>
      </c>
      <c r="CW396" t="str">
        <f t="shared" si="67"/>
        <v>w_NITRATE_HiH</v>
      </c>
      <c r="CX396">
        <f t="shared" si="64"/>
        <v>13</v>
      </c>
      <c r="CY396" t="str">
        <f t="shared" si="68"/>
        <v>[kg/bbl] kg of NITRATE emissions to water per bbl of crude throughput - High Complexity Hydro Cracking</v>
      </c>
    </row>
    <row r="397" spans="99:103" x14ac:dyDescent="0.25">
      <c r="CU397">
        <f t="shared" si="65"/>
        <v>4</v>
      </c>
      <c r="CV397">
        <f t="shared" si="66"/>
        <v>64</v>
      </c>
      <c r="CW397" t="str">
        <f t="shared" si="67"/>
        <v>w_NITRATE_HiC</v>
      </c>
      <c r="CX397">
        <f t="shared" si="64"/>
        <v>13</v>
      </c>
      <c r="CY397" t="str">
        <f t="shared" si="68"/>
        <v>[kg/bbl] kg of NITRATE emissions to water per bbl of crude throughput - High Complexity Coking</v>
      </c>
    </row>
    <row r="398" spans="99:103" x14ac:dyDescent="0.25">
      <c r="CU398">
        <f t="shared" si="65"/>
        <v>5</v>
      </c>
      <c r="CV398">
        <f t="shared" si="66"/>
        <v>64</v>
      </c>
      <c r="CW398" t="str">
        <f t="shared" si="67"/>
        <v>w_NITRATE_HiB</v>
      </c>
      <c r="CX398">
        <f t="shared" ref="CX398:CX461" si="69">LEN(CW398)</f>
        <v>13</v>
      </c>
      <c r="CY398" t="str">
        <f t="shared" si="68"/>
        <v>[kg/bbl] kg of NITRATE emissions to water per bbl of crude throughput - High Complexity Hydro Cracking and Coking</v>
      </c>
    </row>
    <row r="399" spans="99:103" x14ac:dyDescent="0.25">
      <c r="CU399">
        <f t="shared" si="65"/>
        <v>6</v>
      </c>
      <c r="CV399">
        <f t="shared" si="66"/>
        <v>64</v>
      </c>
      <c r="CW399" t="str">
        <f t="shared" si="67"/>
        <v>w_NITRATE</v>
      </c>
      <c r="CX399">
        <f t="shared" si="69"/>
        <v>9</v>
      </c>
      <c r="CY399" t="str">
        <f t="shared" si="68"/>
        <v>[kg/bbl] kg of NITRATE emissions to water per bbl of crude throughput</v>
      </c>
    </row>
    <row r="400" spans="99:103" x14ac:dyDescent="0.25">
      <c r="CU400">
        <f t="shared" si="65"/>
        <v>1</v>
      </c>
      <c r="CV400">
        <f t="shared" si="66"/>
        <v>65</v>
      </c>
      <c r="CW400" t="str">
        <f t="shared" si="67"/>
        <v>w_NITROGEN_L</v>
      </c>
      <c r="CX400">
        <f t="shared" si="69"/>
        <v>12</v>
      </c>
      <c r="CY400" t="str">
        <f t="shared" si="68"/>
        <v>[kg/bbl] kg of NITROGEN emissions to water per bbl of crude throughput - Low Complexity</v>
      </c>
    </row>
    <row r="401" spans="99:103" x14ac:dyDescent="0.25">
      <c r="CU401">
        <f t="shared" ref="CU401:CU464" si="70">IF(MOD((ROW()-15),6)=0,6,MOD((ROW()-15),6))</f>
        <v>2</v>
      </c>
      <c r="CV401">
        <f t="shared" ref="CV401:CV464" si="71">IF(MOD(ROW()-15,6)=0,ROUNDDOWN((ROW()-15)/6,0),ROUNDDOWN((ROW()-15)/6,0)+1)</f>
        <v>65</v>
      </c>
      <c r="CW401" t="str">
        <f t="shared" ref="CW401:CW464" si="72">IF(CU401&lt;&gt;6,INDEX($CT$16:$CT$106,CV401)&amp;INDEX($CS$16:$CS$20,CU401),INDEX($CT$16:$CT$106,CV401))</f>
        <v>w_NITROGEN_M</v>
      </c>
      <c r="CX401">
        <f t="shared" si="69"/>
        <v>12</v>
      </c>
      <c r="CY401" t="str">
        <f t="shared" ref="CY401:CY464" si="73">"[kg/bbl] kg of "&amp;HLOOKUP(INDEX($CT$16:$CT$106,CV401),$E$16:$CQ$17,2,FALSE)&amp;" emissions to water per bbl of crude throughput"&amp;IF(CU401&lt;&gt;6,INDEX($DF$16:$DF$20,CU401),"")</f>
        <v>[kg/bbl] kg of NITROGEN emissions to water per bbl of crude throughput - Med Complexity</v>
      </c>
    </row>
    <row r="402" spans="99:103" x14ac:dyDescent="0.25">
      <c r="CU402">
        <f t="shared" si="70"/>
        <v>3</v>
      </c>
      <c r="CV402">
        <f t="shared" si="71"/>
        <v>65</v>
      </c>
      <c r="CW402" t="str">
        <f t="shared" si="72"/>
        <v>w_NITROGEN_HiH</v>
      </c>
      <c r="CX402">
        <f t="shared" si="69"/>
        <v>14</v>
      </c>
      <c r="CY402" t="str">
        <f t="shared" si="73"/>
        <v>[kg/bbl] kg of NITROGEN emissions to water per bbl of crude throughput - High Complexity Hydro Cracking</v>
      </c>
    </row>
    <row r="403" spans="99:103" x14ac:dyDescent="0.25">
      <c r="CU403">
        <f t="shared" si="70"/>
        <v>4</v>
      </c>
      <c r="CV403">
        <f t="shared" si="71"/>
        <v>65</v>
      </c>
      <c r="CW403" t="str">
        <f t="shared" si="72"/>
        <v>w_NITROGEN_HiC</v>
      </c>
      <c r="CX403">
        <f t="shared" si="69"/>
        <v>14</v>
      </c>
      <c r="CY403" t="str">
        <f t="shared" si="73"/>
        <v>[kg/bbl] kg of NITROGEN emissions to water per bbl of crude throughput - High Complexity Coking</v>
      </c>
    </row>
    <row r="404" spans="99:103" x14ac:dyDescent="0.25">
      <c r="CU404">
        <f t="shared" si="70"/>
        <v>5</v>
      </c>
      <c r="CV404">
        <f t="shared" si="71"/>
        <v>65</v>
      </c>
      <c r="CW404" t="str">
        <f t="shared" si="72"/>
        <v>w_NITROGEN_HiB</v>
      </c>
      <c r="CX404">
        <f t="shared" si="69"/>
        <v>14</v>
      </c>
      <c r="CY404" t="str">
        <f t="shared" si="73"/>
        <v>[kg/bbl] kg of NITROGEN emissions to water per bbl of crude throughput - High Complexity Hydro Cracking and Coking</v>
      </c>
    </row>
    <row r="405" spans="99:103" x14ac:dyDescent="0.25">
      <c r="CU405">
        <f t="shared" si="70"/>
        <v>6</v>
      </c>
      <c r="CV405">
        <f t="shared" si="71"/>
        <v>65</v>
      </c>
      <c r="CW405" t="str">
        <f t="shared" si="72"/>
        <v>w_NITROGEN</v>
      </c>
      <c r="CX405">
        <f t="shared" si="69"/>
        <v>10</v>
      </c>
      <c r="CY405" t="str">
        <f t="shared" si="73"/>
        <v>[kg/bbl] kg of NITROGEN emissions to water per bbl of crude throughput</v>
      </c>
    </row>
    <row r="406" spans="99:103" x14ac:dyDescent="0.25">
      <c r="CU406">
        <f t="shared" si="70"/>
        <v>1</v>
      </c>
      <c r="CV406">
        <f t="shared" si="71"/>
        <v>66</v>
      </c>
      <c r="CW406" t="str">
        <f t="shared" si="72"/>
        <v>w_NMETHYLPY_L</v>
      </c>
      <c r="CX406">
        <f t="shared" si="69"/>
        <v>13</v>
      </c>
      <c r="CY406" t="str">
        <f t="shared" si="73"/>
        <v>[kg/bbl] kg of N-METHYLPYRROLIDONE emissions to water per bbl of crude throughput - Low Complexity</v>
      </c>
    </row>
    <row r="407" spans="99:103" x14ac:dyDescent="0.25">
      <c r="CU407">
        <f t="shared" si="70"/>
        <v>2</v>
      </c>
      <c r="CV407">
        <f t="shared" si="71"/>
        <v>66</v>
      </c>
      <c r="CW407" t="str">
        <f t="shared" si="72"/>
        <v>w_NMETHYLPY_M</v>
      </c>
      <c r="CX407">
        <f t="shared" si="69"/>
        <v>13</v>
      </c>
      <c r="CY407" t="str">
        <f t="shared" si="73"/>
        <v>[kg/bbl] kg of N-METHYLPYRROLIDONE emissions to water per bbl of crude throughput - Med Complexity</v>
      </c>
    </row>
    <row r="408" spans="99:103" x14ac:dyDescent="0.25">
      <c r="CU408">
        <f t="shared" si="70"/>
        <v>3</v>
      </c>
      <c r="CV408">
        <f t="shared" si="71"/>
        <v>66</v>
      </c>
      <c r="CW408" t="str">
        <f t="shared" si="72"/>
        <v>w_NMETHYLPY_HiH</v>
      </c>
      <c r="CX408">
        <f t="shared" si="69"/>
        <v>15</v>
      </c>
      <c r="CY408" t="str">
        <f t="shared" si="73"/>
        <v>[kg/bbl] kg of N-METHYLPYRROLIDONE emissions to water per bbl of crude throughput - High Complexity Hydro Cracking</v>
      </c>
    </row>
    <row r="409" spans="99:103" x14ac:dyDescent="0.25">
      <c r="CU409">
        <f t="shared" si="70"/>
        <v>4</v>
      </c>
      <c r="CV409">
        <f t="shared" si="71"/>
        <v>66</v>
      </c>
      <c r="CW409" t="str">
        <f t="shared" si="72"/>
        <v>w_NMETHYLPY_HiC</v>
      </c>
      <c r="CX409">
        <f t="shared" si="69"/>
        <v>15</v>
      </c>
      <c r="CY409" t="str">
        <f t="shared" si="73"/>
        <v>[kg/bbl] kg of N-METHYLPYRROLIDONE emissions to water per bbl of crude throughput - High Complexity Coking</v>
      </c>
    </row>
    <row r="410" spans="99:103" x14ac:dyDescent="0.25">
      <c r="CU410">
        <f t="shared" si="70"/>
        <v>5</v>
      </c>
      <c r="CV410">
        <f t="shared" si="71"/>
        <v>66</v>
      </c>
      <c r="CW410" t="str">
        <f t="shared" si="72"/>
        <v>w_NMETHYLPY_HiB</v>
      </c>
      <c r="CX410">
        <f t="shared" si="69"/>
        <v>15</v>
      </c>
      <c r="CY410" t="str">
        <f t="shared" si="73"/>
        <v>[kg/bbl] kg of N-METHYLPYRROLIDONE emissions to water per bbl of crude throughput - High Complexity Hydro Cracking and Coking</v>
      </c>
    </row>
    <row r="411" spans="99:103" x14ac:dyDescent="0.25">
      <c r="CU411">
        <f t="shared" si="70"/>
        <v>6</v>
      </c>
      <c r="CV411">
        <f t="shared" si="71"/>
        <v>66</v>
      </c>
      <c r="CW411" t="str">
        <f t="shared" si="72"/>
        <v>w_NMETHYLPY</v>
      </c>
      <c r="CX411">
        <f t="shared" si="69"/>
        <v>11</v>
      </c>
      <c r="CY411" t="str">
        <f t="shared" si="73"/>
        <v>[kg/bbl] kg of N-METHYLPYRROLIDONE emissions to water per bbl of crude throughput</v>
      </c>
    </row>
    <row r="412" spans="99:103" x14ac:dyDescent="0.25">
      <c r="CU412">
        <f t="shared" si="70"/>
        <v>1</v>
      </c>
      <c r="CV412">
        <f t="shared" si="71"/>
        <v>67</v>
      </c>
      <c r="CW412" t="str">
        <f t="shared" si="72"/>
        <v>w_OXYLENE_L</v>
      </c>
      <c r="CX412">
        <f t="shared" si="69"/>
        <v>11</v>
      </c>
      <c r="CY412" t="str">
        <f t="shared" si="73"/>
        <v>[kg/bbl] kg of O-XYLENE emissions to water per bbl of crude throughput - Low Complexity</v>
      </c>
    </row>
    <row r="413" spans="99:103" x14ac:dyDescent="0.25">
      <c r="CU413">
        <f t="shared" si="70"/>
        <v>2</v>
      </c>
      <c r="CV413">
        <f t="shared" si="71"/>
        <v>67</v>
      </c>
      <c r="CW413" t="str">
        <f t="shared" si="72"/>
        <v>w_OXYLENE_M</v>
      </c>
      <c r="CX413">
        <f t="shared" si="69"/>
        <v>11</v>
      </c>
      <c r="CY413" t="str">
        <f t="shared" si="73"/>
        <v>[kg/bbl] kg of O-XYLENE emissions to water per bbl of crude throughput - Med Complexity</v>
      </c>
    </row>
    <row r="414" spans="99:103" x14ac:dyDescent="0.25">
      <c r="CU414">
        <f t="shared" si="70"/>
        <v>3</v>
      </c>
      <c r="CV414">
        <f t="shared" si="71"/>
        <v>67</v>
      </c>
      <c r="CW414" t="str">
        <f t="shared" si="72"/>
        <v>w_OXYLENE_HiH</v>
      </c>
      <c r="CX414">
        <f t="shared" si="69"/>
        <v>13</v>
      </c>
      <c r="CY414" t="str">
        <f t="shared" si="73"/>
        <v>[kg/bbl] kg of O-XYLENE emissions to water per bbl of crude throughput - High Complexity Hydro Cracking</v>
      </c>
    </row>
    <row r="415" spans="99:103" x14ac:dyDescent="0.25">
      <c r="CU415">
        <f t="shared" si="70"/>
        <v>4</v>
      </c>
      <c r="CV415">
        <f t="shared" si="71"/>
        <v>67</v>
      </c>
      <c r="CW415" t="str">
        <f t="shared" si="72"/>
        <v>w_OXYLENE_HiC</v>
      </c>
      <c r="CX415">
        <f t="shared" si="69"/>
        <v>13</v>
      </c>
      <c r="CY415" t="str">
        <f t="shared" si="73"/>
        <v>[kg/bbl] kg of O-XYLENE emissions to water per bbl of crude throughput - High Complexity Coking</v>
      </c>
    </row>
    <row r="416" spans="99:103" x14ac:dyDescent="0.25">
      <c r="CU416">
        <f t="shared" si="70"/>
        <v>5</v>
      </c>
      <c r="CV416">
        <f t="shared" si="71"/>
        <v>67</v>
      </c>
      <c r="CW416" t="str">
        <f t="shared" si="72"/>
        <v>w_OXYLENE_HiB</v>
      </c>
      <c r="CX416">
        <f t="shared" si="69"/>
        <v>13</v>
      </c>
      <c r="CY416" t="str">
        <f t="shared" si="73"/>
        <v>[kg/bbl] kg of O-XYLENE emissions to water per bbl of crude throughput - High Complexity Hydro Cracking and Coking</v>
      </c>
    </row>
    <row r="417" spans="99:103" x14ac:dyDescent="0.25">
      <c r="CU417">
        <f t="shared" si="70"/>
        <v>6</v>
      </c>
      <c r="CV417">
        <f t="shared" si="71"/>
        <v>67</v>
      </c>
      <c r="CW417" t="str">
        <f t="shared" si="72"/>
        <v>w_OXYLENE</v>
      </c>
      <c r="CX417">
        <f t="shared" si="69"/>
        <v>9</v>
      </c>
      <c r="CY417" t="str">
        <f t="shared" si="73"/>
        <v>[kg/bbl] kg of O-XYLENE emissions to water per bbl of crude throughput</v>
      </c>
    </row>
    <row r="418" spans="99:103" x14ac:dyDescent="0.25">
      <c r="CU418">
        <f t="shared" si="70"/>
        <v>1</v>
      </c>
      <c r="CV418">
        <f t="shared" si="71"/>
        <v>68</v>
      </c>
      <c r="CW418" t="str">
        <f t="shared" si="72"/>
        <v>w_PERCHLORO_L</v>
      </c>
      <c r="CX418">
        <f t="shared" si="69"/>
        <v>13</v>
      </c>
      <c r="CY418" t="str">
        <f t="shared" si="73"/>
        <v>[kg/bbl] kg of PERCHLOROETHYLENE emissions to water per bbl of crude throughput - Low Complexity</v>
      </c>
    </row>
    <row r="419" spans="99:103" x14ac:dyDescent="0.25">
      <c r="CU419">
        <f t="shared" si="70"/>
        <v>2</v>
      </c>
      <c r="CV419">
        <f t="shared" si="71"/>
        <v>68</v>
      </c>
      <c r="CW419" t="str">
        <f t="shared" si="72"/>
        <v>w_PERCHLORO_M</v>
      </c>
      <c r="CX419">
        <f t="shared" si="69"/>
        <v>13</v>
      </c>
      <c r="CY419" t="str">
        <f t="shared" si="73"/>
        <v>[kg/bbl] kg of PERCHLOROETHYLENE emissions to water per bbl of crude throughput - Med Complexity</v>
      </c>
    </row>
    <row r="420" spans="99:103" x14ac:dyDescent="0.25">
      <c r="CU420">
        <f t="shared" si="70"/>
        <v>3</v>
      </c>
      <c r="CV420">
        <f t="shared" si="71"/>
        <v>68</v>
      </c>
      <c r="CW420" t="str">
        <f t="shared" si="72"/>
        <v>w_PERCHLORO_HiH</v>
      </c>
      <c r="CX420">
        <f t="shared" si="69"/>
        <v>15</v>
      </c>
      <c r="CY420" t="str">
        <f t="shared" si="73"/>
        <v>[kg/bbl] kg of PERCHLOROETHYLENE emissions to water per bbl of crude throughput - High Complexity Hydro Cracking</v>
      </c>
    </row>
    <row r="421" spans="99:103" x14ac:dyDescent="0.25">
      <c r="CU421">
        <f t="shared" si="70"/>
        <v>4</v>
      </c>
      <c r="CV421">
        <f t="shared" si="71"/>
        <v>68</v>
      </c>
      <c r="CW421" t="str">
        <f t="shared" si="72"/>
        <v>w_PERCHLORO_HiC</v>
      </c>
      <c r="CX421">
        <f t="shared" si="69"/>
        <v>15</v>
      </c>
      <c r="CY421" t="str">
        <f t="shared" si="73"/>
        <v>[kg/bbl] kg of PERCHLOROETHYLENE emissions to water per bbl of crude throughput - High Complexity Coking</v>
      </c>
    </row>
    <row r="422" spans="99:103" x14ac:dyDescent="0.25">
      <c r="CU422">
        <f t="shared" si="70"/>
        <v>5</v>
      </c>
      <c r="CV422">
        <f t="shared" si="71"/>
        <v>68</v>
      </c>
      <c r="CW422" t="str">
        <f t="shared" si="72"/>
        <v>w_PERCHLORO_HiB</v>
      </c>
      <c r="CX422">
        <f t="shared" si="69"/>
        <v>15</v>
      </c>
      <c r="CY422" t="str">
        <f t="shared" si="73"/>
        <v>[kg/bbl] kg of PERCHLOROETHYLENE emissions to water per bbl of crude throughput - High Complexity Hydro Cracking and Coking</v>
      </c>
    </row>
    <row r="423" spans="99:103" x14ac:dyDescent="0.25">
      <c r="CU423">
        <f t="shared" si="70"/>
        <v>6</v>
      </c>
      <c r="CV423">
        <f t="shared" si="71"/>
        <v>68</v>
      </c>
      <c r="CW423" t="str">
        <f t="shared" si="72"/>
        <v>w_PERCHLORO</v>
      </c>
      <c r="CX423">
        <f t="shared" si="69"/>
        <v>11</v>
      </c>
      <c r="CY423" t="str">
        <f t="shared" si="73"/>
        <v>[kg/bbl] kg of PERCHLOROETHYLENE emissions to water per bbl of crude throughput</v>
      </c>
    </row>
    <row r="424" spans="99:103" x14ac:dyDescent="0.25">
      <c r="CU424">
        <f t="shared" si="70"/>
        <v>1</v>
      </c>
      <c r="CV424">
        <f t="shared" si="71"/>
        <v>69</v>
      </c>
      <c r="CW424" t="str">
        <f t="shared" si="72"/>
        <v>w_PHENANTHR_L</v>
      </c>
      <c r="CX424">
        <f t="shared" si="69"/>
        <v>13</v>
      </c>
      <c r="CY424" t="str">
        <f t="shared" si="73"/>
        <v>[kg/bbl] kg of PHENANTHRENE emissions to water per bbl of crude throughput - Low Complexity</v>
      </c>
    </row>
    <row r="425" spans="99:103" x14ac:dyDescent="0.25">
      <c r="CU425">
        <f t="shared" si="70"/>
        <v>2</v>
      </c>
      <c r="CV425">
        <f t="shared" si="71"/>
        <v>69</v>
      </c>
      <c r="CW425" t="str">
        <f t="shared" si="72"/>
        <v>w_PHENANTHR_M</v>
      </c>
      <c r="CX425">
        <f t="shared" si="69"/>
        <v>13</v>
      </c>
      <c r="CY425" t="str">
        <f t="shared" si="73"/>
        <v>[kg/bbl] kg of PHENANTHRENE emissions to water per bbl of crude throughput - Med Complexity</v>
      </c>
    </row>
    <row r="426" spans="99:103" x14ac:dyDescent="0.25">
      <c r="CU426">
        <f t="shared" si="70"/>
        <v>3</v>
      </c>
      <c r="CV426">
        <f t="shared" si="71"/>
        <v>69</v>
      </c>
      <c r="CW426" t="str">
        <f t="shared" si="72"/>
        <v>w_PHENANTHR_HiH</v>
      </c>
      <c r="CX426">
        <f t="shared" si="69"/>
        <v>15</v>
      </c>
      <c r="CY426" t="str">
        <f t="shared" si="73"/>
        <v>[kg/bbl] kg of PHENANTHRENE emissions to water per bbl of crude throughput - High Complexity Hydro Cracking</v>
      </c>
    </row>
    <row r="427" spans="99:103" x14ac:dyDescent="0.25">
      <c r="CU427">
        <f t="shared" si="70"/>
        <v>4</v>
      </c>
      <c r="CV427">
        <f t="shared" si="71"/>
        <v>69</v>
      </c>
      <c r="CW427" t="str">
        <f t="shared" si="72"/>
        <v>w_PHENANTHR_HiC</v>
      </c>
      <c r="CX427">
        <f t="shared" si="69"/>
        <v>15</v>
      </c>
      <c r="CY427" t="str">
        <f t="shared" si="73"/>
        <v>[kg/bbl] kg of PHENANTHRENE emissions to water per bbl of crude throughput - High Complexity Coking</v>
      </c>
    </row>
    <row r="428" spans="99:103" x14ac:dyDescent="0.25">
      <c r="CU428">
        <f t="shared" si="70"/>
        <v>5</v>
      </c>
      <c r="CV428">
        <f t="shared" si="71"/>
        <v>69</v>
      </c>
      <c r="CW428" t="str">
        <f t="shared" si="72"/>
        <v>w_PHENANTHR_HiB</v>
      </c>
      <c r="CX428">
        <f t="shared" si="69"/>
        <v>15</v>
      </c>
      <c r="CY428" t="str">
        <f t="shared" si="73"/>
        <v>[kg/bbl] kg of PHENANTHRENE emissions to water per bbl of crude throughput - High Complexity Hydro Cracking and Coking</v>
      </c>
    </row>
    <row r="429" spans="99:103" x14ac:dyDescent="0.25">
      <c r="CU429">
        <f t="shared" si="70"/>
        <v>6</v>
      </c>
      <c r="CV429">
        <f t="shared" si="71"/>
        <v>69</v>
      </c>
      <c r="CW429" t="str">
        <f t="shared" si="72"/>
        <v>w_PHENANTHR</v>
      </c>
      <c r="CX429">
        <f t="shared" si="69"/>
        <v>11</v>
      </c>
      <c r="CY429" t="str">
        <f t="shared" si="73"/>
        <v>[kg/bbl] kg of PHENANTHRENE emissions to water per bbl of crude throughput</v>
      </c>
    </row>
    <row r="430" spans="99:103" x14ac:dyDescent="0.25">
      <c r="CU430">
        <f t="shared" si="70"/>
        <v>1</v>
      </c>
      <c r="CV430">
        <f t="shared" si="71"/>
        <v>70</v>
      </c>
      <c r="CW430" t="str">
        <f t="shared" si="72"/>
        <v>w_PHENOL_L</v>
      </c>
      <c r="CX430">
        <f t="shared" si="69"/>
        <v>10</v>
      </c>
      <c r="CY430" t="str">
        <f t="shared" si="73"/>
        <v>[kg/bbl] kg of PHENOL emissions to water per bbl of crude throughput - Low Complexity</v>
      </c>
    </row>
    <row r="431" spans="99:103" x14ac:dyDescent="0.25">
      <c r="CU431">
        <f t="shared" si="70"/>
        <v>2</v>
      </c>
      <c r="CV431">
        <f t="shared" si="71"/>
        <v>70</v>
      </c>
      <c r="CW431" t="str">
        <f t="shared" si="72"/>
        <v>w_PHENOL_M</v>
      </c>
      <c r="CX431">
        <f t="shared" si="69"/>
        <v>10</v>
      </c>
      <c r="CY431" t="str">
        <f t="shared" si="73"/>
        <v>[kg/bbl] kg of PHENOL emissions to water per bbl of crude throughput - Med Complexity</v>
      </c>
    </row>
    <row r="432" spans="99:103" x14ac:dyDescent="0.25">
      <c r="CU432">
        <f t="shared" si="70"/>
        <v>3</v>
      </c>
      <c r="CV432">
        <f t="shared" si="71"/>
        <v>70</v>
      </c>
      <c r="CW432" t="str">
        <f t="shared" si="72"/>
        <v>w_PHENOL_HiH</v>
      </c>
      <c r="CX432">
        <f t="shared" si="69"/>
        <v>12</v>
      </c>
      <c r="CY432" t="str">
        <f t="shared" si="73"/>
        <v>[kg/bbl] kg of PHENOL emissions to water per bbl of crude throughput - High Complexity Hydro Cracking</v>
      </c>
    </row>
    <row r="433" spans="99:103" x14ac:dyDescent="0.25">
      <c r="CU433">
        <f t="shared" si="70"/>
        <v>4</v>
      </c>
      <c r="CV433">
        <f t="shared" si="71"/>
        <v>70</v>
      </c>
      <c r="CW433" t="str">
        <f t="shared" si="72"/>
        <v>w_PHENOL_HiC</v>
      </c>
      <c r="CX433">
        <f t="shared" si="69"/>
        <v>12</v>
      </c>
      <c r="CY433" t="str">
        <f t="shared" si="73"/>
        <v>[kg/bbl] kg of PHENOL emissions to water per bbl of crude throughput - High Complexity Coking</v>
      </c>
    </row>
    <row r="434" spans="99:103" x14ac:dyDescent="0.25">
      <c r="CU434">
        <f t="shared" si="70"/>
        <v>5</v>
      </c>
      <c r="CV434">
        <f t="shared" si="71"/>
        <v>70</v>
      </c>
      <c r="CW434" t="str">
        <f t="shared" si="72"/>
        <v>w_PHENOL_HiB</v>
      </c>
      <c r="CX434">
        <f t="shared" si="69"/>
        <v>12</v>
      </c>
      <c r="CY434" t="str">
        <f t="shared" si="73"/>
        <v>[kg/bbl] kg of PHENOL emissions to water per bbl of crude throughput - High Complexity Hydro Cracking and Coking</v>
      </c>
    </row>
    <row r="435" spans="99:103" x14ac:dyDescent="0.25">
      <c r="CU435">
        <f t="shared" si="70"/>
        <v>6</v>
      </c>
      <c r="CV435">
        <f t="shared" si="71"/>
        <v>70</v>
      </c>
      <c r="CW435" t="str">
        <f t="shared" si="72"/>
        <v>w_PHENOL</v>
      </c>
      <c r="CX435">
        <f t="shared" si="69"/>
        <v>8</v>
      </c>
      <c r="CY435" t="str">
        <f t="shared" si="73"/>
        <v>[kg/bbl] kg of PHENOL emissions to water per bbl of crude throughput</v>
      </c>
    </row>
    <row r="436" spans="99:103" x14ac:dyDescent="0.25">
      <c r="CU436">
        <f t="shared" si="70"/>
        <v>1</v>
      </c>
      <c r="CV436">
        <f t="shared" si="71"/>
        <v>71</v>
      </c>
      <c r="CW436" t="str">
        <f t="shared" si="72"/>
        <v>w_Phenolict_L</v>
      </c>
      <c r="CX436">
        <f t="shared" si="69"/>
        <v>13</v>
      </c>
      <c r="CY436" t="str">
        <f t="shared" si="73"/>
        <v>[kg/bbl] kg of Phenolic compounds, total emissions to water per bbl of crude throughput - Low Complexity</v>
      </c>
    </row>
    <row r="437" spans="99:103" x14ac:dyDescent="0.25">
      <c r="CU437">
        <f t="shared" si="70"/>
        <v>2</v>
      </c>
      <c r="CV437">
        <f t="shared" si="71"/>
        <v>71</v>
      </c>
      <c r="CW437" t="str">
        <f t="shared" si="72"/>
        <v>w_Phenolict_M</v>
      </c>
      <c r="CX437">
        <f t="shared" si="69"/>
        <v>13</v>
      </c>
      <c r="CY437" t="str">
        <f t="shared" si="73"/>
        <v>[kg/bbl] kg of Phenolic compounds, total emissions to water per bbl of crude throughput - Med Complexity</v>
      </c>
    </row>
    <row r="438" spans="99:103" x14ac:dyDescent="0.25">
      <c r="CU438">
        <f t="shared" si="70"/>
        <v>3</v>
      </c>
      <c r="CV438">
        <f t="shared" si="71"/>
        <v>71</v>
      </c>
      <c r="CW438" t="str">
        <f t="shared" si="72"/>
        <v>w_Phenolict_HiH</v>
      </c>
      <c r="CX438">
        <f t="shared" si="69"/>
        <v>15</v>
      </c>
      <c r="CY438" t="str">
        <f t="shared" si="73"/>
        <v>[kg/bbl] kg of Phenolic compounds, total emissions to water per bbl of crude throughput - High Complexity Hydro Cracking</v>
      </c>
    </row>
    <row r="439" spans="99:103" x14ac:dyDescent="0.25">
      <c r="CU439">
        <f t="shared" si="70"/>
        <v>4</v>
      </c>
      <c r="CV439">
        <f t="shared" si="71"/>
        <v>71</v>
      </c>
      <c r="CW439" t="str">
        <f t="shared" si="72"/>
        <v>w_Phenolict_HiC</v>
      </c>
      <c r="CX439">
        <f t="shared" si="69"/>
        <v>15</v>
      </c>
      <c r="CY439" t="str">
        <f t="shared" si="73"/>
        <v>[kg/bbl] kg of Phenolic compounds, total emissions to water per bbl of crude throughput - High Complexity Coking</v>
      </c>
    </row>
    <row r="440" spans="99:103" x14ac:dyDescent="0.25">
      <c r="CU440">
        <f t="shared" si="70"/>
        <v>5</v>
      </c>
      <c r="CV440">
        <f t="shared" si="71"/>
        <v>71</v>
      </c>
      <c r="CW440" t="str">
        <f t="shared" si="72"/>
        <v>w_Phenolict_HiB</v>
      </c>
      <c r="CX440">
        <f t="shared" si="69"/>
        <v>15</v>
      </c>
      <c r="CY440" t="str">
        <f t="shared" si="73"/>
        <v>[kg/bbl] kg of Phenolic compounds, total emissions to water per bbl of crude throughput - High Complexity Hydro Cracking and Coking</v>
      </c>
    </row>
    <row r="441" spans="99:103" x14ac:dyDescent="0.25">
      <c r="CU441">
        <f t="shared" si="70"/>
        <v>6</v>
      </c>
      <c r="CV441">
        <f t="shared" si="71"/>
        <v>71</v>
      </c>
      <c r="CW441" t="str">
        <f t="shared" si="72"/>
        <v>w_Phenolict</v>
      </c>
      <c r="CX441">
        <f t="shared" si="69"/>
        <v>11</v>
      </c>
      <c r="CY441" t="str">
        <f t="shared" si="73"/>
        <v>[kg/bbl] kg of Phenolic compounds, total emissions to water per bbl of crude throughput</v>
      </c>
    </row>
    <row r="442" spans="99:103" x14ac:dyDescent="0.25">
      <c r="CU442">
        <f t="shared" si="70"/>
        <v>1</v>
      </c>
      <c r="CV442">
        <f t="shared" si="71"/>
        <v>72</v>
      </c>
      <c r="CW442" t="str">
        <f t="shared" si="72"/>
        <v>w_Phenolicu_L</v>
      </c>
      <c r="CX442">
        <f t="shared" si="69"/>
        <v>13</v>
      </c>
      <c r="CY442" t="str">
        <f t="shared" si="73"/>
        <v>[kg/bbl] kg of Phenolic compounds, unchlorinated emissions to water per bbl of crude throughput - Low Complexity</v>
      </c>
    </row>
    <row r="443" spans="99:103" x14ac:dyDescent="0.25">
      <c r="CU443">
        <f t="shared" si="70"/>
        <v>2</v>
      </c>
      <c r="CV443">
        <f t="shared" si="71"/>
        <v>72</v>
      </c>
      <c r="CW443" t="str">
        <f t="shared" si="72"/>
        <v>w_Phenolicu_M</v>
      </c>
      <c r="CX443">
        <f t="shared" si="69"/>
        <v>13</v>
      </c>
      <c r="CY443" t="str">
        <f t="shared" si="73"/>
        <v>[kg/bbl] kg of Phenolic compounds, unchlorinated emissions to water per bbl of crude throughput - Med Complexity</v>
      </c>
    </row>
    <row r="444" spans="99:103" x14ac:dyDescent="0.25">
      <c r="CU444">
        <f t="shared" si="70"/>
        <v>3</v>
      </c>
      <c r="CV444">
        <f t="shared" si="71"/>
        <v>72</v>
      </c>
      <c r="CW444" t="str">
        <f t="shared" si="72"/>
        <v>w_Phenolicu_HiH</v>
      </c>
      <c r="CX444">
        <f t="shared" si="69"/>
        <v>15</v>
      </c>
      <c r="CY444" t="str">
        <f t="shared" si="73"/>
        <v>[kg/bbl] kg of Phenolic compounds, unchlorinated emissions to water per bbl of crude throughput - High Complexity Hydro Cracking</v>
      </c>
    </row>
    <row r="445" spans="99:103" x14ac:dyDescent="0.25">
      <c r="CU445">
        <f t="shared" si="70"/>
        <v>4</v>
      </c>
      <c r="CV445">
        <f t="shared" si="71"/>
        <v>72</v>
      </c>
      <c r="CW445" t="str">
        <f t="shared" si="72"/>
        <v>w_Phenolicu_HiC</v>
      </c>
      <c r="CX445">
        <f t="shared" si="69"/>
        <v>15</v>
      </c>
      <c r="CY445" t="str">
        <f t="shared" si="73"/>
        <v>[kg/bbl] kg of Phenolic compounds, unchlorinated emissions to water per bbl of crude throughput - High Complexity Coking</v>
      </c>
    </row>
    <row r="446" spans="99:103" x14ac:dyDescent="0.25">
      <c r="CU446">
        <f t="shared" si="70"/>
        <v>5</v>
      </c>
      <c r="CV446">
        <f t="shared" si="71"/>
        <v>72</v>
      </c>
      <c r="CW446" t="str">
        <f t="shared" si="72"/>
        <v>w_Phenolicu_HiB</v>
      </c>
      <c r="CX446">
        <f t="shared" si="69"/>
        <v>15</v>
      </c>
      <c r="CY446" t="str">
        <f t="shared" si="73"/>
        <v>[kg/bbl] kg of Phenolic compounds, unchlorinated emissions to water per bbl of crude throughput - High Complexity Hydro Cracking and Coking</v>
      </c>
    </row>
    <row r="447" spans="99:103" x14ac:dyDescent="0.25">
      <c r="CU447">
        <f t="shared" si="70"/>
        <v>6</v>
      </c>
      <c r="CV447">
        <f t="shared" si="71"/>
        <v>72</v>
      </c>
      <c r="CW447" t="str">
        <f t="shared" si="72"/>
        <v>w_Phenolicu</v>
      </c>
      <c r="CX447">
        <f t="shared" si="69"/>
        <v>11</v>
      </c>
      <c r="CY447" t="str">
        <f t="shared" si="73"/>
        <v>[kg/bbl] kg of Phenolic compounds, unchlorinated emissions to water per bbl of crude throughput</v>
      </c>
    </row>
    <row r="448" spans="99:103" x14ac:dyDescent="0.25">
      <c r="CU448">
        <f t="shared" si="70"/>
        <v>1</v>
      </c>
      <c r="CV448">
        <f t="shared" si="71"/>
        <v>73</v>
      </c>
      <c r="CW448" t="str">
        <f t="shared" si="72"/>
        <v>w_Phenolics_L</v>
      </c>
      <c r="CX448">
        <f t="shared" si="69"/>
        <v>13</v>
      </c>
      <c r="CY448" t="str">
        <f t="shared" si="73"/>
        <v>[kg/bbl] kg of Phenolics, total recoverable emissions to water per bbl of crude throughput - Low Complexity</v>
      </c>
    </row>
    <row r="449" spans="99:103" x14ac:dyDescent="0.25">
      <c r="CU449">
        <f t="shared" si="70"/>
        <v>2</v>
      </c>
      <c r="CV449">
        <f t="shared" si="71"/>
        <v>73</v>
      </c>
      <c r="CW449" t="str">
        <f t="shared" si="72"/>
        <v>w_Phenolics_M</v>
      </c>
      <c r="CX449">
        <f t="shared" si="69"/>
        <v>13</v>
      </c>
      <c r="CY449" t="str">
        <f t="shared" si="73"/>
        <v>[kg/bbl] kg of Phenolics, total recoverable emissions to water per bbl of crude throughput - Med Complexity</v>
      </c>
    </row>
    <row r="450" spans="99:103" x14ac:dyDescent="0.25">
      <c r="CU450">
        <f t="shared" si="70"/>
        <v>3</v>
      </c>
      <c r="CV450">
        <f t="shared" si="71"/>
        <v>73</v>
      </c>
      <c r="CW450" t="str">
        <f t="shared" si="72"/>
        <v>w_Phenolics_HiH</v>
      </c>
      <c r="CX450">
        <f t="shared" si="69"/>
        <v>15</v>
      </c>
      <c r="CY450" t="str">
        <f t="shared" si="73"/>
        <v>[kg/bbl] kg of Phenolics, total recoverable emissions to water per bbl of crude throughput - High Complexity Hydro Cracking</v>
      </c>
    </row>
    <row r="451" spans="99:103" x14ac:dyDescent="0.25">
      <c r="CU451">
        <f t="shared" si="70"/>
        <v>4</v>
      </c>
      <c r="CV451">
        <f t="shared" si="71"/>
        <v>73</v>
      </c>
      <c r="CW451" t="str">
        <f t="shared" si="72"/>
        <v>w_Phenolics_HiC</v>
      </c>
      <c r="CX451">
        <f t="shared" si="69"/>
        <v>15</v>
      </c>
      <c r="CY451" t="str">
        <f t="shared" si="73"/>
        <v>[kg/bbl] kg of Phenolics, total recoverable emissions to water per bbl of crude throughput - High Complexity Coking</v>
      </c>
    </row>
    <row r="452" spans="99:103" x14ac:dyDescent="0.25">
      <c r="CU452">
        <f t="shared" si="70"/>
        <v>5</v>
      </c>
      <c r="CV452">
        <f t="shared" si="71"/>
        <v>73</v>
      </c>
      <c r="CW452" t="str">
        <f t="shared" si="72"/>
        <v>w_Phenolics_HiB</v>
      </c>
      <c r="CX452">
        <f t="shared" si="69"/>
        <v>15</v>
      </c>
      <c r="CY452" t="str">
        <f t="shared" si="73"/>
        <v>[kg/bbl] kg of Phenolics, total recoverable emissions to water per bbl of crude throughput - High Complexity Hydro Cracking and Coking</v>
      </c>
    </row>
    <row r="453" spans="99:103" x14ac:dyDescent="0.25">
      <c r="CU453">
        <f t="shared" si="70"/>
        <v>6</v>
      </c>
      <c r="CV453">
        <f t="shared" si="71"/>
        <v>73</v>
      </c>
      <c r="CW453" t="str">
        <f t="shared" si="72"/>
        <v>w_Phenolics</v>
      </c>
      <c r="CX453">
        <f t="shared" si="69"/>
        <v>11</v>
      </c>
      <c r="CY453" t="str">
        <f t="shared" si="73"/>
        <v>[kg/bbl] kg of Phenolics, total recoverable emissions to water per bbl of crude throughput</v>
      </c>
    </row>
    <row r="454" spans="99:103" x14ac:dyDescent="0.25">
      <c r="CU454">
        <f t="shared" si="70"/>
        <v>1</v>
      </c>
      <c r="CV454">
        <f t="shared" si="71"/>
        <v>74</v>
      </c>
      <c r="CW454" t="str">
        <f t="shared" si="72"/>
        <v>w_Phenols_L</v>
      </c>
      <c r="CX454">
        <f t="shared" si="69"/>
        <v>11</v>
      </c>
      <c r="CY454" t="str">
        <f t="shared" si="73"/>
        <v>[kg/bbl] kg of Phenols emissions to water per bbl of crude throughput - Low Complexity</v>
      </c>
    </row>
    <row r="455" spans="99:103" x14ac:dyDescent="0.25">
      <c r="CU455">
        <f t="shared" si="70"/>
        <v>2</v>
      </c>
      <c r="CV455">
        <f t="shared" si="71"/>
        <v>74</v>
      </c>
      <c r="CW455" t="str">
        <f t="shared" si="72"/>
        <v>w_Phenols_M</v>
      </c>
      <c r="CX455">
        <f t="shared" si="69"/>
        <v>11</v>
      </c>
      <c r="CY455" t="str">
        <f t="shared" si="73"/>
        <v>[kg/bbl] kg of Phenols emissions to water per bbl of crude throughput - Med Complexity</v>
      </c>
    </row>
    <row r="456" spans="99:103" x14ac:dyDescent="0.25">
      <c r="CU456">
        <f t="shared" si="70"/>
        <v>3</v>
      </c>
      <c r="CV456">
        <f t="shared" si="71"/>
        <v>74</v>
      </c>
      <c r="CW456" t="str">
        <f t="shared" si="72"/>
        <v>w_Phenols_HiH</v>
      </c>
      <c r="CX456">
        <f t="shared" si="69"/>
        <v>13</v>
      </c>
      <c r="CY456" t="str">
        <f t="shared" si="73"/>
        <v>[kg/bbl] kg of Phenols emissions to water per bbl of crude throughput - High Complexity Hydro Cracking</v>
      </c>
    </row>
    <row r="457" spans="99:103" x14ac:dyDescent="0.25">
      <c r="CU457">
        <f t="shared" si="70"/>
        <v>4</v>
      </c>
      <c r="CV457">
        <f t="shared" si="71"/>
        <v>74</v>
      </c>
      <c r="CW457" t="str">
        <f t="shared" si="72"/>
        <v>w_Phenols_HiC</v>
      </c>
      <c r="CX457">
        <f t="shared" si="69"/>
        <v>13</v>
      </c>
      <c r="CY457" t="str">
        <f t="shared" si="73"/>
        <v>[kg/bbl] kg of Phenols emissions to water per bbl of crude throughput - High Complexity Coking</v>
      </c>
    </row>
    <row r="458" spans="99:103" x14ac:dyDescent="0.25">
      <c r="CU458">
        <f t="shared" si="70"/>
        <v>5</v>
      </c>
      <c r="CV458">
        <f t="shared" si="71"/>
        <v>74</v>
      </c>
      <c r="CW458" t="str">
        <f t="shared" si="72"/>
        <v>w_Phenols_HiB</v>
      </c>
      <c r="CX458">
        <f t="shared" si="69"/>
        <v>13</v>
      </c>
      <c r="CY458" t="str">
        <f t="shared" si="73"/>
        <v>[kg/bbl] kg of Phenols emissions to water per bbl of crude throughput - High Complexity Hydro Cracking and Coking</v>
      </c>
    </row>
    <row r="459" spans="99:103" x14ac:dyDescent="0.25">
      <c r="CU459">
        <f t="shared" si="70"/>
        <v>6</v>
      </c>
      <c r="CV459">
        <f t="shared" si="71"/>
        <v>74</v>
      </c>
      <c r="CW459" t="str">
        <f t="shared" si="72"/>
        <v>w_Phenols</v>
      </c>
      <c r="CX459">
        <f t="shared" si="69"/>
        <v>9</v>
      </c>
      <c r="CY459" t="str">
        <f t="shared" si="73"/>
        <v>[kg/bbl] kg of Phenols emissions to water per bbl of crude throughput</v>
      </c>
    </row>
    <row r="460" spans="99:103" x14ac:dyDescent="0.25">
      <c r="CU460">
        <f t="shared" si="70"/>
        <v>1</v>
      </c>
      <c r="CV460">
        <f t="shared" si="71"/>
        <v>75</v>
      </c>
      <c r="CW460" t="str">
        <f t="shared" si="72"/>
        <v>w_PHOSPHORU_L</v>
      </c>
      <c r="CX460">
        <f t="shared" si="69"/>
        <v>13</v>
      </c>
      <c r="CY460" t="str">
        <f t="shared" si="73"/>
        <v>[kg/bbl] kg of PHOSPHORUS emissions to water per bbl of crude throughput - Low Complexity</v>
      </c>
    </row>
    <row r="461" spans="99:103" x14ac:dyDescent="0.25">
      <c r="CU461">
        <f t="shared" si="70"/>
        <v>2</v>
      </c>
      <c r="CV461">
        <f t="shared" si="71"/>
        <v>75</v>
      </c>
      <c r="CW461" t="str">
        <f t="shared" si="72"/>
        <v>w_PHOSPHORU_M</v>
      </c>
      <c r="CX461">
        <f t="shared" si="69"/>
        <v>13</v>
      </c>
      <c r="CY461" t="str">
        <f t="shared" si="73"/>
        <v>[kg/bbl] kg of PHOSPHORUS emissions to water per bbl of crude throughput - Med Complexity</v>
      </c>
    </row>
    <row r="462" spans="99:103" x14ac:dyDescent="0.25">
      <c r="CU462">
        <f t="shared" si="70"/>
        <v>3</v>
      </c>
      <c r="CV462">
        <f t="shared" si="71"/>
        <v>75</v>
      </c>
      <c r="CW462" t="str">
        <f t="shared" si="72"/>
        <v>w_PHOSPHORU_HiH</v>
      </c>
      <c r="CX462">
        <f t="shared" ref="CX462:CX467" si="74">LEN(CW462)</f>
        <v>15</v>
      </c>
      <c r="CY462" t="str">
        <f t="shared" si="73"/>
        <v>[kg/bbl] kg of PHOSPHORUS emissions to water per bbl of crude throughput - High Complexity Hydro Cracking</v>
      </c>
    </row>
    <row r="463" spans="99:103" x14ac:dyDescent="0.25">
      <c r="CU463">
        <f t="shared" si="70"/>
        <v>4</v>
      </c>
      <c r="CV463">
        <f t="shared" si="71"/>
        <v>75</v>
      </c>
      <c r="CW463" t="str">
        <f t="shared" si="72"/>
        <v>w_PHOSPHORU_HiC</v>
      </c>
      <c r="CX463">
        <f t="shared" si="74"/>
        <v>15</v>
      </c>
      <c r="CY463" t="str">
        <f t="shared" si="73"/>
        <v>[kg/bbl] kg of PHOSPHORUS emissions to water per bbl of crude throughput - High Complexity Coking</v>
      </c>
    </row>
    <row r="464" spans="99:103" x14ac:dyDescent="0.25">
      <c r="CU464">
        <f t="shared" si="70"/>
        <v>5</v>
      </c>
      <c r="CV464">
        <f t="shared" si="71"/>
        <v>75</v>
      </c>
      <c r="CW464" t="str">
        <f t="shared" si="72"/>
        <v>w_PHOSPHORU_HiB</v>
      </c>
      <c r="CX464">
        <f t="shared" si="74"/>
        <v>15</v>
      </c>
      <c r="CY464" t="str">
        <f t="shared" si="73"/>
        <v>[kg/bbl] kg of PHOSPHORUS emissions to water per bbl of crude throughput - High Complexity Hydro Cracking and Coking</v>
      </c>
    </row>
    <row r="465" spans="99:103" x14ac:dyDescent="0.25">
      <c r="CU465">
        <f t="shared" ref="CU465:CU528" si="75">IF(MOD((ROW()-15),6)=0,6,MOD((ROW()-15),6))</f>
        <v>6</v>
      </c>
      <c r="CV465">
        <f t="shared" ref="CV465:CV528" si="76">IF(MOD(ROW()-15,6)=0,ROUNDDOWN((ROW()-15)/6,0),ROUNDDOWN((ROW()-15)/6,0)+1)</f>
        <v>75</v>
      </c>
      <c r="CW465" t="str">
        <f t="shared" ref="CW465:CW528" si="77">IF(CU465&lt;&gt;6,INDEX($CT$16:$CT$106,CV465)&amp;INDEX($CS$16:$CS$20,CU465),INDEX($CT$16:$CT$106,CV465))</f>
        <v>w_PHOSPHORU</v>
      </c>
      <c r="CX465">
        <f t="shared" si="74"/>
        <v>11</v>
      </c>
      <c r="CY465" t="str">
        <f t="shared" ref="CY465:CY528" si="78">"[kg/bbl] kg of "&amp;HLOOKUP(INDEX($CT$16:$CT$106,CV465),$E$16:$CQ$17,2,FALSE)&amp;" emissions to water per bbl of crude throughput"&amp;IF(CU465&lt;&gt;6,INDEX($DF$16:$DF$20,CU465),"")</f>
        <v>[kg/bbl] kg of PHOSPHORUS emissions to water per bbl of crude throughput</v>
      </c>
    </row>
    <row r="466" spans="99:103" x14ac:dyDescent="0.25">
      <c r="CU466">
        <f t="shared" si="75"/>
        <v>1</v>
      </c>
      <c r="CV466">
        <f t="shared" si="76"/>
        <v>76</v>
      </c>
      <c r="CW466" t="str">
        <f t="shared" si="77"/>
        <v>w_POLYCYCLI_L</v>
      </c>
      <c r="CX466">
        <f t="shared" si="74"/>
        <v>13</v>
      </c>
      <c r="CY466" t="str">
        <f t="shared" si="78"/>
        <v>[kg/bbl] kg of POLYCYCLIC AROMATIC COMPOUNDS emissions to water per bbl of crude throughput - Low Complexity</v>
      </c>
    </row>
    <row r="467" spans="99:103" x14ac:dyDescent="0.25">
      <c r="CU467">
        <f t="shared" si="75"/>
        <v>2</v>
      </c>
      <c r="CV467">
        <f t="shared" si="76"/>
        <v>76</v>
      </c>
      <c r="CW467" t="str">
        <f t="shared" si="77"/>
        <v>w_POLYCYCLI_M</v>
      </c>
      <c r="CX467">
        <f t="shared" si="74"/>
        <v>13</v>
      </c>
      <c r="CY467" t="str">
        <f t="shared" si="78"/>
        <v>[kg/bbl] kg of POLYCYCLIC AROMATIC COMPOUNDS emissions to water per bbl of crude throughput - Med Complexity</v>
      </c>
    </row>
    <row r="468" spans="99:103" x14ac:dyDescent="0.25">
      <c r="CU468">
        <f t="shared" si="75"/>
        <v>3</v>
      </c>
      <c r="CV468">
        <f t="shared" si="76"/>
        <v>76</v>
      </c>
      <c r="CW468" t="str">
        <f t="shared" si="77"/>
        <v>w_POLYCYCLI_HiH</v>
      </c>
      <c r="CY468" t="str">
        <f t="shared" si="78"/>
        <v>[kg/bbl] kg of POLYCYCLIC AROMATIC COMPOUNDS emissions to water per bbl of crude throughput - High Complexity Hydro Cracking</v>
      </c>
    </row>
    <row r="469" spans="99:103" x14ac:dyDescent="0.25">
      <c r="CU469">
        <f t="shared" si="75"/>
        <v>4</v>
      </c>
      <c r="CV469">
        <f t="shared" si="76"/>
        <v>76</v>
      </c>
      <c r="CW469" t="str">
        <f t="shared" si="77"/>
        <v>w_POLYCYCLI_HiC</v>
      </c>
      <c r="CY469" t="str">
        <f t="shared" si="78"/>
        <v>[kg/bbl] kg of POLYCYCLIC AROMATIC COMPOUNDS emissions to water per bbl of crude throughput - High Complexity Coking</v>
      </c>
    </row>
    <row r="470" spans="99:103" x14ac:dyDescent="0.25">
      <c r="CU470">
        <f t="shared" si="75"/>
        <v>5</v>
      </c>
      <c r="CV470">
        <f t="shared" si="76"/>
        <v>76</v>
      </c>
      <c r="CW470" t="str">
        <f t="shared" si="77"/>
        <v>w_POLYCYCLI_HiB</v>
      </c>
      <c r="CY470" t="str">
        <f t="shared" si="78"/>
        <v>[kg/bbl] kg of POLYCYCLIC AROMATIC COMPOUNDS emissions to water per bbl of crude throughput - High Complexity Hydro Cracking and Coking</v>
      </c>
    </row>
    <row r="471" spans="99:103" x14ac:dyDescent="0.25">
      <c r="CU471">
        <f t="shared" si="75"/>
        <v>6</v>
      </c>
      <c r="CV471">
        <f t="shared" si="76"/>
        <v>76</v>
      </c>
      <c r="CW471" t="str">
        <f t="shared" si="77"/>
        <v>w_POLYCYCLI</v>
      </c>
      <c r="CY471" t="str">
        <f t="shared" si="78"/>
        <v>[kg/bbl] kg of POLYCYCLIC AROMATIC COMPOUNDS emissions to water per bbl of crude throughput</v>
      </c>
    </row>
    <row r="472" spans="99:103" x14ac:dyDescent="0.25">
      <c r="CU472">
        <f t="shared" si="75"/>
        <v>1</v>
      </c>
      <c r="CV472">
        <f t="shared" si="76"/>
        <v>77</v>
      </c>
      <c r="CW472" t="str">
        <f t="shared" si="77"/>
        <v>w_PROPYLENE_L</v>
      </c>
      <c r="CY472" t="str">
        <f t="shared" si="78"/>
        <v>[kg/bbl] kg of PROPYLENE emissions to water per bbl of crude throughput - Low Complexity</v>
      </c>
    </row>
    <row r="473" spans="99:103" x14ac:dyDescent="0.25">
      <c r="CU473">
        <f t="shared" si="75"/>
        <v>2</v>
      </c>
      <c r="CV473">
        <f t="shared" si="76"/>
        <v>77</v>
      </c>
      <c r="CW473" t="str">
        <f t="shared" si="77"/>
        <v>w_PROPYLENE_M</v>
      </c>
      <c r="CY473" t="str">
        <f t="shared" si="78"/>
        <v>[kg/bbl] kg of PROPYLENE emissions to water per bbl of crude throughput - Med Complexity</v>
      </c>
    </row>
    <row r="474" spans="99:103" x14ac:dyDescent="0.25">
      <c r="CU474">
        <f t="shared" si="75"/>
        <v>3</v>
      </c>
      <c r="CV474">
        <f t="shared" si="76"/>
        <v>77</v>
      </c>
      <c r="CW474" t="str">
        <f t="shared" si="77"/>
        <v>w_PROPYLENE_HiH</v>
      </c>
      <c r="CY474" t="str">
        <f t="shared" si="78"/>
        <v>[kg/bbl] kg of PROPYLENE emissions to water per bbl of crude throughput - High Complexity Hydro Cracking</v>
      </c>
    </row>
    <row r="475" spans="99:103" x14ac:dyDescent="0.25">
      <c r="CU475">
        <f t="shared" si="75"/>
        <v>4</v>
      </c>
      <c r="CV475">
        <f t="shared" si="76"/>
        <v>77</v>
      </c>
      <c r="CW475" t="str">
        <f t="shared" si="77"/>
        <v>w_PROPYLENE_HiC</v>
      </c>
      <c r="CY475" t="str">
        <f t="shared" si="78"/>
        <v>[kg/bbl] kg of PROPYLENE emissions to water per bbl of crude throughput - High Complexity Coking</v>
      </c>
    </row>
    <row r="476" spans="99:103" x14ac:dyDescent="0.25">
      <c r="CU476">
        <f t="shared" si="75"/>
        <v>5</v>
      </c>
      <c r="CV476">
        <f t="shared" si="76"/>
        <v>77</v>
      </c>
      <c r="CW476" t="str">
        <f t="shared" si="77"/>
        <v>w_PROPYLENE_HiB</v>
      </c>
      <c r="CY476" t="str">
        <f t="shared" si="78"/>
        <v>[kg/bbl] kg of PROPYLENE emissions to water per bbl of crude throughput - High Complexity Hydro Cracking and Coking</v>
      </c>
    </row>
    <row r="477" spans="99:103" x14ac:dyDescent="0.25">
      <c r="CU477">
        <f t="shared" si="75"/>
        <v>6</v>
      </c>
      <c r="CV477">
        <f t="shared" si="76"/>
        <v>77</v>
      </c>
      <c r="CW477" t="str">
        <f t="shared" si="77"/>
        <v>w_PROPYLENE</v>
      </c>
      <c r="CY477" t="str">
        <f t="shared" si="78"/>
        <v>[kg/bbl] kg of PROPYLENE emissions to water per bbl of crude throughput</v>
      </c>
    </row>
    <row r="478" spans="99:103" x14ac:dyDescent="0.25">
      <c r="CU478">
        <f t="shared" si="75"/>
        <v>1</v>
      </c>
      <c r="CV478">
        <f t="shared" si="76"/>
        <v>78</v>
      </c>
      <c r="CW478" t="str">
        <f t="shared" si="77"/>
        <v>w_PXYLENE_L</v>
      </c>
      <c r="CY478" t="str">
        <f t="shared" si="78"/>
        <v>[kg/bbl] kg of P-XYLENE emissions to water per bbl of crude throughput - Low Complexity</v>
      </c>
    </row>
    <row r="479" spans="99:103" x14ac:dyDescent="0.25">
      <c r="CU479">
        <f t="shared" si="75"/>
        <v>2</v>
      </c>
      <c r="CV479">
        <f t="shared" si="76"/>
        <v>78</v>
      </c>
      <c r="CW479" t="str">
        <f t="shared" si="77"/>
        <v>w_PXYLENE_M</v>
      </c>
      <c r="CY479" t="str">
        <f t="shared" si="78"/>
        <v>[kg/bbl] kg of P-XYLENE emissions to water per bbl of crude throughput - Med Complexity</v>
      </c>
    </row>
    <row r="480" spans="99:103" x14ac:dyDescent="0.25">
      <c r="CU480">
        <f t="shared" si="75"/>
        <v>3</v>
      </c>
      <c r="CV480">
        <f t="shared" si="76"/>
        <v>78</v>
      </c>
      <c r="CW480" t="str">
        <f t="shared" si="77"/>
        <v>w_PXYLENE_HiH</v>
      </c>
      <c r="CY480" t="str">
        <f t="shared" si="78"/>
        <v>[kg/bbl] kg of P-XYLENE emissions to water per bbl of crude throughput - High Complexity Hydro Cracking</v>
      </c>
    </row>
    <row r="481" spans="99:103" x14ac:dyDescent="0.25">
      <c r="CU481">
        <f t="shared" si="75"/>
        <v>4</v>
      </c>
      <c r="CV481">
        <f t="shared" si="76"/>
        <v>78</v>
      </c>
      <c r="CW481" t="str">
        <f t="shared" si="77"/>
        <v>w_PXYLENE_HiC</v>
      </c>
      <c r="CY481" t="str">
        <f t="shared" si="78"/>
        <v>[kg/bbl] kg of P-XYLENE emissions to water per bbl of crude throughput - High Complexity Coking</v>
      </c>
    </row>
    <row r="482" spans="99:103" x14ac:dyDescent="0.25">
      <c r="CU482">
        <f t="shared" si="75"/>
        <v>5</v>
      </c>
      <c r="CV482">
        <f t="shared" si="76"/>
        <v>78</v>
      </c>
      <c r="CW482" t="str">
        <f t="shared" si="77"/>
        <v>w_PXYLENE_HiB</v>
      </c>
      <c r="CY482" t="str">
        <f t="shared" si="78"/>
        <v>[kg/bbl] kg of P-XYLENE emissions to water per bbl of crude throughput - High Complexity Hydro Cracking and Coking</v>
      </c>
    </row>
    <row r="483" spans="99:103" x14ac:dyDescent="0.25">
      <c r="CU483">
        <f t="shared" si="75"/>
        <v>6</v>
      </c>
      <c r="CV483">
        <f t="shared" si="76"/>
        <v>78</v>
      </c>
      <c r="CW483" t="str">
        <f t="shared" si="77"/>
        <v>w_PXYLENE</v>
      </c>
      <c r="CY483" t="str">
        <f t="shared" si="78"/>
        <v>[kg/bbl] kg of P-XYLENE emissions to water per bbl of crude throughput</v>
      </c>
    </row>
    <row r="484" spans="99:103" x14ac:dyDescent="0.25">
      <c r="CU484">
        <f t="shared" si="75"/>
        <v>1</v>
      </c>
      <c r="CV484">
        <f t="shared" si="76"/>
        <v>79</v>
      </c>
      <c r="CW484" t="str">
        <f t="shared" si="77"/>
        <v>w_PYRENE_L</v>
      </c>
      <c r="CY484" t="str">
        <f t="shared" si="78"/>
        <v>[kg/bbl] kg of PYRENE emissions to water per bbl of crude throughput - Low Complexity</v>
      </c>
    </row>
    <row r="485" spans="99:103" x14ac:dyDescent="0.25">
      <c r="CU485">
        <f t="shared" si="75"/>
        <v>2</v>
      </c>
      <c r="CV485">
        <f t="shared" si="76"/>
        <v>79</v>
      </c>
      <c r="CW485" t="str">
        <f t="shared" si="77"/>
        <v>w_PYRENE_M</v>
      </c>
      <c r="CY485" t="str">
        <f t="shared" si="78"/>
        <v>[kg/bbl] kg of PYRENE emissions to water per bbl of crude throughput - Med Complexity</v>
      </c>
    </row>
    <row r="486" spans="99:103" x14ac:dyDescent="0.25">
      <c r="CU486">
        <f t="shared" si="75"/>
        <v>3</v>
      </c>
      <c r="CV486">
        <f t="shared" si="76"/>
        <v>79</v>
      </c>
      <c r="CW486" t="str">
        <f t="shared" si="77"/>
        <v>w_PYRENE_HiH</v>
      </c>
      <c r="CY486" t="str">
        <f t="shared" si="78"/>
        <v>[kg/bbl] kg of PYRENE emissions to water per bbl of crude throughput - High Complexity Hydro Cracking</v>
      </c>
    </row>
    <row r="487" spans="99:103" x14ac:dyDescent="0.25">
      <c r="CU487">
        <f t="shared" si="75"/>
        <v>4</v>
      </c>
      <c r="CV487">
        <f t="shared" si="76"/>
        <v>79</v>
      </c>
      <c r="CW487" t="str">
        <f t="shared" si="77"/>
        <v>w_PYRENE_HiC</v>
      </c>
      <c r="CY487" t="str">
        <f t="shared" si="78"/>
        <v>[kg/bbl] kg of PYRENE emissions to water per bbl of crude throughput - High Complexity Coking</v>
      </c>
    </row>
    <row r="488" spans="99:103" x14ac:dyDescent="0.25">
      <c r="CU488">
        <f t="shared" si="75"/>
        <v>5</v>
      </c>
      <c r="CV488">
        <f t="shared" si="76"/>
        <v>79</v>
      </c>
      <c r="CW488" t="str">
        <f t="shared" si="77"/>
        <v>w_PYRENE_HiB</v>
      </c>
      <c r="CY488" t="str">
        <f t="shared" si="78"/>
        <v>[kg/bbl] kg of PYRENE emissions to water per bbl of crude throughput - High Complexity Hydro Cracking and Coking</v>
      </c>
    </row>
    <row r="489" spans="99:103" x14ac:dyDescent="0.25">
      <c r="CU489">
        <f t="shared" si="75"/>
        <v>6</v>
      </c>
      <c r="CV489">
        <f t="shared" si="76"/>
        <v>79</v>
      </c>
      <c r="CW489" t="str">
        <f t="shared" si="77"/>
        <v>w_PYRENE</v>
      </c>
      <c r="CY489" t="str">
        <f t="shared" si="78"/>
        <v>[kg/bbl] kg of PYRENE emissions to water per bbl of crude throughput</v>
      </c>
    </row>
    <row r="490" spans="99:103" x14ac:dyDescent="0.25">
      <c r="CU490">
        <f t="shared" si="75"/>
        <v>1</v>
      </c>
      <c r="CV490">
        <f t="shared" si="76"/>
        <v>80</v>
      </c>
      <c r="CW490" t="str">
        <f t="shared" si="77"/>
        <v>w_Seleniumt_L</v>
      </c>
      <c r="CY490" t="str">
        <f t="shared" si="78"/>
        <v>[kg/bbl] kg of Selenium, total (as Se) emissions to water per bbl of crude throughput - Low Complexity</v>
      </c>
    </row>
    <row r="491" spans="99:103" x14ac:dyDescent="0.25">
      <c r="CU491">
        <f t="shared" si="75"/>
        <v>2</v>
      </c>
      <c r="CV491">
        <f t="shared" si="76"/>
        <v>80</v>
      </c>
      <c r="CW491" t="str">
        <f t="shared" si="77"/>
        <v>w_Seleniumt_M</v>
      </c>
      <c r="CY491" t="str">
        <f t="shared" si="78"/>
        <v>[kg/bbl] kg of Selenium, total (as Se) emissions to water per bbl of crude throughput - Med Complexity</v>
      </c>
    </row>
    <row r="492" spans="99:103" x14ac:dyDescent="0.25">
      <c r="CU492">
        <f t="shared" si="75"/>
        <v>3</v>
      </c>
      <c r="CV492">
        <f t="shared" si="76"/>
        <v>80</v>
      </c>
      <c r="CW492" t="str">
        <f t="shared" si="77"/>
        <v>w_Seleniumt_HiH</v>
      </c>
      <c r="CY492" t="str">
        <f t="shared" si="78"/>
        <v>[kg/bbl] kg of Selenium, total (as Se) emissions to water per bbl of crude throughput - High Complexity Hydro Cracking</v>
      </c>
    </row>
    <row r="493" spans="99:103" x14ac:dyDescent="0.25">
      <c r="CU493">
        <f t="shared" si="75"/>
        <v>4</v>
      </c>
      <c r="CV493">
        <f t="shared" si="76"/>
        <v>80</v>
      </c>
      <c r="CW493" t="str">
        <f t="shared" si="77"/>
        <v>w_Seleniumt_HiC</v>
      </c>
      <c r="CY493" t="str">
        <f t="shared" si="78"/>
        <v>[kg/bbl] kg of Selenium, total (as Se) emissions to water per bbl of crude throughput - High Complexity Coking</v>
      </c>
    </row>
    <row r="494" spans="99:103" x14ac:dyDescent="0.25">
      <c r="CU494">
        <f t="shared" si="75"/>
        <v>5</v>
      </c>
      <c r="CV494">
        <f t="shared" si="76"/>
        <v>80</v>
      </c>
      <c r="CW494" t="str">
        <f t="shared" si="77"/>
        <v>w_Seleniumt_HiB</v>
      </c>
      <c r="CY494" t="str">
        <f t="shared" si="78"/>
        <v>[kg/bbl] kg of Selenium, total (as Se) emissions to water per bbl of crude throughput - High Complexity Hydro Cracking and Coking</v>
      </c>
    </row>
    <row r="495" spans="99:103" x14ac:dyDescent="0.25">
      <c r="CU495">
        <f t="shared" si="75"/>
        <v>6</v>
      </c>
      <c r="CV495">
        <f t="shared" si="76"/>
        <v>80</v>
      </c>
      <c r="CW495" t="str">
        <f t="shared" si="77"/>
        <v>w_Seleniumt</v>
      </c>
      <c r="CY495" t="str">
        <f t="shared" si="78"/>
        <v>[kg/bbl] kg of Selenium, total (as Se) emissions to water per bbl of crude throughput</v>
      </c>
    </row>
    <row r="496" spans="99:103" x14ac:dyDescent="0.25">
      <c r="CU496">
        <f t="shared" si="75"/>
        <v>1</v>
      </c>
      <c r="CV496">
        <f t="shared" si="76"/>
        <v>81</v>
      </c>
      <c r="CW496" t="str">
        <f t="shared" si="77"/>
        <v>w_Silvertot_L</v>
      </c>
      <c r="CY496" t="str">
        <f t="shared" si="78"/>
        <v>[kg/bbl] kg of Silver, total (as Ag) emissions to water per bbl of crude throughput - Low Complexity</v>
      </c>
    </row>
    <row r="497" spans="99:103" x14ac:dyDescent="0.25">
      <c r="CU497">
        <f t="shared" si="75"/>
        <v>2</v>
      </c>
      <c r="CV497">
        <f t="shared" si="76"/>
        <v>81</v>
      </c>
      <c r="CW497" t="str">
        <f t="shared" si="77"/>
        <v>w_Silvertot_M</v>
      </c>
      <c r="CY497" t="str">
        <f t="shared" si="78"/>
        <v>[kg/bbl] kg of Silver, total (as Ag) emissions to water per bbl of crude throughput - Med Complexity</v>
      </c>
    </row>
    <row r="498" spans="99:103" x14ac:dyDescent="0.25">
      <c r="CU498">
        <f t="shared" si="75"/>
        <v>3</v>
      </c>
      <c r="CV498">
        <f t="shared" si="76"/>
        <v>81</v>
      </c>
      <c r="CW498" t="str">
        <f t="shared" si="77"/>
        <v>w_Silvertot_HiH</v>
      </c>
      <c r="CY498" t="str">
        <f t="shared" si="78"/>
        <v>[kg/bbl] kg of Silver, total (as Ag) emissions to water per bbl of crude throughput - High Complexity Hydro Cracking</v>
      </c>
    </row>
    <row r="499" spans="99:103" x14ac:dyDescent="0.25">
      <c r="CU499">
        <f t="shared" si="75"/>
        <v>4</v>
      </c>
      <c r="CV499">
        <f t="shared" si="76"/>
        <v>81</v>
      </c>
      <c r="CW499" t="str">
        <f t="shared" si="77"/>
        <v>w_Silvertot_HiC</v>
      </c>
      <c r="CY499" t="str">
        <f t="shared" si="78"/>
        <v>[kg/bbl] kg of Silver, total (as Ag) emissions to water per bbl of crude throughput - High Complexity Coking</v>
      </c>
    </row>
    <row r="500" spans="99:103" x14ac:dyDescent="0.25">
      <c r="CU500">
        <f t="shared" si="75"/>
        <v>5</v>
      </c>
      <c r="CV500">
        <f t="shared" si="76"/>
        <v>81</v>
      </c>
      <c r="CW500" t="str">
        <f t="shared" si="77"/>
        <v>w_Silvertot_HiB</v>
      </c>
      <c r="CY500" t="str">
        <f t="shared" si="78"/>
        <v>[kg/bbl] kg of Silver, total (as Ag) emissions to water per bbl of crude throughput - High Complexity Hydro Cracking and Coking</v>
      </c>
    </row>
    <row r="501" spans="99:103" x14ac:dyDescent="0.25">
      <c r="CU501">
        <f t="shared" si="75"/>
        <v>6</v>
      </c>
      <c r="CV501">
        <f t="shared" si="76"/>
        <v>81</v>
      </c>
      <c r="CW501" t="str">
        <f t="shared" si="77"/>
        <v>w_Silvertot</v>
      </c>
      <c r="CY501" t="str">
        <f t="shared" si="78"/>
        <v>[kg/bbl] kg of Silver, total (as Ag) emissions to water per bbl of crude throughput</v>
      </c>
    </row>
    <row r="502" spans="99:103" x14ac:dyDescent="0.25">
      <c r="CU502">
        <f t="shared" si="75"/>
        <v>1</v>
      </c>
      <c r="CV502">
        <f t="shared" si="76"/>
        <v>82</v>
      </c>
      <c r="CW502" t="str">
        <f t="shared" si="77"/>
        <v>w_Sodiumchl_L</v>
      </c>
      <c r="CY502" t="str">
        <f t="shared" si="78"/>
        <v>[kg/bbl] kg of Sodium chloride (salt) emissions to water per bbl of crude throughput - Low Complexity</v>
      </c>
    </row>
    <row r="503" spans="99:103" x14ac:dyDescent="0.25">
      <c r="CU503">
        <f t="shared" si="75"/>
        <v>2</v>
      </c>
      <c r="CV503">
        <f t="shared" si="76"/>
        <v>82</v>
      </c>
      <c r="CW503" t="str">
        <f t="shared" si="77"/>
        <v>w_Sodiumchl_M</v>
      </c>
      <c r="CY503" t="str">
        <f t="shared" si="78"/>
        <v>[kg/bbl] kg of Sodium chloride (salt) emissions to water per bbl of crude throughput - Med Complexity</v>
      </c>
    </row>
    <row r="504" spans="99:103" x14ac:dyDescent="0.25">
      <c r="CU504">
        <f t="shared" si="75"/>
        <v>3</v>
      </c>
      <c r="CV504">
        <f t="shared" si="76"/>
        <v>82</v>
      </c>
      <c r="CW504" t="str">
        <f t="shared" si="77"/>
        <v>w_Sodiumchl_HiH</v>
      </c>
      <c r="CY504" t="str">
        <f t="shared" si="78"/>
        <v>[kg/bbl] kg of Sodium chloride (salt) emissions to water per bbl of crude throughput - High Complexity Hydro Cracking</v>
      </c>
    </row>
    <row r="505" spans="99:103" x14ac:dyDescent="0.25">
      <c r="CU505">
        <f t="shared" si="75"/>
        <v>4</v>
      </c>
      <c r="CV505">
        <f t="shared" si="76"/>
        <v>82</v>
      </c>
      <c r="CW505" t="str">
        <f t="shared" si="77"/>
        <v>w_Sodiumchl_HiC</v>
      </c>
      <c r="CY505" t="str">
        <f t="shared" si="78"/>
        <v>[kg/bbl] kg of Sodium chloride (salt) emissions to water per bbl of crude throughput - High Complexity Coking</v>
      </c>
    </row>
    <row r="506" spans="99:103" x14ac:dyDescent="0.25">
      <c r="CU506">
        <f t="shared" si="75"/>
        <v>5</v>
      </c>
      <c r="CV506">
        <f t="shared" si="76"/>
        <v>82</v>
      </c>
      <c r="CW506" t="str">
        <f t="shared" si="77"/>
        <v>w_Sodiumchl_HiB</v>
      </c>
      <c r="CY506" t="str">
        <f t="shared" si="78"/>
        <v>[kg/bbl] kg of Sodium chloride (salt) emissions to water per bbl of crude throughput - High Complexity Hydro Cracking and Coking</v>
      </c>
    </row>
    <row r="507" spans="99:103" x14ac:dyDescent="0.25">
      <c r="CU507">
        <f t="shared" si="75"/>
        <v>6</v>
      </c>
      <c r="CV507">
        <f t="shared" si="76"/>
        <v>82</v>
      </c>
      <c r="CW507" t="str">
        <f t="shared" si="77"/>
        <v>w_Sodiumchl</v>
      </c>
      <c r="CY507" t="str">
        <f t="shared" si="78"/>
        <v>[kg/bbl] kg of Sodium chloride (salt) emissions to water per bbl of crude throughput</v>
      </c>
    </row>
    <row r="508" spans="99:103" x14ac:dyDescent="0.25">
      <c r="CU508">
        <f t="shared" si="75"/>
        <v>1</v>
      </c>
      <c r="CV508">
        <f t="shared" si="76"/>
        <v>83</v>
      </c>
      <c r="CW508" t="str">
        <f t="shared" si="77"/>
        <v>w_solidstd_L</v>
      </c>
      <c r="CY508" t="str">
        <f t="shared" si="78"/>
        <v>[kg/bbl] kg of Solids, total dissolved emissions to water per bbl of crude throughput - Low Complexity</v>
      </c>
    </row>
    <row r="509" spans="99:103" x14ac:dyDescent="0.25">
      <c r="CU509">
        <f t="shared" si="75"/>
        <v>2</v>
      </c>
      <c r="CV509">
        <f t="shared" si="76"/>
        <v>83</v>
      </c>
      <c r="CW509" t="str">
        <f t="shared" si="77"/>
        <v>w_solidstd_M</v>
      </c>
      <c r="CY509" t="str">
        <f t="shared" si="78"/>
        <v>[kg/bbl] kg of Solids, total dissolved emissions to water per bbl of crude throughput - Med Complexity</v>
      </c>
    </row>
    <row r="510" spans="99:103" x14ac:dyDescent="0.25">
      <c r="CU510">
        <f t="shared" si="75"/>
        <v>3</v>
      </c>
      <c r="CV510">
        <f t="shared" si="76"/>
        <v>83</v>
      </c>
      <c r="CW510" t="str">
        <f t="shared" si="77"/>
        <v>w_solidstd_HiH</v>
      </c>
      <c r="CY510" t="str">
        <f t="shared" si="78"/>
        <v>[kg/bbl] kg of Solids, total dissolved emissions to water per bbl of crude throughput - High Complexity Hydro Cracking</v>
      </c>
    </row>
    <row r="511" spans="99:103" x14ac:dyDescent="0.25">
      <c r="CU511">
        <f t="shared" si="75"/>
        <v>4</v>
      </c>
      <c r="CV511">
        <f t="shared" si="76"/>
        <v>83</v>
      </c>
      <c r="CW511" t="str">
        <f t="shared" si="77"/>
        <v>w_solidstd_HiC</v>
      </c>
      <c r="CY511" t="str">
        <f t="shared" si="78"/>
        <v>[kg/bbl] kg of Solids, total dissolved emissions to water per bbl of crude throughput - High Complexity Coking</v>
      </c>
    </row>
    <row r="512" spans="99:103" x14ac:dyDescent="0.25">
      <c r="CU512">
        <f t="shared" si="75"/>
        <v>5</v>
      </c>
      <c r="CV512">
        <f t="shared" si="76"/>
        <v>83</v>
      </c>
      <c r="CW512" t="str">
        <f t="shared" si="77"/>
        <v>w_solidstd_HiB</v>
      </c>
      <c r="CY512" t="str">
        <f t="shared" si="78"/>
        <v>[kg/bbl] kg of Solids, total dissolved emissions to water per bbl of crude throughput - High Complexity Hydro Cracking and Coking</v>
      </c>
    </row>
    <row r="513" spans="99:103" x14ac:dyDescent="0.25">
      <c r="CU513">
        <f t="shared" si="75"/>
        <v>6</v>
      </c>
      <c r="CV513">
        <f t="shared" si="76"/>
        <v>83</v>
      </c>
      <c r="CW513" t="str">
        <f t="shared" si="77"/>
        <v>w_solidstd</v>
      </c>
      <c r="CY513" t="str">
        <f t="shared" si="78"/>
        <v>[kg/bbl] kg of Solids, total dissolved emissions to water per bbl of crude throughput</v>
      </c>
    </row>
    <row r="514" spans="99:103" x14ac:dyDescent="0.25">
      <c r="CU514">
        <f t="shared" si="75"/>
        <v>1</v>
      </c>
      <c r="CV514">
        <f t="shared" si="76"/>
        <v>84</v>
      </c>
      <c r="CW514" t="str">
        <f t="shared" si="77"/>
        <v>w_slds180_L</v>
      </c>
      <c r="CY514" t="e">
        <f t="shared" si="78"/>
        <v>#N/A</v>
      </c>
    </row>
    <row r="515" spans="99:103" x14ac:dyDescent="0.25">
      <c r="CU515">
        <f t="shared" si="75"/>
        <v>2</v>
      </c>
      <c r="CV515">
        <f t="shared" si="76"/>
        <v>84</v>
      </c>
      <c r="CW515" t="str">
        <f t="shared" si="77"/>
        <v>w_slds180_M</v>
      </c>
      <c r="CY515" t="e">
        <f t="shared" si="78"/>
        <v>#N/A</v>
      </c>
    </row>
    <row r="516" spans="99:103" x14ac:dyDescent="0.25">
      <c r="CU516">
        <f t="shared" si="75"/>
        <v>3</v>
      </c>
      <c r="CV516">
        <f t="shared" si="76"/>
        <v>84</v>
      </c>
      <c r="CW516" t="str">
        <f t="shared" si="77"/>
        <v>w_slds180_HiH</v>
      </c>
      <c r="CY516" t="e">
        <f t="shared" si="78"/>
        <v>#N/A</v>
      </c>
    </row>
    <row r="517" spans="99:103" x14ac:dyDescent="0.25">
      <c r="CU517">
        <f t="shared" si="75"/>
        <v>4</v>
      </c>
      <c r="CV517">
        <f t="shared" si="76"/>
        <v>84</v>
      </c>
      <c r="CW517" t="str">
        <f t="shared" si="77"/>
        <v>w_slds180_HiC</v>
      </c>
      <c r="CY517" t="e">
        <f t="shared" si="78"/>
        <v>#N/A</v>
      </c>
    </row>
    <row r="518" spans="99:103" x14ac:dyDescent="0.25">
      <c r="CU518">
        <f t="shared" si="75"/>
        <v>5</v>
      </c>
      <c r="CV518">
        <f t="shared" si="76"/>
        <v>84</v>
      </c>
      <c r="CW518" t="str">
        <f t="shared" si="77"/>
        <v>w_slds180_HiB</v>
      </c>
      <c r="CY518" t="e">
        <f t="shared" si="78"/>
        <v>#N/A</v>
      </c>
    </row>
    <row r="519" spans="99:103" x14ac:dyDescent="0.25">
      <c r="CU519">
        <f t="shared" si="75"/>
        <v>6</v>
      </c>
      <c r="CV519">
        <f t="shared" si="76"/>
        <v>84</v>
      </c>
      <c r="CW519" t="str">
        <f t="shared" si="77"/>
        <v>w_slds180</v>
      </c>
      <c r="CY519" t="e">
        <f t="shared" si="78"/>
        <v>#N/A</v>
      </c>
    </row>
    <row r="520" spans="99:103" x14ac:dyDescent="0.25">
      <c r="CU520">
        <f t="shared" si="75"/>
        <v>1</v>
      </c>
      <c r="CV520">
        <f t="shared" si="76"/>
        <v>85</v>
      </c>
      <c r="CW520" t="str">
        <f t="shared" si="77"/>
        <v>w_solidts_L</v>
      </c>
      <c r="CY520" t="str">
        <f t="shared" si="78"/>
        <v>[kg/bbl] kg of Solids, total suspended emissions to water per bbl of crude throughput - Low Complexity</v>
      </c>
    </row>
    <row r="521" spans="99:103" x14ac:dyDescent="0.25">
      <c r="CU521">
        <f t="shared" si="75"/>
        <v>2</v>
      </c>
      <c r="CV521">
        <f t="shared" si="76"/>
        <v>85</v>
      </c>
      <c r="CW521" t="str">
        <f t="shared" si="77"/>
        <v>w_solidts_M</v>
      </c>
      <c r="CY521" t="str">
        <f t="shared" si="78"/>
        <v>[kg/bbl] kg of Solids, total suspended emissions to water per bbl of crude throughput - Med Complexity</v>
      </c>
    </row>
    <row r="522" spans="99:103" x14ac:dyDescent="0.25">
      <c r="CU522">
        <f t="shared" si="75"/>
        <v>3</v>
      </c>
      <c r="CV522">
        <f t="shared" si="76"/>
        <v>85</v>
      </c>
      <c r="CW522" t="str">
        <f t="shared" si="77"/>
        <v>w_solidts_HiH</v>
      </c>
      <c r="CY522" t="str">
        <f t="shared" si="78"/>
        <v>[kg/bbl] kg of Solids, total suspended emissions to water per bbl of crude throughput - High Complexity Hydro Cracking</v>
      </c>
    </row>
    <row r="523" spans="99:103" x14ac:dyDescent="0.25">
      <c r="CU523">
        <f t="shared" si="75"/>
        <v>4</v>
      </c>
      <c r="CV523">
        <f t="shared" si="76"/>
        <v>85</v>
      </c>
      <c r="CW523" t="str">
        <f t="shared" si="77"/>
        <v>w_solidts_HiC</v>
      </c>
      <c r="CY523" t="str">
        <f t="shared" si="78"/>
        <v>[kg/bbl] kg of Solids, total suspended emissions to water per bbl of crude throughput - High Complexity Coking</v>
      </c>
    </row>
    <row r="524" spans="99:103" x14ac:dyDescent="0.25">
      <c r="CU524">
        <f t="shared" si="75"/>
        <v>5</v>
      </c>
      <c r="CV524">
        <f t="shared" si="76"/>
        <v>85</v>
      </c>
      <c r="CW524" t="str">
        <f t="shared" si="77"/>
        <v>w_solidts_HiB</v>
      </c>
      <c r="CY524" t="str">
        <f t="shared" si="78"/>
        <v>[kg/bbl] kg of Solids, total suspended emissions to water per bbl of crude throughput - High Complexity Hydro Cracking and Coking</v>
      </c>
    </row>
    <row r="525" spans="99:103" x14ac:dyDescent="0.25">
      <c r="CU525">
        <f t="shared" si="75"/>
        <v>6</v>
      </c>
      <c r="CV525">
        <f t="shared" si="76"/>
        <v>85</v>
      </c>
      <c r="CW525" t="str">
        <f t="shared" si="77"/>
        <v>w_solidts</v>
      </c>
      <c r="CY525" t="str">
        <f t="shared" si="78"/>
        <v>[kg/bbl] kg of Solids, total suspended emissions to water per bbl of crude throughput</v>
      </c>
    </row>
    <row r="526" spans="99:103" x14ac:dyDescent="0.25">
      <c r="CU526">
        <f t="shared" si="75"/>
        <v>1</v>
      </c>
      <c r="CV526">
        <f t="shared" si="76"/>
        <v>86</v>
      </c>
      <c r="CW526" t="str">
        <f t="shared" si="77"/>
        <v>w_STYRENE_L</v>
      </c>
      <c r="CY526" t="str">
        <f t="shared" si="78"/>
        <v>[kg/bbl] kg of STYRENE emissions to water per bbl of crude throughput - Low Complexity</v>
      </c>
    </row>
    <row r="527" spans="99:103" x14ac:dyDescent="0.25">
      <c r="CU527">
        <f t="shared" si="75"/>
        <v>2</v>
      </c>
      <c r="CV527">
        <f t="shared" si="76"/>
        <v>86</v>
      </c>
      <c r="CW527" t="str">
        <f t="shared" si="77"/>
        <v>w_STYRENE_M</v>
      </c>
      <c r="CY527" t="str">
        <f t="shared" si="78"/>
        <v>[kg/bbl] kg of STYRENE emissions to water per bbl of crude throughput - Med Complexity</v>
      </c>
    </row>
    <row r="528" spans="99:103" x14ac:dyDescent="0.25">
      <c r="CU528">
        <f t="shared" si="75"/>
        <v>3</v>
      </c>
      <c r="CV528">
        <f t="shared" si="76"/>
        <v>86</v>
      </c>
      <c r="CW528" t="str">
        <f t="shared" si="77"/>
        <v>w_STYRENE_HiH</v>
      </c>
      <c r="CY528" t="str">
        <f t="shared" si="78"/>
        <v>[kg/bbl] kg of STYRENE emissions to water per bbl of crude throughput - High Complexity Hydro Cracking</v>
      </c>
    </row>
    <row r="529" spans="99:103" x14ac:dyDescent="0.25">
      <c r="CU529">
        <f t="shared" ref="CU529:CU561" si="79">IF(MOD((ROW()-15),6)=0,6,MOD((ROW()-15),6))</f>
        <v>4</v>
      </c>
      <c r="CV529">
        <f t="shared" ref="CV529:CV561" si="80">IF(MOD(ROW()-15,6)=0,ROUNDDOWN((ROW()-15)/6,0),ROUNDDOWN((ROW()-15)/6,0)+1)</f>
        <v>86</v>
      </c>
      <c r="CW529" t="str">
        <f t="shared" ref="CW529:CW561" si="81">IF(CU529&lt;&gt;6,INDEX($CT$16:$CT$106,CV529)&amp;INDEX($CS$16:$CS$20,CU529),INDEX($CT$16:$CT$106,CV529))</f>
        <v>w_STYRENE_HiC</v>
      </c>
      <c r="CY529" t="str">
        <f t="shared" ref="CY529:CY561" si="82">"[kg/bbl] kg of "&amp;HLOOKUP(INDEX($CT$16:$CT$106,CV529),$E$16:$CQ$17,2,FALSE)&amp;" emissions to water per bbl of crude throughput"&amp;IF(CU529&lt;&gt;6,INDEX($DF$16:$DF$20,CU529),"")</f>
        <v>[kg/bbl] kg of STYRENE emissions to water per bbl of crude throughput - High Complexity Coking</v>
      </c>
    </row>
    <row r="530" spans="99:103" x14ac:dyDescent="0.25">
      <c r="CU530">
        <f t="shared" si="79"/>
        <v>5</v>
      </c>
      <c r="CV530">
        <f t="shared" si="80"/>
        <v>86</v>
      </c>
      <c r="CW530" t="str">
        <f t="shared" si="81"/>
        <v>w_STYRENE_HiB</v>
      </c>
      <c r="CY530" t="str">
        <f t="shared" si="82"/>
        <v>[kg/bbl] kg of STYRENE emissions to water per bbl of crude throughput - High Complexity Hydro Cracking and Coking</v>
      </c>
    </row>
    <row r="531" spans="99:103" x14ac:dyDescent="0.25">
      <c r="CU531">
        <f t="shared" si="79"/>
        <v>6</v>
      </c>
      <c r="CV531">
        <f t="shared" si="80"/>
        <v>86</v>
      </c>
      <c r="CW531" t="str">
        <f t="shared" si="81"/>
        <v>w_STYRENE</v>
      </c>
      <c r="CY531" t="str">
        <f t="shared" si="82"/>
        <v>[kg/bbl] kg of STYRENE emissions to water per bbl of crude throughput</v>
      </c>
    </row>
    <row r="532" spans="99:103" x14ac:dyDescent="0.25">
      <c r="CU532">
        <f t="shared" si="79"/>
        <v>1</v>
      </c>
      <c r="CV532">
        <f t="shared" si="80"/>
        <v>87</v>
      </c>
      <c r="CW532" t="str">
        <f t="shared" si="81"/>
        <v>w_TOLUENE_L</v>
      </c>
      <c r="CY532" t="str">
        <f t="shared" si="82"/>
        <v>[kg/bbl] kg of TOLUENE emissions to water per bbl of crude throughput - Low Complexity</v>
      </c>
    </row>
    <row r="533" spans="99:103" x14ac:dyDescent="0.25">
      <c r="CU533">
        <f t="shared" si="79"/>
        <v>2</v>
      </c>
      <c r="CV533">
        <f t="shared" si="80"/>
        <v>87</v>
      </c>
      <c r="CW533" t="str">
        <f t="shared" si="81"/>
        <v>w_TOLUENE_M</v>
      </c>
      <c r="CY533" t="str">
        <f t="shared" si="82"/>
        <v>[kg/bbl] kg of TOLUENE emissions to water per bbl of crude throughput - Med Complexity</v>
      </c>
    </row>
    <row r="534" spans="99:103" x14ac:dyDescent="0.25">
      <c r="CU534">
        <f t="shared" si="79"/>
        <v>3</v>
      </c>
      <c r="CV534">
        <f t="shared" si="80"/>
        <v>87</v>
      </c>
      <c r="CW534" t="str">
        <f t="shared" si="81"/>
        <v>w_TOLUENE_HiH</v>
      </c>
      <c r="CY534" t="str">
        <f t="shared" si="82"/>
        <v>[kg/bbl] kg of TOLUENE emissions to water per bbl of crude throughput - High Complexity Hydro Cracking</v>
      </c>
    </row>
    <row r="535" spans="99:103" x14ac:dyDescent="0.25">
      <c r="CU535">
        <f t="shared" si="79"/>
        <v>4</v>
      </c>
      <c r="CV535">
        <f t="shared" si="80"/>
        <v>87</v>
      </c>
      <c r="CW535" t="str">
        <f t="shared" si="81"/>
        <v>w_TOLUENE_HiC</v>
      </c>
      <c r="CY535" t="str">
        <f t="shared" si="82"/>
        <v>[kg/bbl] kg of TOLUENE emissions to water per bbl of crude throughput - High Complexity Coking</v>
      </c>
    </row>
    <row r="536" spans="99:103" x14ac:dyDescent="0.25">
      <c r="CU536">
        <f t="shared" si="79"/>
        <v>5</v>
      </c>
      <c r="CV536">
        <f t="shared" si="80"/>
        <v>87</v>
      </c>
      <c r="CW536" t="str">
        <f t="shared" si="81"/>
        <v>w_TOLUENE_HiB</v>
      </c>
      <c r="CY536" t="str">
        <f t="shared" si="82"/>
        <v>[kg/bbl] kg of TOLUENE emissions to water per bbl of crude throughput - High Complexity Hydro Cracking and Coking</v>
      </c>
    </row>
    <row r="537" spans="99:103" x14ac:dyDescent="0.25">
      <c r="CU537">
        <f t="shared" si="79"/>
        <v>6</v>
      </c>
      <c r="CV537">
        <f t="shared" si="80"/>
        <v>87</v>
      </c>
      <c r="CW537" t="str">
        <f t="shared" si="81"/>
        <v>w_TOLUENE</v>
      </c>
      <c r="CY537" t="str">
        <f t="shared" si="82"/>
        <v>[kg/bbl] kg of TOLUENE emissions to water per bbl of crude throughput</v>
      </c>
    </row>
    <row r="538" spans="99:103" x14ac:dyDescent="0.25">
      <c r="CU538">
        <f t="shared" si="79"/>
        <v>1</v>
      </c>
      <c r="CV538">
        <f t="shared" si="80"/>
        <v>88</v>
      </c>
      <c r="CW538" t="str">
        <f t="shared" si="81"/>
        <v>w_TRICHLORO_L</v>
      </c>
      <c r="CY538" t="str">
        <f t="shared" si="82"/>
        <v>[kg/bbl] kg of TRICHLOROETHYLENE emissions to water per bbl of crude throughput - Low Complexity</v>
      </c>
    </row>
    <row r="539" spans="99:103" x14ac:dyDescent="0.25">
      <c r="CU539">
        <f t="shared" si="79"/>
        <v>2</v>
      </c>
      <c r="CV539">
        <f t="shared" si="80"/>
        <v>88</v>
      </c>
      <c r="CW539" t="str">
        <f t="shared" si="81"/>
        <v>w_TRICHLORO_M</v>
      </c>
      <c r="CY539" t="str">
        <f t="shared" si="82"/>
        <v>[kg/bbl] kg of TRICHLOROETHYLENE emissions to water per bbl of crude throughput - Med Complexity</v>
      </c>
    </row>
    <row r="540" spans="99:103" x14ac:dyDescent="0.25">
      <c r="CU540">
        <f t="shared" si="79"/>
        <v>3</v>
      </c>
      <c r="CV540">
        <f t="shared" si="80"/>
        <v>88</v>
      </c>
      <c r="CW540" t="str">
        <f t="shared" si="81"/>
        <v>w_TRICHLORO_HiH</v>
      </c>
      <c r="CY540" t="str">
        <f t="shared" si="82"/>
        <v>[kg/bbl] kg of TRICHLOROETHYLENE emissions to water per bbl of crude throughput - High Complexity Hydro Cracking</v>
      </c>
    </row>
    <row r="541" spans="99:103" x14ac:dyDescent="0.25">
      <c r="CU541">
        <f t="shared" si="79"/>
        <v>4</v>
      </c>
      <c r="CV541">
        <f t="shared" si="80"/>
        <v>88</v>
      </c>
      <c r="CW541" t="str">
        <f t="shared" si="81"/>
        <v>w_TRICHLORO_HiC</v>
      </c>
      <c r="CY541" t="str">
        <f t="shared" si="82"/>
        <v>[kg/bbl] kg of TRICHLOROETHYLENE emissions to water per bbl of crude throughput - High Complexity Coking</v>
      </c>
    </row>
    <row r="542" spans="99:103" x14ac:dyDescent="0.25">
      <c r="CU542">
        <f t="shared" si="79"/>
        <v>5</v>
      </c>
      <c r="CV542">
        <f t="shared" si="80"/>
        <v>88</v>
      </c>
      <c r="CW542" t="str">
        <f t="shared" si="81"/>
        <v>w_TRICHLORO_HiB</v>
      </c>
      <c r="CY542" t="str">
        <f t="shared" si="82"/>
        <v>[kg/bbl] kg of TRICHLOROETHYLENE emissions to water per bbl of crude throughput - High Complexity Hydro Cracking and Coking</v>
      </c>
    </row>
    <row r="543" spans="99:103" x14ac:dyDescent="0.25">
      <c r="CU543">
        <f t="shared" si="79"/>
        <v>6</v>
      </c>
      <c r="CV543">
        <f t="shared" si="80"/>
        <v>88</v>
      </c>
      <c r="CW543" t="str">
        <f t="shared" si="81"/>
        <v>w_TRICHLORO</v>
      </c>
      <c r="CY543" t="str">
        <f t="shared" si="82"/>
        <v>[kg/bbl] kg of TRICHLOROETHYLENE emissions to water per bbl of crude throughput</v>
      </c>
    </row>
    <row r="544" spans="99:103" x14ac:dyDescent="0.25">
      <c r="CU544">
        <f t="shared" si="79"/>
        <v>1</v>
      </c>
      <c r="CV544">
        <f t="shared" si="80"/>
        <v>89</v>
      </c>
      <c r="CW544" t="str">
        <f t="shared" si="81"/>
        <v>w_Vanadiumt_L</v>
      </c>
      <c r="CY544" t="str">
        <f t="shared" si="82"/>
        <v>[kg/bbl] kg of Vanadium, total recoverable emissions to water per bbl of crude throughput - Low Complexity</v>
      </c>
    </row>
    <row r="545" spans="99:103" x14ac:dyDescent="0.25">
      <c r="CU545">
        <f t="shared" si="79"/>
        <v>2</v>
      </c>
      <c r="CV545">
        <f t="shared" si="80"/>
        <v>89</v>
      </c>
      <c r="CW545" t="str">
        <f t="shared" si="81"/>
        <v>w_Vanadiumt_M</v>
      </c>
      <c r="CY545" t="str">
        <f t="shared" si="82"/>
        <v>[kg/bbl] kg of Vanadium, total recoverable emissions to water per bbl of crude throughput - Med Complexity</v>
      </c>
    </row>
    <row r="546" spans="99:103" x14ac:dyDescent="0.25">
      <c r="CU546">
        <f t="shared" si="79"/>
        <v>3</v>
      </c>
      <c r="CV546">
        <f t="shared" si="80"/>
        <v>89</v>
      </c>
      <c r="CW546" t="str">
        <f t="shared" si="81"/>
        <v>w_Vanadiumt_HiH</v>
      </c>
      <c r="CY546" t="str">
        <f t="shared" si="82"/>
        <v>[kg/bbl] kg of Vanadium, total recoverable emissions to water per bbl of crude throughput - High Complexity Hydro Cracking</v>
      </c>
    </row>
    <row r="547" spans="99:103" x14ac:dyDescent="0.25">
      <c r="CU547">
        <f t="shared" si="79"/>
        <v>4</v>
      </c>
      <c r="CV547">
        <f t="shared" si="80"/>
        <v>89</v>
      </c>
      <c r="CW547" t="str">
        <f t="shared" si="81"/>
        <v>w_Vanadiumt_HiC</v>
      </c>
      <c r="CY547" t="str">
        <f t="shared" si="82"/>
        <v>[kg/bbl] kg of Vanadium, total recoverable emissions to water per bbl of crude throughput - High Complexity Coking</v>
      </c>
    </row>
    <row r="548" spans="99:103" x14ac:dyDescent="0.25">
      <c r="CU548">
        <f t="shared" si="79"/>
        <v>5</v>
      </c>
      <c r="CV548">
        <f t="shared" si="80"/>
        <v>89</v>
      </c>
      <c r="CW548" t="str">
        <f t="shared" si="81"/>
        <v>w_Vanadiumt_HiB</v>
      </c>
      <c r="CY548" t="str">
        <f t="shared" si="82"/>
        <v>[kg/bbl] kg of Vanadium, total recoverable emissions to water per bbl of crude throughput - High Complexity Hydro Cracking and Coking</v>
      </c>
    </row>
    <row r="549" spans="99:103" x14ac:dyDescent="0.25">
      <c r="CU549">
        <f t="shared" si="79"/>
        <v>6</v>
      </c>
      <c r="CV549">
        <f t="shared" si="80"/>
        <v>89</v>
      </c>
      <c r="CW549" t="str">
        <f t="shared" si="81"/>
        <v>w_Vanadiumt</v>
      </c>
      <c r="CY549" t="str">
        <f t="shared" si="82"/>
        <v>[kg/bbl] kg of Vanadium, total recoverable emissions to water per bbl of crude throughput</v>
      </c>
    </row>
    <row r="550" spans="99:103" x14ac:dyDescent="0.25">
      <c r="CU550">
        <f t="shared" si="79"/>
        <v>1</v>
      </c>
      <c r="CV550">
        <f t="shared" si="80"/>
        <v>90</v>
      </c>
      <c r="CW550" t="str">
        <f t="shared" si="81"/>
        <v>w_XYLENES_L</v>
      </c>
      <c r="CY550" t="str">
        <f t="shared" si="82"/>
        <v>[kg/bbl] kg of XYLENES emissions to water per bbl of crude throughput - Low Complexity</v>
      </c>
    </row>
    <row r="551" spans="99:103" x14ac:dyDescent="0.25">
      <c r="CU551">
        <f t="shared" si="79"/>
        <v>2</v>
      </c>
      <c r="CV551">
        <f t="shared" si="80"/>
        <v>90</v>
      </c>
      <c r="CW551" t="str">
        <f t="shared" si="81"/>
        <v>w_XYLENES_M</v>
      </c>
      <c r="CY551" t="str">
        <f t="shared" si="82"/>
        <v>[kg/bbl] kg of XYLENES emissions to water per bbl of crude throughput - Med Complexity</v>
      </c>
    </row>
    <row r="552" spans="99:103" x14ac:dyDescent="0.25">
      <c r="CU552">
        <f t="shared" si="79"/>
        <v>3</v>
      </c>
      <c r="CV552">
        <f t="shared" si="80"/>
        <v>90</v>
      </c>
      <c r="CW552" t="str">
        <f t="shared" si="81"/>
        <v>w_XYLENES_HiH</v>
      </c>
      <c r="CY552" t="str">
        <f t="shared" si="82"/>
        <v>[kg/bbl] kg of XYLENES emissions to water per bbl of crude throughput - High Complexity Hydro Cracking</v>
      </c>
    </row>
    <row r="553" spans="99:103" x14ac:dyDescent="0.25">
      <c r="CU553">
        <f t="shared" si="79"/>
        <v>4</v>
      </c>
      <c r="CV553">
        <f t="shared" si="80"/>
        <v>90</v>
      </c>
      <c r="CW553" t="str">
        <f t="shared" si="81"/>
        <v>w_XYLENES_HiC</v>
      </c>
      <c r="CY553" t="str">
        <f t="shared" si="82"/>
        <v>[kg/bbl] kg of XYLENES emissions to water per bbl of crude throughput - High Complexity Coking</v>
      </c>
    </row>
    <row r="554" spans="99:103" x14ac:dyDescent="0.25">
      <c r="CU554">
        <f t="shared" si="79"/>
        <v>5</v>
      </c>
      <c r="CV554">
        <f t="shared" si="80"/>
        <v>90</v>
      </c>
      <c r="CW554" t="str">
        <f t="shared" si="81"/>
        <v>w_XYLENES_HiB</v>
      </c>
      <c r="CY554" t="str">
        <f t="shared" si="82"/>
        <v>[kg/bbl] kg of XYLENES emissions to water per bbl of crude throughput - High Complexity Hydro Cracking and Coking</v>
      </c>
    </row>
    <row r="555" spans="99:103" x14ac:dyDescent="0.25">
      <c r="CU555">
        <f t="shared" si="79"/>
        <v>6</v>
      </c>
      <c r="CV555">
        <f t="shared" si="80"/>
        <v>90</v>
      </c>
      <c r="CW555" t="str">
        <f t="shared" si="81"/>
        <v>w_XYLENES</v>
      </c>
      <c r="CY555" t="str">
        <f t="shared" si="82"/>
        <v>[kg/bbl] kg of XYLENES emissions to water per bbl of crude throughput</v>
      </c>
    </row>
    <row r="556" spans="99:103" x14ac:dyDescent="0.25">
      <c r="CU556">
        <f t="shared" si="79"/>
        <v>1</v>
      </c>
      <c r="CV556">
        <f t="shared" si="80"/>
        <v>91</v>
      </c>
      <c r="CW556" t="str">
        <f t="shared" si="81"/>
        <v>w_Zinctotal_L</v>
      </c>
      <c r="CY556" t="str">
        <f t="shared" si="82"/>
        <v>[kg/bbl] kg of Zinc, total (as Zn) emissions to water per bbl of crude throughput - Low Complexity</v>
      </c>
    </row>
    <row r="557" spans="99:103" x14ac:dyDescent="0.25">
      <c r="CU557">
        <f t="shared" si="79"/>
        <v>2</v>
      </c>
      <c r="CV557">
        <f t="shared" si="80"/>
        <v>91</v>
      </c>
      <c r="CW557" t="str">
        <f t="shared" si="81"/>
        <v>w_Zinctotal_M</v>
      </c>
      <c r="CY557" t="str">
        <f t="shared" si="82"/>
        <v>[kg/bbl] kg of Zinc, total (as Zn) emissions to water per bbl of crude throughput - Med Complexity</v>
      </c>
    </row>
    <row r="558" spans="99:103" x14ac:dyDescent="0.25">
      <c r="CU558">
        <f t="shared" si="79"/>
        <v>3</v>
      </c>
      <c r="CV558">
        <f t="shared" si="80"/>
        <v>91</v>
      </c>
      <c r="CW558" t="str">
        <f t="shared" si="81"/>
        <v>w_Zinctotal_HiH</v>
      </c>
      <c r="CY558" t="str">
        <f t="shared" si="82"/>
        <v>[kg/bbl] kg of Zinc, total (as Zn) emissions to water per bbl of crude throughput - High Complexity Hydro Cracking</v>
      </c>
    </row>
    <row r="559" spans="99:103" x14ac:dyDescent="0.25">
      <c r="CU559">
        <f t="shared" si="79"/>
        <v>4</v>
      </c>
      <c r="CV559">
        <f t="shared" si="80"/>
        <v>91</v>
      </c>
      <c r="CW559" t="str">
        <f t="shared" si="81"/>
        <v>w_Zinctotal_HiC</v>
      </c>
      <c r="CY559" t="str">
        <f t="shared" si="82"/>
        <v>[kg/bbl] kg of Zinc, total (as Zn) emissions to water per bbl of crude throughput - High Complexity Coking</v>
      </c>
    </row>
    <row r="560" spans="99:103" x14ac:dyDescent="0.25">
      <c r="CU560">
        <f t="shared" si="79"/>
        <v>5</v>
      </c>
      <c r="CV560">
        <f t="shared" si="80"/>
        <v>91</v>
      </c>
      <c r="CW560" t="str">
        <f t="shared" si="81"/>
        <v>w_Zinctotal_HiB</v>
      </c>
      <c r="CY560" t="str">
        <f t="shared" si="82"/>
        <v>[kg/bbl] kg of Zinc, total (as Zn) emissions to water per bbl of crude throughput - High Complexity Hydro Cracking and Coking</v>
      </c>
    </row>
    <row r="561" spans="99:103" x14ac:dyDescent="0.25">
      <c r="CU561">
        <f t="shared" si="79"/>
        <v>6</v>
      </c>
      <c r="CV561">
        <f t="shared" si="80"/>
        <v>91</v>
      </c>
      <c r="CW561" t="str">
        <f t="shared" si="81"/>
        <v>w_Zinctotal</v>
      </c>
      <c r="CY561" t="str">
        <f t="shared" si="82"/>
        <v>[kg/bbl] kg of Zinc, total (as Zn) emissions to water per bbl of crude throughput</v>
      </c>
    </row>
  </sheetData>
  <sortState ref="CT16:CT106">
    <sortCondition ref="CT16"/>
  </sortState>
  <mergeCells count="3">
    <mergeCell ref="C18:C22"/>
    <mergeCell ref="C23:C27"/>
    <mergeCell ref="C28:C32"/>
  </mergeCell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70AAE039293724F8AD42E6A8BC592EA" ma:contentTypeVersion="11" ma:contentTypeDescription="Create a new document." ma:contentTypeScope="" ma:versionID="9a814d43f9114537700e93344bae823e">
  <xsd:schema xmlns:xsd="http://www.w3.org/2001/XMLSchema" xmlns:xs="http://www.w3.org/2001/XMLSchema" xmlns:p="http://schemas.microsoft.com/office/2006/metadata/properties" xmlns:ns2="c75d1172-787a-498f-aaff-e17d79596d1f" targetNamespace="http://schemas.microsoft.com/office/2006/metadata/properties" ma:root="true" ma:fieldsID="a0e13895742242ab515d8ec80479b12d" ns2:_="">
    <xsd:import namespace="c75d1172-787a-498f-aaff-e17d79596d1f"/>
    <xsd:element name="properties">
      <xsd:complexType>
        <xsd:sequence>
          <xsd:element name="documentManagement">
            <xsd:complexType>
              <xsd:all>
                <xsd:element ref="ns2:AxSourceListID" minOccurs="0"/>
                <xsd:element ref="ns2:AxSourceItem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5d1172-787a-498f-aaff-e17d79596d1f" elementFormDefault="qualified">
    <xsd:import namespace="http://schemas.microsoft.com/office/2006/documentManagement/types"/>
    <xsd:import namespace="http://schemas.microsoft.com/office/infopath/2007/PartnerControls"/>
    <xsd:element name="AxSourceListID" ma:index="8" nillable="true" ma:displayName="AxSourceListID" ma:hidden="true" ma:internalName="AxSourceListID">
      <xsd:simpleType>
        <xsd:restriction base="dms:Unknown"/>
      </xsd:simpleType>
    </xsd:element>
    <xsd:element name="AxSourceItemID" ma:index="9" nillable="true" ma:displayName="AxSourceItemID" ma:hidden="true" ma:internalName="AxSourceItemID">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xSourceItemID xmlns="c75d1172-787a-498f-aaff-e17d79596d1f" xsi:nil="true"/>
    <AxSourceListID xmlns="c75d1172-787a-498f-aaff-e17d79596d1f" xsi:nil="true"/>
  </documentManagement>
</p:properties>
</file>

<file path=customXml/itemProps1.xml><?xml version="1.0" encoding="utf-8"?>
<ds:datastoreItem xmlns:ds="http://schemas.openxmlformats.org/officeDocument/2006/customXml" ds:itemID="{AB954D99-65DB-4A0E-B6D7-CFC37583B385}">
  <ds:schemaRefs>
    <ds:schemaRef ds:uri="http://schemas.microsoft.com/sharepoint/v3/contenttype/forms"/>
  </ds:schemaRefs>
</ds:datastoreItem>
</file>

<file path=customXml/itemProps2.xml><?xml version="1.0" encoding="utf-8"?>
<ds:datastoreItem xmlns:ds="http://schemas.openxmlformats.org/officeDocument/2006/customXml" ds:itemID="{943F49B7-91F7-4B2E-8A9B-E169AC911A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5d1172-787a-498f-aaff-e17d79596d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FC63BBA-B12B-4BE5-8577-79D5487CCDD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Info</vt:lpstr>
      <vt:lpstr>Data Summary</vt:lpstr>
      <vt:lpstr>Reference Source Info</vt:lpstr>
      <vt:lpstr>DQI</vt:lpstr>
      <vt:lpstr>Species Data</vt:lpstr>
      <vt:lpstr>VOC</vt:lpstr>
      <vt:lpstr>Emission Rates</vt:lpstr>
      <vt:lpstr>Utilization</vt:lpstr>
      <vt:lpstr>Water_emissions</vt:lpstr>
      <vt:lpstr>Water_emissions_raw</vt:lpstr>
      <vt:lpstr>Water throughput</vt:lpstr>
      <vt:lpstr>Conversions</vt:lpstr>
      <vt:lpstr>Assumptions</vt:lpstr>
      <vt:lpstr>Chart</vt:lpstr>
    </vt:vector>
  </TitlesOfParts>
  <Company>NETL DoE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Matthew B. Jamieson</dc:creator>
  <cp:lastModifiedBy>Krynock, Michelle M. (CONTR)</cp:lastModifiedBy>
  <dcterms:created xsi:type="dcterms:W3CDTF">2013-11-13T19:16:03Z</dcterms:created>
  <dcterms:modified xsi:type="dcterms:W3CDTF">2017-01-03T20:31:45Z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0x010100D70AAE039293724F8AD42E6A8BC592EA</vt:lpwstr>
  </property>
</Properties>
</file>